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comments1.xml" ContentType="application/vnd.openxmlformats-officedocument.spreadsheetml.comments+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comments2.xml" ContentType="application/vnd.openxmlformats-officedocument.spreadsheetml.comments+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comments3.xml" ContentType="application/vnd.openxmlformats-officedocument.spreadsheetml.comments+xml"/>
  <Override PartName="/xl/drawings/drawing36.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9.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4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3.xml" ContentType="application/vnd.openxmlformats-officedocument.drawing+xml"/>
  <Override PartName="/xl/charts/chart52.xml" ContentType="application/vnd.openxmlformats-officedocument.drawingml.chart+xml"/>
  <Override PartName="/xl/drawings/drawing44.xml" ContentType="application/vnd.openxmlformats-officedocument.drawing+xml"/>
  <Override PartName="/xl/charts/chart53.xml" ContentType="application/vnd.openxmlformats-officedocument.drawingml.chart+xml"/>
  <Override PartName="/xl/drawings/drawing45.xml" ContentType="application/vnd.openxmlformats-officedocument.drawing+xml"/>
  <Override PartName="/xl/charts/chart54.xml" ContentType="application/vnd.openxmlformats-officedocument.drawingml.chart+xml"/>
  <Override PartName="/xl/drawings/drawing46.xml" ContentType="application/vnd.openxmlformats-officedocument.drawing+xml"/>
  <Override PartName="/xl/charts/chart55.xml" ContentType="application/vnd.openxmlformats-officedocument.drawingml.chart+xml"/>
  <Override PartName="/xl/drawings/drawing47.xml" ContentType="application/vnd.openxmlformats-officedocument.drawing+xml"/>
  <Override PartName="/xl/charts/chart56.xml" ContentType="application/vnd.openxmlformats-officedocument.drawingml.chart+xml"/>
  <Override PartName="/xl/drawings/drawing48.xml" ContentType="application/vnd.openxmlformats-officedocument.drawing+xml"/>
  <Override PartName="/xl/charts/chart57.xml" ContentType="application/vnd.openxmlformats-officedocument.drawingml.chart+xml"/>
  <Override PartName="/xl/drawings/drawing4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5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51.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52.xml" ContentType="application/vnd.openxmlformats-officedocument.drawing+xml"/>
  <Override PartName="/xl/charts/chart64.xml" ContentType="application/vnd.openxmlformats-officedocument.drawingml.chart+xml"/>
  <Override PartName="/xl/drawings/drawing53.xml" ContentType="application/vnd.openxmlformats-officedocument.drawing+xml"/>
  <Override PartName="/xl/charts/chart65.xml" ContentType="application/vnd.openxmlformats-officedocument.drawingml.chart+xml"/>
  <Override PartName="/xl/drawings/drawing54.xml" ContentType="application/vnd.openxmlformats-officedocument.drawing+xml"/>
  <Override PartName="/xl/charts/chart66.xml" ContentType="application/vnd.openxmlformats-officedocument.drawingml.chart+xml"/>
  <Override PartName="/xl/drawings/drawing55.xml" ContentType="application/vnd.openxmlformats-officedocument.drawing+xml"/>
  <Override PartName="/xl/charts/chart67.xml" ContentType="application/vnd.openxmlformats-officedocument.drawingml.chart+xml"/>
  <Override PartName="/xl/drawings/drawing56.xml" ContentType="application/vnd.openxmlformats-officedocument.drawing+xml"/>
  <Override PartName="/xl/charts/chart68.xml" ContentType="application/vnd.openxmlformats-officedocument.drawingml.chart+xml"/>
  <Override PartName="/xl/drawings/drawing57.xml" ContentType="application/vnd.openxmlformats-officedocument.drawing+xml"/>
  <Override PartName="/xl/charts/chart69.xml" ContentType="application/vnd.openxmlformats-officedocument.drawingml.chart+xml"/>
  <Override PartName="/xl/drawings/drawing58.xml" ContentType="application/vnd.openxmlformats-officedocument.drawing+xml"/>
  <Override PartName="/xl/charts/chart70.xml" ContentType="application/vnd.openxmlformats-officedocument.drawingml.chart+xml"/>
  <Override PartName="/xl/drawings/drawing59.xml" ContentType="application/vnd.openxmlformats-officedocument.drawing+xml"/>
  <Override PartName="/xl/charts/chart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Z:\1 - UI CNG SCG\2023 Budget Update\"/>
    </mc:Choice>
  </mc:AlternateContent>
  <xr:revisionPtr revIDLastSave="0" documentId="13_ncr:1_{09737717-14E7-4CD6-9361-FD05E5143BFB}" xr6:coauthVersionLast="47" xr6:coauthVersionMax="47" xr10:uidLastSave="{00000000-0000-0000-0000-000000000000}"/>
  <bookViews>
    <workbookView xWindow="870" yWindow="-120" windowWidth="28050" windowHeight="16440" tabRatio="792" firstSheet="16" activeTab="16" xr2:uid="{00000000-000D-0000-FFFF-FFFF00000000}"/>
  </bookViews>
  <sheets>
    <sheet name="2012-2013 Combined Table A1 " sheetId="62" state="hidden" r:id="rId1"/>
    <sheet name="2013-2015 Combined Table A1" sheetId="147" state="hidden" r:id="rId2"/>
    <sheet name="Combined Table A2" sheetId="103" state="hidden" r:id="rId3"/>
    <sheet name="2013 Table A1 Pies" sheetId="63" state="hidden" r:id="rId4"/>
    <sheet name="2012 Combined Table A1 -Inc.Fun" sheetId="137" state="hidden" r:id="rId5"/>
    <sheet name="2014 Table A1 Pies " sheetId="194" state="hidden" r:id="rId6"/>
    <sheet name="2015 Table A1 Pies " sheetId="195" state="hidden" r:id="rId7"/>
    <sheet name="Summary DN10-10-03 Order 26i " sheetId="136" state="hidden" r:id="rId8"/>
    <sheet name="DN 10-10-03 Order 26i YGS " sheetId="206" state="hidden" r:id="rId9"/>
    <sheet name="DN 10-10-03 Order 26i CNG" sheetId="134" state="hidden" r:id="rId10"/>
    <sheet name="DN 10-10-03 Order 26i SCG" sheetId="135" state="hidden" r:id="rId11"/>
    <sheet name="YGS Table A " sheetId="126" state="hidden" r:id="rId12"/>
    <sheet name="YGS 2013 Table A Pie Charts " sheetId="181" state="hidden" r:id="rId13"/>
    <sheet name="YGS 2014 Table A Pie Charts  " sheetId="211" state="hidden" r:id="rId14"/>
    <sheet name="YGS 2015 Table A Pie Charts " sheetId="212" state="hidden" r:id="rId15"/>
    <sheet name="Revision History" sheetId="288" state="hidden" r:id="rId16"/>
    <sheet name="CNG Table A" sheetId="127" r:id="rId17"/>
    <sheet name="CNG 2013 Table A Pie Charts" sheetId="92" state="hidden" r:id="rId18"/>
    <sheet name="CNG 2014 Table A Pie Charts" sheetId="207" state="hidden" r:id="rId19"/>
    <sheet name="CNG 2016 Table A Pie Charts " sheetId="208" state="hidden" r:id="rId20"/>
    <sheet name="CNG 2017 Table A Pie Charts" sheetId="255" state="hidden" r:id="rId21"/>
    <sheet name="CNG 2022 Table A Pie Chart" sheetId="256" r:id="rId22"/>
    <sheet name="CNG 2023 Table A Pie Chart" sheetId="314" r:id="rId23"/>
    <sheet name="CNG 2024 Table A Pie Chart" sheetId="315" r:id="rId24"/>
    <sheet name="CNG Table A2" sheetId="309" r:id="rId25"/>
    <sheet name="Budget Allocation Table" sheetId="274" r:id="rId26"/>
    <sheet name="SCG Table A" sheetId="129" r:id="rId27"/>
    <sheet name="SCG 2013 Table A Pie Charts" sheetId="93" state="hidden" r:id="rId28"/>
    <sheet name="SCG 2014 Table A Pie Charts " sheetId="209" state="hidden" r:id="rId29"/>
    <sheet name="2013 Summary Table B " sheetId="102" state="hidden" r:id="rId30"/>
    <sheet name="Summary Table B  Incr. Sav" sheetId="140" state="hidden" r:id="rId31"/>
    <sheet name="SCG 2016 Table A Pie Charts" sheetId="257" state="hidden" r:id="rId32"/>
    <sheet name="2014 Summary Table B " sheetId="173" state="hidden" r:id="rId33"/>
    <sheet name="SCG 2017 Table A Pie Charts" sheetId="258" state="hidden" r:id="rId34"/>
    <sheet name="SCG 2022 Table A Pie Chart" sheetId="287" r:id="rId35"/>
    <sheet name="SCG 2023 Table A Pie Chart" sheetId="319" r:id="rId36"/>
    <sheet name="SCG 2024 Table A Pie Chart" sheetId="320" r:id="rId37"/>
    <sheet name="SCG Table A2" sheetId="310" r:id="rId38"/>
    <sheet name="Budget Allocation Table  " sheetId="275" r:id="rId39"/>
    <sheet name="2016 Summary Table B" sheetId="174" state="hidden" r:id="rId40"/>
    <sheet name="YGS 2013 Table C Pie Chart " sheetId="28" state="hidden" r:id="rId41"/>
    <sheet name="YGS Table C 2012 Increased Fund" sheetId="139" state="hidden" r:id="rId42"/>
    <sheet name="YGS 2012 Tab C Pie Chart Inc Fu" sheetId="141" state="hidden" r:id="rId43"/>
    <sheet name="YGS Table C 2013" sheetId="183" state="hidden" r:id="rId44"/>
    <sheet name="YGS 2013 Tab C Pie Chart " sheetId="184" state="hidden" r:id="rId45"/>
    <sheet name="YGS Table C 2014" sheetId="185" state="hidden" r:id="rId46"/>
    <sheet name="YGS 2014 Tab C Pie Chart " sheetId="186" state="hidden" r:id="rId47"/>
    <sheet name="YGS Table C 2015" sheetId="187" state="hidden" r:id="rId48"/>
    <sheet name="YGS 2015 Tab C Pie Chart " sheetId="188" state="hidden" r:id="rId49"/>
    <sheet name="CNG Table C 2013" sheetId="94" state="hidden" r:id="rId50"/>
    <sheet name="CNG 2013 Table C Pie Chart" sheetId="138" state="hidden" r:id="rId51"/>
    <sheet name="CNG Table C 2012 INCREASED FUND" sheetId="142" state="hidden" r:id="rId52"/>
    <sheet name="CNG 2012 Table C Pie Chart Incr" sheetId="143" state="hidden" r:id="rId53"/>
    <sheet name="CNG Table C 2014" sheetId="165" state="hidden" r:id="rId54"/>
    <sheet name="CNG 2014 Table C Pie Chart" sheetId="166" state="hidden" r:id="rId55"/>
    <sheet name="10.1.15 2016 Summary Table B" sheetId="265" state="hidden" r:id="rId56"/>
    <sheet name="2017 Summary Table B" sheetId="237" state="hidden" r:id="rId57"/>
    <sheet name="10.1.15 2017 Summary Table B" sheetId="266" state="hidden" r:id="rId58"/>
    <sheet name="Mar 16 2017 Summary Table B" sheetId="276" state="hidden" r:id="rId59"/>
    <sheet name="2018 Summary Table B" sheetId="290" state="hidden" r:id="rId60"/>
    <sheet name="2019 Summary Table B" sheetId="238" state="hidden" r:id="rId61"/>
    <sheet name="10.1.15 2018 Summary Table B" sheetId="267" state="hidden" r:id="rId62"/>
    <sheet name="Mar 16 2018 Summary Table B" sheetId="277" state="hidden" r:id="rId63"/>
    <sheet name="CNG Table C 2016" sheetId="167" state="hidden" r:id="rId64"/>
    <sheet name="10.1.15 CNG Table C 2016" sheetId="268" state="hidden" r:id="rId65"/>
    <sheet name="CNG 2016 Table C Pie Chart" sheetId="168" state="hidden" r:id="rId66"/>
    <sheet name="SCG Table C 2013" sheetId="95" state="hidden" r:id="rId67"/>
    <sheet name="SCG 2013 Table C Pie Chart" sheetId="97" state="hidden" r:id="rId68"/>
    <sheet name="SCG Table C 2012 Incr. Sav" sheetId="145" state="hidden" r:id="rId69"/>
    <sheet name="SCG Table C Pie Chart Incr. Sav" sheetId="144" state="hidden" r:id="rId70"/>
    <sheet name="SCG Table C 2014" sheetId="169" state="hidden" r:id="rId71"/>
    <sheet name="SCG 2014 Table C Pie Chart" sheetId="170" state="hidden" r:id="rId72"/>
    <sheet name="CNG Table C 2017" sheetId="239" state="hidden" r:id="rId73"/>
    <sheet name="10.1.15 CNG Table C 2017" sheetId="269" state="hidden" r:id="rId74"/>
    <sheet name="Mar 16 CNG Table C 2017" sheetId="278" state="hidden" r:id="rId75"/>
    <sheet name="CNG 2017 Table C Pie Chart" sheetId="240" state="hidden" r:id="rId76"/>
    <sheet name="2022 Summary Table B" sheetId="308" state="hidden" r:id="rId77"/>
    <sheet name="2023 Summary Table B" sheetId="292" state="hidden" r:id="rId78"/>
    <sheet name="2024 Summary Table B" sheetId="293" state="hidden" r:id="rId79"/>
    <sheet name="CNG Table C 2018" sheetId="289" state="hidden" r:id="rId80"/>
    <sheet name="CNG Table C 2019" sheetId="241" state="hidden" r:id="rId81"/>
    <sheet name="10.1.15 CNG Table C 2018" sheetId="270" state="hidden" r:id="rId82"/>
    <sheet name="Mar 16 CNG Table C 2018" sheetId="279" state="hidden" r:id="rId83"/>
    <sheet name="SCG Table C 2016" sheetId="171" state="hidden" r:id="rId84"/>
    <sheet name="10.1.15 SCG Table C 2016" sheetId="271" state="hidden" r:id="rId85"/>
    <sheet name="SCG 2016 Table C Pie Chart" sheetId="172" state="hidden" r:id="rId86"/>
    <sheet name="YGS Table D" sheetId="163" state="hidden" r:id="rId87"/>
    <sheet name="YGS Table D1 " sheetId="192" state="hidden" r:id="rId88"/>
    <sheet name="YGS Table D1" sheetId="213" state="hidden" r:id="rId89"/>
    <sheet name="YGS Table D3" sheetId="193" state="hidden" r:id="rId90"/>
    <sheet name="SCG Table C 2017" sheetId="243" state="hidden" r:id="rId91"/>
    <sheet name="10.1.15 SCG Table C 2017" sheetId="272" state="hidden" r:id="rId92"/>
    <sheet name="Mar 16 SCG Table C 2017" sheetId="280" state="hidden" r:id="rId93"/>
    <sheet name="SCG 2017 Table C Pie Chart" sheetId="244" state="hidden" r:id="rId94"/>
    <sheet name="10.1.15 SCG Table C 2018" sheetId="273" state="hidden" r:id="rId95"/>
    <sheet name="Mar 16 SCG Table C 2018" sheetId="281" state="hidden" r:id="rId96"/>
    <sheet name="CNG Table C 2022" sheetId="306" state="hidden" r:id="rId97"/>
    <sheet name="CNG Table C 2023" sheetId="311" r:id="rId98"/>
    <sheet name="CNG Table C 2024" sheetId="313" r:id="rId99"/>
    <sheet name="SCG Table C 2018" sheetId="291" state="hidden" r:id="rId100"/>
    <sheet name="SCG Table C 2019" sheetId="245" state="hidden" r:id="rId101"/>
    <sheet name="CNG Table C 2025" sheetId="337" r:id="rId102"/>
    <sheet name="CNG 2022 Table C Pie Chart" sheetId="324" r:id="rId103"/>
    <sheet name="CNG 2023 Table C Pie Chart" sheetId="323" r:id="rId104"/>
    <sheet name="CNG 2024 Table C Pie Chart" sheetId="317" r:id="rId105"/>
    <sheet name="SCG Table C 2022" sheetId="307" state="hidden" r:id="rId106"/>
    <sheet name="SCG Table C 2023" sheetId="312" r:id="rId107"/>
    <sheet name="SCG Table C 2024" sheetId="318" r:id="rId108"/>
    <sheet name="SCG Table C 2025" sheetId="335" r:id="rId109"/>
    <sheet name="SCG 2022 Table C Pie Chart" sheetId="246" r:id="rId110"/>
    <sheet name="YGS 2013 Exhibit 4" sheetId="189" state="hidden" r:id="rId111"/>
    <sheet name="YGS 2014 Exhibit 4" sheetId="190" state="hidden" r:id="rId112"/>
    <sheet name="YGS 2015 Exhibit 4" sheetId="191" state="hidden" r:id="rId113"/>
    <sheet name="CNG 2013 Exhibit 4" sheetId="175" state="hidden" r:id="rId114"/>
    <sheet name="CNG 2014 Exhibit 4" sheetId="176" state="hidden" r:id="rId115"/>
    <sheet name="SCG 2013 Exhibit 4" sheetId="178" state="hidden" r:id="rId116"/>
    <sheet name="CNG 2016 Exhibit 4" sheetId="230" state="hidden" r:id="rId117"/>
    <sheet name="SCG 2014 Exhibit 4" sheetId="231" state="hidden" r:id="rId118"/>
    <sheet name="YGS Income Eligible " sheetId="214" state="hidden" r:id="rId119"/>
    <sheet name="YGS HES " sheetId="215" state="hidden" r:id="rId120"/>
    <sheet name="YGS New Construction" sheetId="216" state="hidden" r:id="rId121"/>
    <sheet name="YGS Water Heating " sheetId="217" state="hidden" r:id="rId122"/>
    <sheet name="YGS ECB  " sheetId="218" state="hidden" r:id="rId123"/>
    <sheet name="YGS ENOPP " sheetId="219" state="hidden" r:id="rId124"/>
    <sheet name="YGS O&amp;M " sheetId="220" state="hidden" r:id="rId125"/>
    <sheet name="YGS SBEA    " sheetId="221" state="hidden" r:id="rId126"/>
    <sheet name="Smart Living " sheetId="222" state="hidden" r:id="rId127"/>
    <sheet name="EE Communities " sheetId="223" state="hidden" r:id="rId128"/>
    <sheet name="CNG 2017 Exhibit 4" sheetId="247" state="hidden" r:id="rId129"/>
    <sheet name="SCG 2023 Table C Pie Chart" sheetId="321" r:id="rId130"/>
    <sheet name="SCG 2024 Table C Pie Chart" sheetId="322" r:id="rId131"/>
    <sheet name="SCG 2025 Table C Pie Chart" sheetId="336" r:id="rId132"/>
    <sheet name="CNG Table D" sheetId="294" r:id="rId133"/>
    <sheet name="CNG Table D1" sheetId="295" r:id="rId134"/>
    <sheet name="CNG Table D2" sheetId="296" r:id="rId135"/>
    <sheet name="CNG Table D3" sheetId="297" r:id="rId136"/>
    <sheet name="SCG Table D " sheetId="298" r:id="rId137"/>
    <sheet name="SCG Table D1 " sheetId="299" r:id="rId138"/>
    <sheet name="SCG Table D2" sheetId="300" r:id="rId139"/>
    <sheet name="SCG Table D3" sheetId="301" r:id="rId140"/>
    <sheet name="CNG 2022 Exhibit 4" sheetId="329" r:id="rId141"/>
    <sheet name="CNG 2023 Exhibit 4" sheetId="330" r:id="rId142"/>
    <sheet name="CNG 2024 Exhibit 4" sheetId="331" r:id="rId143"/>
    <sheet name="SCG 2022 Exhibit 4" sheetId="332" r:id="rId144"/>
    <sheet name="SCG 2023 Exhibit 4" sheetId="333" r:id="rId145"/>
    <sheet name="SCG 2024 Exhibit 4" sheetId="334" r:id="rId146"/>
    <sheet name="SCG 2016 Exhibit 4" sheetId="232" state="hidden" r:id="rId147"/>
    <sheet name="SCG 2017 Exhibit 4" sheetId="249" state="hidden" r:id="rId148"/>
    <sheet name="CNG Income Eligible" sheetId="82" state="hidden" r:id="rId149"/>
    <sheet name="SCG Income Eligible" sheetId="86" state="hidden" r:id="rId150"/>
    <sheet name="YGS Water Heating" sheetId="111" state="hidden" r:id="rId151"/>
    <sheet name="CNG Water Heating" sheetId="112" state="hidden" r:id="rId152"/>
    <sheet name="SCG Water Heating" sheetId="113" state="hidden" r:id="rId153"/>
    <sheet name="CNG HES" sheetId="83" state="hidden" r:id="rId154"/>
    <sheet name="SCG HES" sheetId="87" state="hidden" r:id="rId155"/>
    <sheet name="CNG New Construction" sheetId="109" state="hidden" r:id="rId156"/>
    <sheet name="SCG New Construction" sheetId="110" state="hidden" r:id="rId157"/>
    <sheet name="SCG Residential Behavior" sheetId="253" state="hidden" r:id="rId158"/>
    <sheet name="CNG ECB" sheetId="115" state="hidden" r:id="rId159"/>
    <sheet name="SCG ECB" sheetId="116" state="hidden" r:id="rId160"/>
    <sheet name="YGS ENOPP" sheetId="120" state="hidden" r:id="rId161"/>
    <sheet name="CNG ENOPP" sheetId="121" state="hidden" r:id="rId162"/>
    <sheet name="SCG ENOPP" sheetId="122" state="hidden" r:id="rId163"/>
    <sheet name="YGS O&amp;M" sheetId="123" state="hidden" r:id="rId164"/>
    <sheet name="CNG O&amp;M" sheetId="124" state="hidden" r:id="rId165"/>
    <sheet name="SCG O&amp;M" sheetId="125" state="hidden" r:id="rId166"/>
    <sheet name="CNG SBEA" sheetId="131" state="hidden" r:id="rId167"/>
    <sheet name="SCG SBEA" sheetId="132" state="hidden" r:id="rId168"/>
    <sheet name="CNG ECC" sheetId="224" state="hidden" r:id="rId169"/>
    <sheet name="SCG ECC" sheetId="225" state="hidden" r:id="rId170"/>
    <sheet name="CNG K-12" sheetId="226" state="hidden" r:id="rId171"/>
    <sheet name="SCG K-12" sheetId="227" state="hidden" r:id="rId172"/>
    <sheet name="CNG CEC" sheetId="228" state="hidden" r:id="rId173"/>
    <sheet name="SCG CEC" sheetId="229" state="hidden" r:id="rId174"/>
    <sheet name="YGS Income Eligible  (2)" sheetId="196" state="hidden" r:id="rId175"/>
    <sheet name="YGS HES (2)" sheetId="197" state="hidden" r:id="rId176"/>
    <sheet name="YGS Water Heating   " sheetId="199" state="hidden" r:id="rId177"/>
    <sheet name="YGS ECB   " sheetId="200" state="hidden" r:id="rId178"/>
    <sheet name="YGS ENOPP  " sheetId="201" state="hidden" r:id="rId179"/>
    <sheet name="YGS O&amp;M   " sheetId="202" state="hidden" r:id="rId180"/>
    <sheet name="YGS SBEA " sheetId="203" state="hidden" r:id="rId181"/>
  </sheets>
  <externalReferences>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a" localSheetId="55">#REF!</definedName>
    <definedName name="a" localSheetId="57">#REF!</definedName>
    <definedName name="a" localSheetId="61">#REF!</definedName>
    <definedName name="a" localSheetId="64">#REF!</definedName>
    <definedName name="a" localSheetId="73">#REF!</definedName>
    <definedName name="a" localSheetId="81">#REF!</definedName>
    <definedName name="a" localSheetId="84">#REF!</definedName>
    <definedName name="a" localSheetId="91">#REF!</definedName>
    <definedName name="a" localSheetId="94">#REF!</definedName>
    <definedName name="a" localSheetId="56">#REF!</definedName>
    <definedName name="a" localSheetId="59">#REF!</definedName>
    <definedName name="a" localSheetId="116">#REF!</definedName>
    <definedName name="a" localSheetId="128">#REF!</definedName>
    <definedName name="a" localSheetId="20">#REF!</definedName>
    <definedName name="a" localSheetId="75">#REF!</definedName>
    <definedName name="a" localSheetId="140">#REF!</definedName>
    <definedName name="a" localSheetId="141">#REF!</definedName>
    <definedName name="a" localSheetId="142">#REF!</definedName>
    <definedName name="a" localSheetId="72">#REF!</definedName>
    <definedName name="a" localSheetId="79">#REF!</definedName>
    <definedName name="a" localSheetId="58">#REF!</definedName>
    <definedName name="a" localSheetId="62">#REF!</definedName>
    <definedName name="a" localSheetId="74">#REF!</definedName>
    <definedName name="a" localSheetId="82">#REF!</definedName>
    <definedName name="a" localSheetId="92">#REF!</definedName>
    <definedName name="a" localSheetId="95">#REF!</definedName>
    <definedName name="a" localSheetId="117">#REF!</definedName>
    <definedName name="a" localSheetId="146">#REF!</definedName>
    <definedName name="a" localSheetId="31">#REF!</definedName>
    <definedName name="a" localSheetId="147">#REF!</definedName>
    <definedName name="a" localSheetId="33">#REF!</definedName>
    <definedName name="a" localSheetId="93">#REF!</definedName>
    <definedName name="a" localSheetId="143">#REF!</definedName>
    <definedName name="a" localSheetId="144">#REF!</definedName>
    <definedName name="a" localSheetId="145">#REF!</definedName>
    <definedName name="a" localSheetId="157">#REF!</definedName>
    <definedName name="a" localSheetId="90">#REF!</definedName>
    <definedName name="a" localSheetId="99">#REF!</definedName>
    <definedName name="a">#REF!</definedName>
    <definedName name="actpm" localSheetId="113">#REF!</definedName>
    <definedName name="actpm" localSheetId="114">#REF!</definedName>
    <definedName name="actpm" localSheetId="116">#REF!</definedName>
    <definedName name="actpm" localSheetId="128">#REF!</definedName>
    <definedName name="actpm" localSheetId="140">#REF!</definedName>
    <definedName name="actpm" localSheetId="141">#REF!</definedName>
    <definedName name="actpm" localSheetId="142">#REF!</definedName>
    <definedName name="actpm" localSheetId="51">#REF!</definedName>
    <definedName name="actpm" localSheetId="115">#REF!</definedName>
    <definedName name="actpm" localSheetId="117">#REF!</definedName>
    <definedName name="actpm" localSheetId="146">#REF!</definedName>
    <definedName name="actpm" localSheetId="147">#REF!</definedName>
    <definedName name="actpm" localSheetId="143">#REF!</definedName>
    <definedName name="actpm" localSheetId="144">#REF!</definedName>
    <definedName name="actpm" localSheetId="145">#REF!</definedName>
    <definedName name="actpm" localSheetId="110">#REF!</definedName>
    <definedName name="actpm" localSheetId="86">#REF!</definedName>
    <definedName name="actpm">#REF!</definedName>
    <definedName name="add_funds_2004" localSheetId="64">#REF!</definedName>
    <definedName name="add_funds_2004" localSheetId="73">#REF!</definedName>
    <definedName name="add_funds_2004" localSheetId="81">#REF!</definedName>
    <definedName name="add_funds_2004" localSheetId="84">#REF!</definedName>
    <definedName name="add_funds_2004" localSheetId="91">#REF!</definedName>
    <definedName name="add_funds_2004" localSheetId="94">#REF!</definedName>
    <definedName name="add_funds_2004" localSheetId="113">'[1]CLM Programs'!#REF!</definedName>
    <definedName name="add_funds_2004" localSheetId="114">'[1]CLM Programs'!#REF!</definedName>
    <definedName name="add_funds_2004" localSheetId="116">'[1]CLM Programs'!#REF!</definedName>
    <definedName name="add_funds_2004" localSheetId="128">'[1]CLM Programs'!#REF!</definedName>
    <definedName name="add_funds_2004" localSheetId="140">#REF!</definedName>
    <definedName name="add_funds_2004" localSheetId="141">#REF!</definedName>
    <definedName name="add_funds_2004" localSheetId="142">#REF!</definedName>
    <definedName name="add_funds_2004" localSheetId="51">#REF!</definedName>
    <definedName name="add_funds_2004" localSheetId="49">#REF!</definedName>
    <definedName name="add_funds_2004" localSheetId="53">#REF!</definedName>
    <definedName name="add_funds_2004" localSheetId="63">#REF!</definedName>
    <definedName name="add_funds_2004" localSheetId="72">#REF!</definedName>
    <definedName name="add_funds_2004" localSheetId="79">#REF!</definedName>
    <definedName name="add_funds_2004" localSheetId="97">'[1]CLM Programs'!#REF!</definedName>
    <definedName name="add_funds_2004" localSheetId="98">'[1]CLM Programs'!#REF!</definedName>
    <definedName name="add_funds_2004" localSheetId="101">'[1]CLM Programs'!#REF!</definedName>
    <definedName name="add_funds_2004" localSheetId="9">'[1]CLM Programs'!#REF!</definedName>
    <definedName name="add_funds_2004" localSheetId="10">'[1]CLM Programs'!#REF!</definedName>
    <definedName name="add_funds_2004" localSheetId="8">'[1]CLM Programs'!#REF!</definedName>
    <definedName name="add_funds_2004" localSheetId="74">#REF!</definedName>
    <definedName name="add_funds_2004" localSheetId="82">#REF!</definedName>
    <definedName name="add_funds_2004" localSheetId="92">#REF!</definedName>
    <definedName name="add_funds_2004" localSheetId="95">#REF!</definedName>
    <definedName name="add_funds_2004" localSheetId="115">'[1]CLM Programs'!#REF!</definedName>
    <definedName name="add_funds_2004" localSheetId="117">'[1]CLM Programs'!#REF!</definedName>
    <definedName name="add_funds_2004" localSheetId="146">'[1]CLM Programs'!#REF!</definedName>
    <definedName name="add_funds_2004" localSheetId="147">'[1]CLM Programs'!#REF!</definedName>
    <definedName name="add_funds_2004" localSheetId="143">#REF!</definedName>
    <definedName name="add_funds_2004" localSheetId="144">#REF!</definedName>
    <definedName name="add_funds_2004" localSheetId="145">#REF!</definedName>
    <definedName name="add_funds_2004" localSheetId="37">'[1]CLM Programs'!#REF!</definedName>
    <definedName name="add_funds_2004" localSheetId="66">#REF!</definedName>
    <definedName name="add_funds_2004" localSheetId="70">#REF!</definedName>
    <definedName name="add_funds_2004" localSheetId="83">#REF!</definedName>
    <definedName name="add_funds_2004" localSheetId="90">#REF!</definedName>
    <definedName name="add_funds_2004" localSheetId="99">#REF!</definedName>
    <definedName name="add_funds_2004" localSheetId="106">'[1]CLM Programs'!#REF!</definedName>
    <definedName name="add_funds_2004" localSheetId="107">'[1]CLM Programs'!#REF!</definedName>
    <definedName name="add_funds_2004" localSheetId="108">'[1]CLM Programs'!#REF!</definedName>
    <definedName name="add_funds_2004" localSheetId="7">'[1]CLM Programs'!#REF!</definedName>
    <definedName name="add_funds_2004" localSheetId="110">'[1]CLM Programs'!#REF!</definedName>
    <definedName name="add_funds_2004" localSheetId="41">#REF!</definedName>
    <definedName name="add_funds_2004" localSheetId="43">#REF!</definedName>
    <definedName name="add_funds_2004" localSheetId="86">'[1]CLM Programs'!#REF!</definedName>
    <definedName name="add_funds_2004">'[1]CLM Programs'!#REF!</definedName>
    <definedName name="Adjust_Col1" localSheetId="64">#REF!</definedName>
    <definedName name="Adjust_Col1" localSheetId="73">#REF!</definedName>
    <definedName name="Adjust_Col1" localSheetId="81">#REF!</definedName>
    <definedName name="Adjust_Col1" localSheetId="84">#REF!</definedName>
    <definedName name="Adjust_Col1" localSheetId="91">#REF!</definedName>
    <definedName name="Adjust_Col1" localSheetId="94">#REF!</definedName>
    <definedName name="Adjust_Col1" localSheetId="113">'[1]CLM Programs'!#REF!</definedName>
    <definedName name="Adjust_Col1" localSheetId="114">'[1]CLM Programs'!#REF!</definedName>
    <definedName name="Adjust_Col1" localSheetId="116">'[1]CLM Programs'!#REF!</definedName>
    <definedName name="Adjust_Col1" localSheetId="128">'[1]CLM Programs'!#REF!</definedName>
    <definedName name="Adjust_Col1" localSheetId="140">#REF!</definedName>
    <definedName name="Adjust_Col1" localSheetId="141">#REF!</definedName>
    <definedName name="Adjust_Col1" localSheetId="142">#REF!</definedName>
    <definedName name="Adjust_Col1" localSheetId="51">#REF!</definedName>
    <definedName name="Adjust_Col1" localSheetId="49">#REF!</definedName>
    <definedName name="Adjust_Col1" localSheetId="53">#REF!</definedName>
    <definedName name="Adjust_Col1" localSheetId="63">#REF!</definedName>
    <definedName name="Adjust_Col1" localSheetId="72">#REF!</definedName>
    <definedName name="Adjust_Col1" localSheetId="79">#REF!</definedName>
    <definedName name="Adjust_Col1" localSheetId="97">'[1]CLM Programs'!#REF!</definedName>
    <definedName name="Adjust_Col1" localSheetId="98">'[1]CLM Programs'!#REF!</definedName>
    <definedName name="Adjust_Col1" localSheetId="101">'[1]CLM Programs'!#REF!</definedName>
    <definedName name="Adjust_Col1" localSheetId="9">'[1]CLM Programs'!#REF!</definedName>
    <definedName name="Adjust_Col1" localSheetId="10">'[1]CLM Programs'!#REF!</definedName>
    <definedName name="Adjust_Col1" localSheetId="8">'[1]CLM Programs'!#REF!</definedName>
    <definedName name="Adjust_Col1" localSheetId="74">#REF!</definedName>
    <definedName name="Adjust_Col1" localSheetId="82">#REF!</definedName>
    <definedName name="Adjust_Col1" localSheetId="92">#REF!</definedName>
    <definedName name="Adjust_Col1" localSheetId="95">#REF!</definedName>
    <definedName name="Adjust_Col1" localSheetId="115">'[1]CLM Programs'!#REF!</definedName>
    <definedName name="Adjust_Col1" localSheetId="117">'[1]CLM Programs'!#REF!</definedName>
    <definedName name="Adjust_Col1" localSheetId="146">'[1]CLM Programs'!#REF!</definedName>
    <definedName name="Adjust_Col1" localSheetId="147">'[1]CLM Programs'!#REF!</definedName>
    <definedName name="Adjust_Col1" localSheetId="143">#REF!</definedName>
    <definedName name="Adjust_Col1" localSheetId="144">#REF!</definedName>
    <definedName name="Adjust_Col1" localSheetId="145">#REF!</definedName>
    <definedName name="Adjust_Col1" localSheetId="37">'[1]CLM Programs'!#REF!</definedName>
    <definedName name="Adjust_Col1" localSheetId="66">#REF!</definedName>
    <definedName name="Adjust_Col1" localSheetId="70">#REF!</definedName>
    <definedName name="Adjust_Col1" localSheetId="83">#REF!</definedName>
    <definedName name="Adjust_Col1" localSheetId="90">#REF!</definedName>
    <definedName name="Adjust_Col1" localSheetId="99">#REF!</definedName>
    <definedName name="Adjust_Col1" localSheetId="106">'[1]CLM Programs'!#REF!</definedName>
    <definedName name="Adjust_Col1" localSheetId="107">'[1]CLM Programs'!#REF!</definedName>
    <definedName name="Adjust_Col1" localSheetId="108">'[1]CLM Programs'!#REF!</definedName>
    <definedName name="Adjust_Col1" localSheetId="7">'[1]CLM Programs'!#REF!</definedName>
    <definedName name="Adjust_Col1" localSheetId="110">'[1]CLM Programs'!#REF!</definedName>
    <definedName name="Adjust_Col1" localSheetId="41">#REF!</definedName>
    <definedName name="Adjust_Col1" localSheetId="43">#REF!</definedName>
    <definedName name="Adjust_Col1" localSheetId="86">'[1]CLM Programs'!#REF!</definedName>
    <definedName name="Adjust_Col1">'[1]CLM Programs'!#REF!</definedName>
    <definedName name="alloc_add_funds2004" localSheetId="64">#REF!</definedName>
    <definedName name="alloc_add_funds2004" localSheetId="73">#REF!</definedName>
    <definedName name="alloc_add_funds2004" localSheetId="81">#REF!</definedName>
    <definedName name="alloc_add_funds2004" localSheetId="84">#REF!</definedName>
    <definedName name="alloc_add_funds2004" localSheetId="91">#REF!</definedName>
    <definedName name="alloc_add_funds2004" localSheetId="94">#REF!</definedName>
    <definedName name="alloc_add_funds2004" localSheetId="113">'[1]CLM Programs'!#REF!</definedName>
    <definedName name="alloc_add_funds2004" localSheetId="114">'[1]CLM Programs'!#REF!</definedName>
    <definedName name="alloc_add_funds2004" localSheetId="116">'[1]CLM Programs'!#REF!</definedName>
    <definedName name="alloc_add_funds2004" localSheetId="128">'[1]CLM Programs'!#REF!</definedName>
    <definedName name="alloc_add_funds2004" localSheetId="140">#REF!</definedName>
    <definedName name="alloc_add_funds2004" localSheetId="141">#REF!</definedName>
    <definedName name="alloc_add_funds2004" localSheetId="142">#REF!</definedName>
    <definedName name="alloc_add_funds2004" localSheetId="51">#REF!</definedName>
    <definedName name="alloc_add_funds2004" localSheetId="49">#REF!</definedName>
    <definedName name="alloc_add_funds2004" localSheetId="53">#REF!</definedName>
    <definedName name="alloc_add_funds2004" localSheetId="63">#REF!</definedName>
    <definedName name="alloc_add_funds2004" localSheetId="72">#REF!</definedName>
    <definedName name="alloc_add_funds2004" localSheetId="79">#REF!</definedName>
    <definedName name="alloc_add_funds2004" localSheetId="97">'[1]CLM Programs'!#REF!</definedName>
    <definedName name="alloc_add_funds2004" localSheetId="98">'[1]CLM Programs'!#REF!</definedName>
    <definedName name="alloc_add_funds2004" localSheetId="101">'[1]CLM Programs'!#REF!</definedName>
    <definedName name="alloc_add_funds2004" localSheetId="9">'[1]CLM Programs'!#REF!</definedName>
    <definedName name="alloc_add_funds2004" localSheetId="10">'[1]CLM Programs'!#REF!</definedName>
    <definedName name="alloc_add_funds2004" localSheetId="8">'[1]CLM Programs'!#REF!</definedName>
    <definedName name="alloc_add_funds2004" localSheetId="74">#REF!</definedName>
    <definedName name="alloc_add_funds2004" localSheetId="82">#REF!</definedName>
    <definedName name="alloc_add_funds2004" localSheetId="92">#REF!</definedName>
    <definedName name="alloc_add_funds2004" localSheetId="95">#REF!</definedName>
    <definedName name="alloc_add_funds2004" localSheetId="115">'[1]CLM Programs'!#REF!</definedName>
    <definedName name="alloc_add_funds2004" localSheetId="117">'[1]CLM Programs'!#REF!</definedName>
    <definedName name="alloc_add_funds2004" localSheetId="146">'[1]CLM Programs'!#REF!</definedName>
    <definedName name="alloc_add_funds2004" localSheetId="147">'[1]CLM Programs'!#REF!</definedName>
    <definedName name="alloc_add_funds2004" localSheetId="143">#REF!</definedName>
    <definedName name="alloc_add_funds2004" localSheetId="144">#REF!</definedName>
    <definedName name="alloc_add_funds2004" localSheetId="145">#REF!</definedName>
    <definedName name="alloc_add_funds2004" localSheetId="37">'[1]CLM Programs'!#REF!</definedName>
    <definedName name="alloc_add_funds2004" localSheetId="66">#REF!</definedName>
    <definedName name="alloc_add_funds2004" localSheetId="70">#REF!</definedName>
    <definedName name="alloc_add_funds2004" localSheetId="83">#REF!</definedName>
    <definedName name="alloc_add_funds2004" localSheetId="90">#REF!</definedName>
    <definedName name="alloc_add_funds2004" localSheetId="99">#REF!</definedName>
    <definedName name="alloc_add_funds2004" localSheetId="106">'[1]CLM Programs'!#REF!</definedName>
    <definedName name="alloc_add_funds2004" localSheetId="107">'[1]CLM Programs'!#REF!</definedName>
    <definedName name="alloc_add_funds2004" localSheetId="108">'[1]CLM Programs'!#REF!</definedName>
    <definedName name="alloc_add_funds2004" localSheetId="7">'[1]CLM Programs'!#REF!</definedName>
    <definedName name="alloc_add_funds2004" localSheetId="110">'[1]CLM Programs'!#REF!</definedName>
    <definedName name="alloc_add_funds2004" localSheetId="41">#REF!</definedName>
    <definedName name="alloc_add_funds2004" localSheetId="43">#REF!</definedName>
    <definedName name="alloc_add_funds2004" localSheetId="86">'[1]CLM Programs'!#REF!</definedName>
    <definedName name="alloc_add_funds2004">'[1]CLM Programs'!#REF!</definedName>
    <definedName name="ARACT" localSheetId="55">'[2]Attachment EL-17-1 Page 2 of 2'!#REF!</definedName>
    <definedName name="ARACT" localSheetId="57">'[2]Attachment EL-17-1 Page 2 of 2'!#REF!</definedName>
    <definedName name="ARACT" localSheetId="61">'[2]Attachment EL-17-1 Page 2 of 2'!#REF!</definedName>
    <definedName name="ARACT" localSheetId="64">'[2]Attachment EL-17-1 Page 2 of 2'!#REF!</definedName>
    <definedName name="ARACT" localSheetId="73">'[2]Attachment EL-17-1 Page 2 of 2'!#REF!</definedName>
    <definedName name="ARACT" localSheetId="81">'[2]Attachment EL-17-1 Page 2 of 2'!#REF!</definedName>
    <definedName name="ARACT" localSheetId="84">'[2]Attachment EL-17-1 Page 2 of 2'!#REF!</definedName>
    <definedName name="ARACT" localSheetId="91">'[2]Attachment EL-17-1 Page 2 of 2'!#REF!</definedName>
    <definedName name="ARACT" localSheetId="94">'[2]Attachment EL-17-1 Page 2 of 2'!#REF!</definedName>
    <definedName name="ARACT" localSheetId="1">'[2]Attachment EL-17-1 Page 2 of 2'!#REF!</definedName>
    <definedName name="ARACT" localSheetId="32">'[2]Attachment EL-17-1 Page 2 of 2'!#REF!</definedName>
    <definedName name="ARACT" localSheetId="39">'[2]Attachment EL-17-1 Page 2 of 2'!#REF!</definedName>
    <definedName name="ARACT" localSheetId="56">'[2]Attachment EL-17-1 Page 2 of 2'!#REF!</definedName>
    <definedName name="ARACT" localSheetId="59">'[2]Attachment EL-17-1 Page 2 of 2'!#REF!</definedName>
    <definedName name="ARACT" localSheetId="113">'[2]Attachment EL-17-1 Page 2 of 2'!#REF!</definedName>
    <definedName name="ARACT" localSheetId="114">'[2]Attachment EL-17-1 Page 2 of 2'!#REF!</definedName>
    <definedName name="ARACT" localSheetId="54">'[2]Attachment EL-17-1 Page 2 of 2'!#REF!</definedName>
    <definedName name="ARACT" localSheetId="116">'[2]Attachment EL-17-1 Page 2 of 2'!#REF!</definedName>
    <definedName name="ARACT" localSheetId="19">'[2]Attachment EL-17-1 Page 2 of 2'!#REF!</definedName>
    <definedName name="ARACT" localSheetId="65">'[2]Attachment EL-17-1 Page 2 of 2'!#REF!</definedName>
    <definedName name="ARACT" localSheetId="128">'[2]Attachment EL-17-1 Page 2 of 2'!#REF!</definedName>
    <definedName name="ARACT" localSheetId="20">'[2]Attachment EL-17-1 Page 2 of 2'!#REF!</definedName>
    <definedName name="ARACT" localSheetId="75">'[2]Attachment EL-17-1 Page 2 of 2'!#REF!</definedName>
    <definedName name="ARACT" localSheetId="140">'[3]Attachment EL-17-1 Page 2 of 2'!#REF!</definedName>
    <definedName name="ARACT" localSheetId="141">'[3]Attachment EL-17-1 Page 2 of 2'!#REF!</definedName>
    <definedName name="ARACT" localSheetId="142">'[3]Attachment EL-17-1 Page 2 of 2'!#REF!</definedName>
    <definedName name="ARACT" localSheetId="51">'[2]Attachment EL-17-1 Page 2 of 2'!#REF!</definedName>
    <definedName name="ARACT" localSheetId="53">'[2]Attachment EL-17-1 Page 2 of 2'!#REF!</definedName>
    <definedName name="ARACT" localSheetId="63">'[2]Attachment EL-17-1 Page 2 of 2'!#REF!</definedName>
    <definedName name="ARACT" localSheetId="72">'[2]Attachment EL-17-1 Page 2 of 2'!#REF!</definedName>
    <definedName name="ARACT" localSheetId="79">'[2]Attachment EL-17-1 Page 2 of 2'!#REF!</definedName>
    <definedName name="ARACT" localSheetId="97">'[2]Attachment EL-17-1 Page 2 of 2'!#REF!</definedName>
    <definedName name="ARACT" localSheetId="98">'[2]Attachment EL-17-1 Page 2 of 2'!#REF!</definedName>
    <definedName name="ARACT" localSheetId="101">'[2]Attachment EL-17-1 Page 2 of 2'!#REF!</definedName>
    <definedName name="ARACT" localSheetId="58">'[2]Attachment EL-17-1 Page 2 of 2'!#REF!</definedName>
    <definedName name="ARACT" localSheetId="62">'[2]Attachment EL-17-1 Page 2 of 2'!#REF!</definedName>
    <definedName name="ARACT" localSheetId="74">'[2]Attachment EL-17-1 Page 2 of 2'!#REF!</definedName>
    <definedName name="ARACT" localSheetId="82">'[2]Attachment EL-17-1 Page 2 of 2'!#REF!</definedName>
    <definedName name="ARACT" localSheetId="92">'[2]Attachment EL-17-1 Page 2 of 2'!#REF!</definedName>
    <definedName name="ARACT" localSheetId="95">'[2]Attachment EL-17-1 Page 2 of 2'!#REF!</definedName>
    <definedName name="ARACT" localSheetId="115">'[2]Attachment EL-17-1 Page 2 of 2'!#REF!</definedName>
    <definedName name="ARACT" localSheetId="117">'[2]Attachment EL-17-1 Page 2 of 2'!#REF!</definedName>
    <definedName name="ARACT" localSheetId="28">'[2]Attachment EL-17-1 Page 2 of 2'!#REF!</definedName>
    <definedName name="ARACT" localSheetId="71">'[2]Attachment EL-17-1 Page 2 of 2'!#REF!</definedName>
    <definedName name="ARACT" localSheetId="146">'[2]Attachment EL-17-1 Page 2 of 2'!#REF!</definedName>
    <definedName name="ARACT" localSheetId="31">'[2]Attachment EL-17-1 Page 2 of 2'!#REF!</definedName>
    <definedName name="ARACT" localSheetId="85">'[2]Attachment EL-17-1 Page 2 of 2'!#REF!</definedName>
    <definedName name="ARACT" localSheetId="147">'[2]Attachment EL-17-1 Page 2 of 2'!#REF!</definedName>
    <definedName name="ARACT" localSheetId="33">'[2]Attachment EL-17-1 Page 2 of 2'!#REF!</definedName>
    <definedName name="ARACT" localSheetId="93">'[2]Attachment EL-17-1 Page 2 of 2'!#REF!</definedName>
    <definedName name="ARACT" localSheetId="143">'[3]Attachment EL-17-1 Page 2 of 2'!#REF!</definedName>
    <definedName name="ARACT" localSheetId="144">'[3]Attachment EL-17-1 Page 2 of 2'!#REF!</definedName>
    <definedName name="ARACT" localSheetId="145">'[3]Attachment EL-17-1 Page 2 of 2'!#REF!</definedName>
    <definedName name="ARACT" localSheetId="157">'[2]Attachment EL-17-1 Page 2 of 2'!#REF!</definedName>
    <definedName name="ARACT" localSheetId="37">'[2]Attachment EL-17-1 Page 2 of 2'!#REF!</definedName>
    <definedName name="ARACT" localSheetId="70">'[2]Attachment EL-17-1 Page 2 of 2'!#REF!</definedName>
    <definedName name="ARACT" localSheetId="83">'[2]Attachment EL-17-1 Page 2 of 2'!#REF!</definedName>
    <definedName name="ARACT" localSheetId="90">'[2]Attachment EL-17-1 Page 2 of 2'!#REF!</definedName>
    <definedName name="ARACT" localSheetId="99">'[2]Attachment EL-17-1 Page 2 of 2'!#REF!</definedName>
    <definedName name="ARACT" localSheetId="106">'[2]Attachment EL-17-1 Page 2 of 2'!#REF!</definedName>
    <definedName name="ARACT" localSheetId="107">'[2]Attachment EL-17-1 Page 2 of 2'!#REF!</definedName>
    <definedName name="ARACT" localSheetId="108">'[2]Attachment EL-17-1 Page 2 of 2'!#REF!</definedName>
    <definedName name="ARACT" localSheetId="7">'[2]Attachment EL-17-1 Page 2 of 2'!#REF!</definedName>
    <definedName name="ARACT" localSheetId="110">'[2]Attachment EL-17-1 Page 2 of 2'!#REF!</definedName>
    <definedName name="ARACT" localSheetId="86">'[2]Attachment EL-17-1 Page 2 of 2'!#REF!</definedName>
    <definedName name="ARACT" localSheetId="88">'[2]Attachment EL-17-1 Page 2 of 2'!#REF!</definedName>
    <definedName name="ARACT" localSheetId="87">'[2]Attachment EL-17-1 Page 2 of 2'!#REF!</definedName>
    <definedName name="ARACT" localSheetId="89">'[2]Attachment EL-17-1 Page 2 of 2'!#REF!</definedName>
    <definedName name="ARACT">'[2]Attachment EL-17-1 Page 2 of 2'!#REF!</definedName>
    <definedName name="arbud" localSheetId="55">'[2]Attachment EL-17-1 Page 2 of 2'!#REF!</definedName>
    <definedName name="arbud" localSheetId="57">'[2]Attachment EL-17-1 Page 2 of 2'!#REF!</definedName>
    <definedName name="arbud" localSheetId="61">'[2]Attachment EL-17-1 Page 2 of 2'!#REF!</definedName>
    <definedName name="arbud" localSheetId="64">'[2]Attachment EL-17-1 Page 2 of 2'!#REF!</definedName>
    <definedName name="arbud" localSheetId="73">'[2]Attachment EL-17-1 Page 2 of 2'!#REF!</definedName>
    <definedName name="arbud" localSheetId="81">'[2]Attachment EL-17-1 Page 2 of 2'!#REF!</definedName>
    <definedName name="arbud" localSheetId="84">'[2]Attachment EL-17-1 Page 2 of 2'!#REF!</definedName>
    <definedName name="arbud" localSheetId="91">'[2]Attachment EL-17-1 Page 2 of 2'!#REF!</definedName>
    <definedName name="arbud" localSheetId="94">'[2]Attachment EL-17-1 Page 2 of 2'!#REF!</definedName>
    <definedName name="arbud" localSheetId="1">'[2]Attachment EL-17-1 Page 2 of 2'!#REF!</definedName>
    <definedName name="arbud" localSheetId="32">'[2]Attachment EL-17-1 Page 2 of 2'!#REF!</definedName>
    <definedName name="arbud" localSheetId="39">'[2]Attachment EL-17-1 Page 2 of 2'!#REF!</definedName>
    <definedName name="arbud" localSheetId="56">'[2]Attachment EL-17-1 Page 2 of 2'!#REF!</definedName>
    <definedName name="arbud" localSheetId="59">'[2]Attachment EL-17-1 Page 2 of 2'!#REF!</definedName>
    <definedName name="arbud" localSheetId="113">'[2]Attachment EL-17-1 Page 2 of 2'!#REF!</definedName>
    <definedName name="arbud" localSheetId="114">'[2]Attachment EL-17-1 Page 2 of 2'!#REF!</definedName>
    <definedName name="arbud" localSheetId="54">'[2]Attachment EL-17-1 Page 2 of 2'!#REF!</definedName>
    <definedName name="arbud" localSheetId="116">'[2]Attachment EL-17-1 Page 2 of 2'!#REF!</definedName>
    <definedName name="arbud" localSheetId="19">'[2]Attachment EL-17-1 Page 2 of 2'!#REF!</definedName>
    <definedName name="arbud" localSheetId="65">'[2]Attachment EL-17-1 Page 2 of 2'!#REF!</definedName>
    <definedName name="arbud" localSheetId="128">'[2]Attachment EL-17-1 Page 2 of 2'!#REF!</definedName>
    <definedName name="arbud" localSheetId="20">'[2]Attachment EL-17-1 Page 2 of 2'!#REF!</definedName>
    <definedName name="arbud" localSheetId="75">'[2]Attachment EL-17-1 Page 2 of 2'!#REF!</definedName>
    <definedName name="arbud" localSheetId="140">'[3]Attachment EL-17-1 Page 2 of 2'!#REF!</definedName>
    <definedName name="arbud" localSheetId="141">'[3]Attachment EL-17-1 Page 2 of 2'!#REF!</definedName>
    <definedName name="arbud" localSheetId="142">'[3]Attachment EL-17-1 Page 2 of 2'!#REF!</definedName>
    <definedName name="arbud" localSheetId="51">'[2]Attachment EL-17-1 Page 2 of 2'!#REF!</definedName>
    <definedName name="arbud" localSheetId="53">'[2]Attachment EL-17-1 Page 2 of 2'!#REF!</definedName>
    <definedName name="arbud" localSheetId="63">'[2]Attachment EL-17-1 Page 2 of 2'!#REF!</definedName>
    <definedName name="arbud" localSheetId="72">'[2]Attachment EL-17-1 Page 2 of 2'!#REF!</definedName>
    <definedName name="arbud" localSheetId="79">'[2]Attachment EL-17-1 Page 2 of 2'!#REF!</definedName>
    <definedName name="arbud" localSheetId="97">'[2]Attachment EL-17-1 Page 2 of 2'!#REF!</definedName>
    <definedName name="arbud" localSheetId="98">'[2]Attachment EL-17-1 Page 2 of 2'!#REF!</definedName>
    <definedName name="arbud" localSheetId="101">'[2]Attachment EL-17-1 Page 2 of 2'!#REF!</definedName>
    <definedName name="arbud" localSheetId="58">'[2]Attachment EL-17-1 Page 2 of 2'!#REF!</definedName>
    <definedName name="arbud" localSheetId="62">'[2]Attachment EL-17-1 Page 2 of 2'!#REF!</definedName>
    <definedName name="arbud" localSheetId="74">'[2]Attachment EL-17-1 Page 2 of 2'!#REF!</definedName>
    <definedName name="arbud" localSheetId="82">'[2]Attachment EL-17-1 Page 2 of 2'!#REF!</definedName>
    <definedName name="arbud" localSheetId="92">'[2]Attachment EL-17-1 Page 2 of 2'!#REF!</definedName>
    <definedName name="arbud" localSheetId="95">'[2]Attachment EL-17-1 Page 2 of 2'!#REF!</definedName>
    <definedName name="arbud" localSheetId="115">'[2]Attachment EL-17-1 Page 2 of 2'!#REF!</definedName>
    <definedName name="arbud" localSheetId="117">'[2]Attachment EL-17-1 Page 2 of 2'!#REF!</definedName>
    <definedName name="arbud" localSheetId="28">'[2]Attachment EL-17-1 Page 2 of 2'!#REF!</definedName>
    <definedName name="arbud" localSheetId="71">'[2]Attachment EL-17-1 Page 2 of 2'!#REF!</definedName>
    <definedName name="arbud" localSheetId="146">'[2]Attachment EL-17-1 Page 2 of 2'!#REF!</definedName>
    <definedName name="arbud" localSheetId="31">'[2]Attachment EL-17-1 Page 2 of 2'!#REF!</definedName>
    <definedName name="arbud" localSheetId="85">'[2]Attachment EL-17-1 Page 2 of 2'!#REF!</definedName>
    <definedName name="arbud" localSheetId="147">'[2]Attachment EL-17-1 Page 2 of 2'!#REF!</definedName>
    <definedName name="arbud" localSheetId="33">'[2]Attachment EL-17-1 Page 2 of 2'!#REF!</definedName>
    <definedName name="arbud" localSheetId="93">'[2]Attachment EL-17-1 Page 2 of 2'!#REF!</definedName>
    <definedName name="arbud" localSheetId="143">'[3]Attachment EL-17-1 Page 2 of 2'!#REF!</definedName>
    <definedName name="arbud" localSheetId="144">'[3]Attachment EL-17-1 Page 2 of 2'!#REF!</definedName>
    <definedName name="arbud" localSheetId="145">'[3]Attachment EL-17-1 Page 2 of 2'!#REF!</definedName>
    <definedName name="arbud" localSheetId="157">'[2]Attachment EL-17-1 Page 2 of 2'!#REF!</definedName>
    <definedName name="arbud" localSheetId="37">'[2]Attachment EL-17-1 Page 2 of 2'!#REF!</definedName>
    <definedName name="arbud" localSheetId="70">'[2]Attachment EL-17-1 Page 2 of 2'!#REF!</definedName>
    <definedName name="arbud" localSheetId="83">'[2]Attachment EL-17-1 Page 2 of 2'!#REF!</definedName>
    <definedName name="arbud" localSheetId="90">'[2]Attachment EL-17-1 Page 2 of 2'!#REF!</definedName>
    <definedName name="arbud" localSheetId="99">'[2]Attachment EL-17-1 Page 2 of 2'!#REF!</definedName>
    <definedName name="arbud" localSheetId="106">'[2]Attachment EL-17-1 Page 2 of 2'!#REF!</definedName>
    <definedName name="arbud" localSheetId="107">'[2]Attachment EL-17-1 Page 2 of 2'!#REF!</definedName>
    <definedName name="arbud" localSheetId="108">'[2]Attachment EL-17-1 Page 2 of 2'!#REF!</definedName>
    <definedName name="arbud" localSheetId="7">'[2]Attachment EL-17-1 Page 2 of 2'!#REF!</definedName>
    <definedName name="arbud" localSheetId="110">'[2]Attachment EL-17-1 Page 2 of 2'!#REF!</definedName>
    <definedName name="arbud" localSheetId="86">'[2]Attachment EL-17-1 Page 2 of 2'!#REF!</definedName>
    <definedName name="arbud" localSheetId="88">'[2]Attachment EL-17-1 Page 2 of 2'!#REF!</definedName>
    <definedName name="arbud" localSheetId="87">'[2]Attachment EL-17-1 Page 2 of 2'!#REF!</definedName>
    <definedName name="arbud" localSheetId="89">'[2]Attachment EL-17-1 Page 2 of 2'!#REF!</definedName>
    <definedName name="arbud">'[2]Attachment EL-17-1 Page 2 of 2'!#REF!</definedName>
    <definedName name="arfor" localSheetId="55">'[2]Attachment EL-17-1 Page 2 of 2'!#REF!</definedName>
    <definedName name="arfor" localSheetId="57">'[2]Attachment EL-17-1 Page 2 of 2'!#REF!</definedName>
    <definedName name="arfor" localSheetId="61">'[2]Attachment EL-17-1 Page 2 of 2'!#REF!</definedName>
    <definedName name="arfor" localSheetId="64">'[2]Attachment EL-17-1 Page 2 of 2'!#REF!</definedName>
    <definedName name="arfor" localSheetId="73">'[2]Attachment EL-17-1 Page 2 of 2'!#REF!</definedName>
    <definedName name="arfor" localSheetId="81">'[2]Attachment EL-17-1 Page 2 of 2'!#REF!</definedName>
    <definedName name="arfor" localSheetId="84">'[2]Attachment EL-17-1 Page 2 of 2'!#REF!</definedName>
    <definedName name="arfor" localSheetId="91">'[2]Attachment EL-17-1 Page 2 of 2'!#REF!</definedName>
    <definedName name="arfor" localSheetId="94">'[2]Attachment EL-17-1 Page 2 of 2'!#REF!</definedName>
    <definedName name="arfor" localSheetId="1">'[2]Attachment EL-17-1 Page 2 of 2'!#REF!</definedName>
    <definedName name="arfor" localSheetId="32">'[2]Attachment EL-17-1 Page 2 of 2'!#REF!</definedName>
    <definedName name="arfor" localSheetId="39">'[2]Attachment EL-17-1 Page 2 of 2'!#REF!</definedName>
    <definedName name="arfor" localSheetId="56">'[2]Attachment EL-17-1 Page 2 of 2'!#REF!</definedName>
    <definedName name="arfor" localSheetId="59">'[2]Attachment EL-17-1 Page 2 of 2'!#REF!</definedName>
    <definedName name="arfor" localSheetId="113">'[2]Attachment EL-17-1 Page 2 of 2'!#REF!</definedName>
    <definedName name="arfor" localSheetId="114">'[2]Attachment EL-17-1 Page 2 of 2'!#REF!</definedName>
    <definedName name="arfor" localSheetId="54">'[2]Attachment EL-17-1 Page 2 of 2'!#REF!</definedName>
    <definedName name="arfor" localSheetId="116">'[2]Attachment EL-17-1 Page 2 of 2'!#REF!</definedName>
    <definedName name="arfor" localSheetId="19">'[2]Attachment EL-17-1 Page 2 of 2'!#REF!</definedName>
    <definedName name="arfor" localSheetId="65">'[2]Attachment EL-17-1 Page 2 of 2'!#REF!</definedName>
    <definedName name="arfor" localSheetId="128">'[2]Attachment EL-17-1 Page 2 of 2'!#REF!</definedName>
    <definedName name="arfor" localSheetId="20">'[2]Attachment EL-17-1 Page 2 of 2'!#REF!</definedName>
    <definedName name="arfor" localSheetId="75">'[2]Attachment EL-17-1 Page 2 of 2'!#REF!</definedName>
    <definedName name="arfor" localSheetId="140">'[3]Attachment EL-17-1 Page 2 of 2'!#REF!</definedName>
    <definedName name="arfor" localSheetId="141">'[3]Attachment EL-17-1 Page 2 of 2'!#REF!</definedName>
    <definedName name="arfor" localSheetId="142">'[3]Attachment EL-17-1 Page 2 of 2'!#REF!</definedName>
    <definedName name="arfor" localSheetId="51">'[2]Attachment EL-17-1 Page 2 of 2'!#REF!</definedName>
    <definedName name="arfor" localSheetId="53">'[2]Attachment EL-17-1 Page 2 of 2'!#REF!</definedName>
    <definedName name="arfor" localSheetId="63">'[2]Attachment EL-17-1 Page 2 of 2'!#REF!</definedName>
    <definedName name="arfor" localSheetId="72">'[2]Attachment EL-17-1 Page 2 of 2'!#REF!</definedName>
    <definedName name="arfor" localSheetId="79">'[2]Attachment EL-17-1 Page 2 of 2'!#REF!</definedName>
    <definedName name="arfor" localSheetId="97">'[2]Attachment EL-17-1 Page 2 of 2'!#REF!</definedName>
    <definedName name="arfor" localSheetId="98">'[2]Attachment EL-17-1 Page 2 of 2'!#REF!</definedName>
    <definedName name="arfor" localSheetId="101">'[2]Attachment EL-17-1 Page 2 of 2'!#REF!</definedName>
    <definedName name="arfor" localSheetId="58">'[2]Attachment EL-17-1 Page 2 of 2'!#REF!</definedName>
    <definedName name="arfor" localSheetId="62">'[2]Attachment EL-17-1 Page 2 of 2'!#REF!</definedName>
    <definedName name="arfor" localSheetId="74">'[2]Attachment EL-17-1 Page 2 of 2'!#REF!</definedName>
    <definedName name="arfor" localSheetId="82">'[2]Attachment EL-17-1 Page 2 of 2'!#REF!</definedName>
    <definedName name="arfor" localSheetId="92">'[2]Attachment EL-17-1 Page 2 of 2'!#REF!</definedName>
    <definedName name="arfor" localSheetId="95">'[2]Attachment EL-17-1 Page 2 of 2'!#REF!</definedName>
    <definedName name="arfor" localSheetId="115">'[2]Attachment EL-17-1 Page 2 of 2'!#REF!</definedName>
    <definedName name="arfor" localSheetId="117">'[2]Attachment EL-17-1 Page 2 of 2'!#REF!</definedName>
    <definedName name="arfor" localSheetId="28">'[2]Attachment EL-17-1 Page 2 of 2'!#REF!</definedName>
    <definedName name="arfor" localSheetId="71">'[2]Attachment EL-17-1 Page 2 of 2'!#REF!</definedName>
    <definedName name="arfor" localSheetId="146">'[2]Attachment EL-17-1 Page 2 of 2'!#REF!</definedName>
    <definedName name="arfor" localSheetId="31">'[2]Attachment EL-17-1 Page 2 of 2'!#REF!</definedName>
    <definedName name="arfor" localSheetId="85">'[2]Attachment EL-17-1 Page 2 of 2'!#REF!</definedName>
    <definedName name="arfor" localSheetId="147">'[2]Attachment EL-17-1 Page 2 of 2'!#REF!</definedName>
    <definedName name="arfor" localSheetId="33">'[2]Attachment EL-17-1 Page 2 of 2'!#REF!</definedName>
    <definedName name="arfor" localSheetId="93">'[2]Attachment EL-17-1 Page 2 of 2'!#REF!</definedName>
    <definedName name="arfor" localSheetId="143">'[3]Attachment EL-17-1 Page 2 of 2'!#REF!</definedName>
    <definedName name="arfor" localSheetId="144">'[3]Attachment EL-17-1 Page 2 of 2'!#REF!</definedName>
    <definedName name="arfor" localSheetId="145">'[3]Attachment EL-17-1 Page 2 of 2'!#REF!</definedName>
    <definedName name="arfor" localSheetId="157">'[2]Attachment EL-17-1 Page 2 of 2'!#REF!</definedName>
    <definedName name="arfor" localSheetId="37">'[2]Attachment EL-17-1 Page 2 of 2'!#REF!</definedName>
    <definedName name="arfor" localSheetId="70">'[2]Attachment EL-17-1 Page 2 of 2'!#REF!</definedName>
    <definedName name="arfor" localSheetId="83">'[2]Attachment EL-17-1 Page 2 of 2'!#REF!</definedName>
    <definedName name="arfor" localSheetId="90">'[2]Attachment EL-17-1 Page 2 of 2'!#REF!</definedName>
    <definedName name="arfor" localSheetId="99">'[2]Attachment EL-17-1 Page 2 of 2'!#REF!</definedName>
    <definedName name="arfor" localSheetId="106">'[2]Attachment EL-17-1 Page 2 of 2'!#REF!</definedName>
    <definedName name="arfor" localSheetId="107">'[2]Attachment EL-17-1 Page 2 of 2'!#REF!</definedName>
    <definedName name="arfor" localSheetId="108">'[2]Attachment EL-17-1 Page 2 of 2'!#REF!</definedName>
    <definedName name="arfor" localSheetId="110">'[2]Attachment EL-17-1 Page 2 of 2'!#REF!</definedName>
    <definedName name="arfor" localSheetId="86">'[2]Attachment EL-17-1 Page 2 of 2'!#REF!</definedName>
    <definedName name="arfor" localSheetId="88">'[2]Attachment EL-17-1 Page 2 of 2'!#REF!</definedName>
    <definedName name="arfor" localSheetId="87">'[2]Attachment EL-17-1 Page 2 of 2'!#REF!</definedName>
    <definedName name="arfor" localSheetId="89">'[2]Attachment EL-17-1 Page 2 of 2'!#REF!</definedName>
    <definedName name="arfor">'[2]Attachment EL-17-1 Page 2 of 2'!#REF!</definedName>
    <definedName name="ATSOACT" localSheetId="55">'[2]Attachment EL-17-1 Page 2 of 2'!#REF!</definedName>
    <definedName name="ATSOACT" localSheetId="57">'[2]Attachment EL-17-1 Page 2 of 2'!#REF!</definedName>
    <definedName name="ATSOACT" localSheetId="61">'[2]Attachment EL-17-1 Page 2 of 2'!#REF!</definedName>
    <definedName name="ATSOACT" localSheetId="64">'[2]Attachment EL-17-1 Page 2 of 2'!#REF!</definedName>
    <definedName name="ATSOACT" localSheetId="73">'[2]Attachment EL-17-1 Page 2 of 2'!#REF!</definedName>
    <definedName name="ATSOACT" localSheetId="81">'[2]Attachment EL-17-1 Page 2 of 2'!#REF!</definedName>
    <definedName name="ATSOACT" localSheetId="84">'[2]Attachment EL-17-1 Page 2 of 2'!#REF!</definedName>
    <definedName name="ATSOACT" localSheetId="91">'[2]Attachment EL-17-1 Page 2 of 2'!#REF!</definedName>
    <definedName name="ATSOACT" localSheetId="94">'[2]Attachment EL-17-1 Page 2 of 2'!#REF!</definedName>
    <definedName name="ATSOACT" localSheetId="1">'[2]Attachment EL-17-1 Page 2 of 2'!#REF!</definedName>
    <definedName name="ATSOACT" localSheetId="32">'[2]Attachment EL-17-1 Page 2 of 2'!#REF!</definedName>
    <definedName name="ATSOACT" localSheetId="39">'[2]Attachment EL-17-1 Page 2 of 2'!#REF!</definedName>
    <definedName name="ATSOACT" localSheetId="56">'[2]Attachment EL-17-1 Page 2 of 2'!#REF!</definedName>
    <definedName name="ATSOACT" localSheetId="59">'[2]Attachment EL-17-1 Page 2 of 2'!#REF!</definedName>
    <definedName name="ATSOACT" localSheetId="113">'[2]Attachment EL-17-1 Page 2 of 2'!#REF!</definedName>
    <definedName name="ATSOACT" localSheetId="114">'[2]Attachment EL-17-1 Page 2 of 2'!#REF!</definedName>
    <definedName name="ATSOACT" localSheetId="54">'[2]Attachment EL-17-1 Page 2 of 2'!#REF!</definedName>
    <definedName name="ATSOACT" localSheetId="116">'[2]Attachment EL-17-1 Page 2 of 2'!#REF!</definedName>
    <definedName name="ATSOACT" localSheetId="19">'[2]Attachment EL-17-1 Page 2 of 2'!#REF!</definedName>
    <definedName name="ATSOACT" localSheetId="65">'[2]Attachment EL-17-1 Page 2 of 2'!#REF!</definedName>
    <definedName name="ATSOACT" localSheetId="128">'[2]Attachment EL-17-1 Page 2 of 2'!#REF!</definedName>
    <definedName name="ATSOACT" localSheetId="20">'[2]Attachment EL-17-1 Page 2 of 2'!#REF!</definedName>
    <definedName name="ATSOACT" localSheetId="75">'[2]Attachment EL-17-1 Page 2 of 2'!#REF!</definedName>
    <definedName name="ATSOACT" localSheetId="140">'[3]Attachment EL-17-1 Page 2 of 2'!#REF!</definedName>
    <definedName name="ATSOACT" localSheetId="141">'[3]Attachment EL-17-1 Page 2 of 2'!#REF!</definedName>
    <definedName name="ATSOACT" localSheetId="142">'[3]Attachment EL-17-1 Page 2 of 2'!#REF!</definedName>
    <definedName name="ATSOACT" localSheetId="51">'[2]Attachment EL-17-1 Page 2 of 2'!#REF!</definedName>
    <definedName name="ATSOACT" localSheetId="53">'[2]Attachment EL-17-1 Page 2 of 2'!#REF!</definedName>
    <definedName name="ATSOACT" localSheetId="63">'[2]Attachment EL-17-1 Page 2 of 2'!#REF!</definedName>
    <definedName name="ATSOACT" localSheetId="72">'[2]Attachment EL-17-1 Page 2 of 2'!#REF!</definedName>
    <definedName name="ATSOACT" localSheetId="79">'[2]Attachment EL-17-1 Page 2 of 2'!#REF!</definedName>
    <definedName name="ATSOACT" localSheetId="97">'[2]Attachment EL-17-1 Page 2 of 2'!#REF!</definedName>
    <definedName name="ATSOACT" localSheetId="98">'[2]Attachment EL-17-1 Page 2 of 2'!#REF!</definedName>
    <definedName name="ATSOACT" localSheetId="101">'[2]Attachment EL-17-1 Page 2 of 2'!#REF!</definedName>
    <definedName name="ATSOACT" localSheetId="58">'[2]Attachment EL-17-1 Page 2 of 2'!#REF!</definedName>
    <definedName name="ATSOACT" localSheetId="62">'[2]Attachment EL-17-1 Page 2 of 2'!#REF!</definedName>
    <definedName name="ATSOACT" localSheetId="74">'[2]Attachment EL-17-1 Page 2 of 2'!#REF!</definedName>
    <definedName name="ATSOACT" localSheetId="82">'[2]Attachment EL-17-1 Page 2 of 2'!#REF!</definedName>
    <definedName name="ATSOACT" localSheetId="92">'[2]Attachment EL-17-1 Page 2 of 2'!#REF!</definedName>
    <definedName name="ATSOACT" localSheetId="95">'[2]Attachment EL-17-1 Page 2 of 2'!#REF!</definedName>
    <definedName name="ATSOACT" localSheetId="115">'[2]Attachment EL-17-1 Page 2 of 2'!#REF!</definedName>
    <definedName name="ATSOACT" localSheetId="117">'[2]Attachment EL-17-1 Page 2 of 2'!#REF!</definedName>
    <definedName name="ATSOACT" localSheetId="28">'[2]Attachment EL-17-1 Page 2 of 2'!#REF!</definedName>
    <definedName name="ATSOACT" localSheetId="71">'[2]Attachment EL-17-1 Page 2 of 2'!#REF!</definedName>
    <definedName name="ATSOACT" localSheetId="146">'[2]Attachment EL-17-1 Page 2 of 2'!#REF!</definedName>
    <definedName name="ATSOACT" localSheetId="31">'[2]Attachment EL-17-1 Page 2 of 2'!#REF!</definedName>
    <definedName name="ATSOACT" localSheetId="85">'[2]Attachment EL-17-1 Page 2 of 2'!#REF!</definedName>
    <definedName name="ATSOACT" localSheetId="147">'[2]Attachment EL-17-1 Page 2 of 2'!#REF!</definedName>
    <definedName name="ATSOACT" localSheetId="33">'[2]Attachment EL-17-1 Page 2 of 2'!#REF!</definedName>
    <definedName name="ATSOACT" localSheetId="93">'[2]Attachment EL-17-1 Page 2 of 2'!#REF!</definedName>
    <definedName name="ATSOACT" localSheetId="143">'[3]Attachment EL-17-1 Page 2 of 2'!#REF!</definedName>
    <definedName name="ATSOACT" localSheetId="144">'[3]Attachment EL-17-1 Page 2 of 2'!#REF!</definedName>
    <definedName name="ATSOACT" localSheetId="145">'[3]Attachment EL-17-1 Page 2 of 2'!#REF!</definedName>
    <definedName name="ATSOACT" localSheetId="157">'[2]Attachment EL-17-1 Page 2 of 2'!#REF!</definedName>
    <definedName name="ATSOACT" localSheetId="37">'[2]Attachment EL-17-1 Page 2 of 2'!#REF!</definedName>
    <definedName name="ATSOACT" localSheetId="70">'[2]Attachment EL-17-1 Page 2 of 2'!#REF!</definedName>
    <definedName name="ATSOACT" localSheetId="83">'[2]Attachment EL-17-1 Page 2 of 2'!#REF!</definedName>
    <definedName name="ATSOACT" localSheetId="90">'[2]Attachment EL-17-1 Page 2 of 2'!#REF!</definedName>
    <definedName name="ATSOACT" localSheetId="99">'[2]Attachment EL-17-1 Page 2 of 2'!#REF!</definedName>
    <definedName name="ATSOACT" localSheetId="106">'[2]Attachment EL-17-1 Page 2 of 2'!#REF!</definedName>
    <definedName name="ATSOACT" localSheetId="107">'[2]Attachment EL-17-1 Page 2 of 2'!#REF!</definedName>
    <definedName name="ATSOACT" localSheetId="108">'[2]Attachment EL-17-1 Page 2 of 2'!#REF!</definedName>
    <definedName name="ATSOACT" localSheetId="7">'[2]Attachment EL-17-1 Page 2 of 2'!#REF!</definedName>
    <definedName name="ATSOACT" localSheetId="110">'[2]Attachment EL-17-1 Page 2 of 2'!#REF!</definedName>
    <definedName name="ATSOACT" localSheetId="86">'[2]Attachment EL-17-1 Page 2 of 2'!#REF!</definedName>
    <definedName name="ATSOACT" localSheetId="88">'[2]Attachment EL-17-1 Page 2 of 2'!#REF!</definedName>
    <definedName name="ATSOACT" localSheetId="87">'[2]Attachment EL-17-1 Page 2 of 2'!#REF!</definedName>
    <definedName name="ATSOACT" localSheetId="89">'[2]Attachment EL-17-1 Page 2 of 2'!#REF!</definedName>
    <definedName name="ATSOACT">'[2]Attachment EL-17-1 Page 2 of 2'!#REF!</definedName>
    <definedName name="b" localSheetId="55">#REF!</definedName>
    <definedName name="b" localSheetId="57">#REF!</definedName>
    <definedName name="b" localSheetId="61">#REF!</definedName>
    <definedName name="b" localSheetId="64">#REF!</definedName>
    <definedName name="b" localSheetId="73">#REF!</definedName>
    <definedName name="b" localSheetId="81">#REF!</definedName>
    <definedName name="b" localSheetId="84">#REF!</definedName>
    <definedName name="b" localSheetId="91">#REF!</definedName>
    <definedName name="b" localSheetId="94">#REF!</definedName>
    <definedName name="b" localSheetId="56">#REF!</definedName>
    <definedName name="b" localSheetId="59">#REF!</definedName>
    <definedName name="b" localSheetId="116">#REF!</definedName>
    <definedName name="b" localSheetId="128">#REF!</definedName>
    <definedName name="b" localSheetId="20">#REF!</definedName>
    <definedName name="b" localSheetId="75">#REF!</definedName>
    <definedName name="b" localSheetId="140">#REF!</definedName>
    <definedName name="b" localSheetId="141">#REF!</definedName>
    <definedName name="b" localSheetId="142">#REF!</definedName>
    <definedName name="b" localSheetId="72">#REF!</definedName>
    <definedName name="b" localSheetId="79">#REF!</definedName>
    <definedName name="b" localSheetId="58">#REF!</definedName>
    <definedName name="b" localSheetId="62">#REF!</definedName>
    <definedName name="b" localSheetId="74">#REF!</definedName>
    <definedName name="b" localSheetId="82">#REF!</definedName>
    <definedName name="b" localSheetId="92">#REF!</definedName>
    <definedName name="b" localSheetId="95">#REF!</definedName>
    <definedName name="b" localSheetId="117">#REF!</definedName>
    <definedName name="b" localSheetId="146">#REF!</definedName>
    <definedName name="b" localSheetId="31">#REF!</definedName>
    <definedName name="b" localSheetId="147">#REF!</definedName>
    <definedName name="b" localSheetId="33">#REF!</definedName>
    <definedName name="b" localSheetId="93">#REF!</definedName>
    <definedName name="b" localSheetId="143">#REF!</definedName>
    <definedName name="b" localSheetId="144">#REF!</definedName>
    <definedName name="b" localSheetId="145">#REF!</definedName>
    <definedName name="b" localSheetId="157">#REF!</definedName>
    <definedName name="b" localSheetId="90">#REF!</definedName>
    <definedName name="b" localSheetId="99">#REF!</definedName>
    <definedName name="b">#REF!</definedName>
    <definedName name="bill_insert" localSheetId="64">#REF!</definedName>
    <definedName name="bill_insert" localSheetId="73">#REF!</definedName>
    <definedName name="bill_insert" localSheetId="81">#REF!</definedName>
    <definedName name="bill_insert" localSheetId="84">#REF!</definedName>
    <definedName name="bill_insert" localSheetId="91">#REF!</definedName>
    <definedName name="bill_insert" localSheetId="94">#REF!</definedName>
    <definedName name="bill_insert" localSheetId="113">#REF!</definedName>
    <definedName name="bill_insert" localSheetId="114">#REF!</definedName>
    <definedName name="bill_insert" localSheetId="116">#REF!</definedName>
    <definedName name="bill_insert" localSheetId="128">#REF!</definedName>
    <definedName name="bill_insert" localSheetId="140">#REF!</definedName>
    <definedName name="bill_insert" localSheetId="141">#REF!</definedName>
    <definedName name="bill_insert" localSheetId="142">#REF!</definedName>
    <definedName name="bill_insert" localSheetId="51">#REF!</definedName>
    <definedName name="bill_insert" localSheetId="49">#REF!</definedName>
    <definedName name="bill_insert" localSheetId="53">#REF!</definedName>
    <definedName name="bill_insert" localSheetId="63">#REF!</definedName>
    <definedName name="bill_insert" localSheetId="72">#REF!</definedName>
    <definedName name="bill_insert" localSheetId="79">#REF!</definedName>
    <definedName name="bill_insert" localSheetId="9">#REF!</definedName>
    <definedName name="bill_insert" localSheetId="10">#REF!</definedName>
    <definedName name="bill_insert" localSheetId="8">#REF!</definedName>
    <definedName name="bill_insert" localSheetId="74">#REF!</definedName>
    <definedName name="bill_insert" localSheetId="82">#REF!</definedName>
    <definedName name="bill_insert" localSheetId="92">#REF!</definedName>
    <definedName name="bill_insert" localSheetId="95">#REF!</definedName>
    <definedName name="bill_insert" localSheetId="115">#REF!</definedName>
    <definedName name="bill_insert" localSheetId="117">#REF!</definedName>
    <definedName name="bill_insert" localSheetId="146">#REF!</definedName>
    <definedName name="bill_insert" localSheetId="147">#REF!</definedName>
    <definedName name="bill_insert" localSheetId="143">#REF!</definedName>
    <definedName name="bill_insert" localSheetId="144">#REF!</definedName>
    <definedName name="bill_insert" localSheetId="145">#REF!</definedName>
    <definedName name="bill_insert" localSheetId="66">#REF!</definedName>
    <definedName name="bill_insert" localSheetId="70">#REF!</definedName>
    <definedName name="bill_insert" localSheetId="83">#REF!</definedName>
    <definedName name="bill_insert" localSheetId="90">#REF!</definedName>
    <definedName name="bill_insert" localSheetId="99">#REF!</definedName>
    <definedName name="bill_insert" localSheetId="7">#REF!</definedName>
    <definedName name="bill_insert" localSheetId="110">#REF!</definedName>
    <definedName name="bill_insert" localSheetId="41">#REF!</definedName>
    <definedName name="bill_insert" localSheetId="43">#REF!</definedName>
    <definedName name="bill_insert" localSheetId="86">#REF!</definedName>
    <definedName name="bill_insert">#REF!</definedName>
    <definedName name="budcc" localSheetId="113">#REF!</definedName>
    <definedName name="budcc" localSheetId="114">#REF!</definedName>
    <definedName name="budcc" localSheetId="116">#REF!</definedName>
    <definedName name="budcc" localSheetId="128">#REF!</definedName>
    <definedName name="budcc" localSheetId="140">#REF!</definedName>
    <definedName name="budcc" localSheetId="141">#REF!</definedName>
    <definedName name="budcc" localSheetId="142">#REF!</definedName>
    <definedName name="budcc" localSheetId="51">#REF!</definedName>
    <definedName name="budcc" localSheetId="115">#REF!</definedName>
    <definedName name="budcc" localSheetId="117">#REF!</definedName>
    <definedName name="budcc" localSheetId="146">#REF!</definedName>
    <definedName name="budcc" localSheetId="147">#REF!</definedName>
    <definedName name="budcc" localSheetId="143">#REF!</definedName>
    <definedName name="budcc" localSheetId="144">#REF!</definedName>
    <definedName name="budcc" localSheetId="145">#REF!</definedName>
    <definedName name="budcc" localSheetId="110">#REF!</definedName>
    <definedName name="budcc" localSheetId="86">#REF!</definedName>
    <definedName name="budcc">#REF!</definedName>
    <definedName name="Budget_3_8_05" localSheetId="64">#REF!</definedName>
    <definedName name="Budget_3_8_05" localSheetId="73">#REF!</definedName>
    <definedName name="Budget_3_8_05" localSheetId="81">#REF!</definedName>
    <definedName name="Budget_3_8_05" localSheetId="84">#REF!</definedName>
    <definedName name="Budget_3_8_05" localSheetId="91">#REF!</definedName>
    <definedName name="Budget_3_8_05" localSheetId="94">#REF!</definedName>
    <definedName name="Budget_3_8_05" localSheetId="113">'[1]CLM Programs'!#REF!</definedName>
    <definedName name="Budget_3_8_05" localSheetId="114">'[1]CLM Programs'!#REF!</definedName>
    <definedName name="Budget_3_8_05" localSheetId="116">'[1]CLM Programs'!#REF!</definedName>
    <definedName name="Budget_3_8_05" localSheetId="128">'[1]CLM Programs'!#REF!</definedName>
    <definedName name="Budget_3_8_05" localSheetId="140">#REF!</definedName>
    <definedName name="Budget_3_8_05" localSheetId="141">#REF!</definedName>
    <definedName name="Budget_3_8_05" localSheetId="142">#REF!</definedName>
    <definedName name="Budget_3_8_05" localSheetId="51">#REF!</definedName>
    <definedName name="Budget_3_8_05" localSheetId="49">#REF!</definedName>
    <definedName name="Budget_3_8_05" localSheetId="53">#REF!</definedName>
    <definedName name="Budget_3_8_05" localSheetId="63">#REF!</definedName>
    <definedName name="Budget_3_8_05" localSheetId="72">#REF!</definedName>
    <definedName name="Budget_3_8_05" localSheetId="79">#REF!</definedName>
    <definedName name="Budget_3_8_05" localSheetId="97">'[1]CLM Programs'!#REF!</definedName>
    <definedName name="Budget_3_8_05" localSheetId="98">'[1]CLM Programs'!#REF!</definedName>
    <definedName name="Budget_3_8_05" localSheetId="101">'[1]CLM Programs'!#REF!</definedName>
    <definedName name="Budget_3_8_05" localSheetId="9">'[1]CLM Programs'!#REF!</definedName>
    <definedName name="Budget_3_8_05" localSheetId="10">'[1]CLM Programs'!#REF!</definedName>
    <definedName name="Budget_3_8_05" localSheetId="8">'[1]CLM Programs'!#REF!</definedName>
    <definedName name="Budget_3_8_05" localSheetId="74">#REF!</definedName>
    <definedName name="Budget_3_8_05" localSheetId="82">#REF!</definedName>
    <definedName name="Budget_3_8_05" localSheetId="92">#REF!</definedName>
    <definedName name="Budget_3_8_05" localSheetId="95">#REF!</definedName>
    <definedName name="Budget_3_8_05" localSheetId="115">'[1]CLM Programs'!#REF!</definedName>
    <definedName name="Budget_3_8_05" localSheetId="117">'[1]CLM Programs'!#REF!</definedName>
    <definedName name="Budget_3_8_05" localSheetId="146">'[1]CLM Programs'!#REF!</definedName>
    <definedName name="Budget_3_8_05" localSheetId="147">'[1]CLM Programs'!#REF!</definedName>
    <definedName name="Budget_3_8_05" localSheetId="143">#REF!</definedName>
    <definedName name="Budget_3_8_05" localSheetId="144">#REF!</definedName>
    <definedName name="Budget_3_8_05" localSheetId="145">#REF!</definedName>
    <definedName name="Budget_3_8_05" localSheetId="37">'[1]CLM Programs'!#REF!</definedName>
    <definedName name="Budget_3_8_05" localSheetId="66">#REF!</definedName>
    <definedName name="Budget_3_8_05" localSheetId="70">#REF!</definedName>
    <definedName name="Budget_3_8_05" localSheetId="83">#REF!</definedName>
    <definedName name="Budget_3_8_05" localSheetId="90">#REF!</definedName>
    <definedName name="Budget_3_8_05" localSheetId="99">#REF!</definedName>
    <definedName name="Budget_3_8_05" localSheetId="106">'[1]CLM Programs'!#REF!</definedName>
    <definedName name="Budget_3_8_05" localSheetId="107">'[1]CLM Programs'!#REF!</definedName>
    <definedName name="Budget_3_8_05" localSheetId="108">'[1]CLM Programs'!#REF!</definedName>
    <definedName name="Budget_3_8_05" localSheetId="7">'[1]CLM Programs'!#REF!</definedName>
    <definedName name="Budget_3_8_05" localSheetId="110">'[1]CLM Programs'!#REF!</definedName>
    <definedName name="Budget_3_8_05" localSheetId="41">#REF!</definedName>
    <definedName name="Budget_3_8_05" localSheetId="43">#REF!</definedName>
    <definedName name="Budget_3_8_05" localSheetId="86">'[1]CLM Programs'!#REF!</definedName>
    <definedName name="Budget_3_8_05">'[1]CLM Programs'!#REF!</definedName>
    <definedName name="budpm" localSheetId="113">#REF!</definedName>
    <definedName name="budpm" localSheetId="114">#REF!</definedName>
    <definedName name="budpm" localSheetId="116">#REF!</definedName>
    <definedName name="budpm" localSheetId="128">#REF!</definedName>
    <definedName name="budpm" localSheetId="140">#REF!</definedName>
    <definedName name="budpm" localSheetId="141">#REF!</definedName>
    <definedName name="budpm" localSheetId="142">#REF!</definedName>
    <definedName name="budpm" localSheetId="51">#REF!</definedName>
    <definedName name="budpm" localSheetId="115">#REF!</definedName>
    <definedName name="budpm" localSheetId="117">#REF!</definedName>
    <definedName name="budpm" localSheetId="146">#REF!</definedName>
    <definedName name="budpm" localSheetId="147">#REF!</definedName>
    <definedName name="budpm" localSheetId="143">#REF!</definedName>
    <definedName name="budpm" localSheetId="144">#REF!</definedName>
    <definedName name="budpm" localSheetId="145">#REF!</definedName>
    <definedName name="budpm" localSheetId="110">#REF!</definedName>
    <definedName name="budpm" localSheetId="86">#REF!</definedName>
    <definedName name="budpm">#REF!</definedName>
    <definedName name="C_I_Dollars_per_kW" localSheetId="140">'[4]EB $'!#REF!</definedName>
    <definedName name="C_I_Dollars_per_kW" localSheetId="141">'[4]EB $'!#REF!</definedName>
    <definedName name="C_I_Dollars_per_kW" localSheetId="142">'[4]EB $'!#REF!</definedName>
    <definedName name="C_I_Dollars_per_kW" localSheetId="143">'[4]EB $'!#REF!</definedName>
    <definedName name="C_I_Dollars_per_kW" localSheetId="144">'[4]EB $'!#REF!</definedName>
    <definedName name="C_I_Dollars_per_kW" localSheetId="145">'[4]EB $'!#REF!</definedName>
    <definedName name="C_I_Dollars_per_kW">'[4]EB $'!#REF!</definedName>
    <definedName name="C_I_Dollars_per_kWh" localSheetId="140">'[4]EB $'!#REF!</definedName>
    <definedName name="C_I_Dollars_per_kWh" localSheetId="141">'[4]EB $'!#REF!</definedName>
    <definedName name="C_I_Dollars_per_kWh" localSheetId="142">'[4]EB $'!#REF!</definedName>
    <definedName name="C_I_Dollars_per_kWh" localSheetId="143">'[4]EB $'!#REF!</definedName>
    <definedName name="C_I_Dollars_per_kWh" localSheetId="144">'[4]EB $'!#REF!</definedName>
    <definedName name="C_I_Dollars_per_kWh" localSheetId="145">'[4]EB $'!#REF!</definedName>
    <definedName name="C_I_Dollars_per_kWh">'[4]EB $'!#REF!</definedName>
    <definedName name="ccact" localSheetId="55">#REF!</definedName>
    <definedName name="ccact" localSheetId="57">#REF!</definedName>
    <definedName name="ccact" localSheetId="61">#REF!</definedName>
    <definedName name="ccact" localSheetId="64">#REF!</definedName>
    <definedName name="ccact" localSheetId="73">#REF!</definedName>
    <definedName name="ccact" localSheetId="81">#REF!</definedName>
    <definedName name="ccact" localSheetId="84">#REF!</definedName>
    <definedName name="ccact" localSheetId="91">#REF!</definedName>
    <definedName name="ccact" localSheetId="94">#REF!</definedName>
    <definedName name="ccact" localSheetId="1">#REF!</definedName>
    <definedName name="ccact" localSheetId="32">#REF!</definedName>
    <definedName name="ccact" localSheetId="39">#REF!</definedName>
    <definedName name="ccact" localSheetId="56">#REF!</definedName>
    <definedName name="ccact" localSheetId="59">#REF!</definedName>
    <definedName name="ccact" localSheetId="113">#REF!</definedName>
    <definedName name="ccact" localSheetId="114">#REF!</definedName>
    <definedName name="ccact" localSheetId="54">#REF!</definedName>
    <definedName name="ccact" localSheetId="116">#REF!</definedName>
    <definedName name="ccact" localSheetId="19">#REF!</definedName>
    <definedName name="ccact" localSheetId="65">#REF!</definedName>
    <definedName name="ccact" localSheetId="128">#REF!</definedName>
    <definedName name="ccact" localSheetId="20">#REF!</definedName>
    <definedName name="ccact" localSheetId="75">#REF!</definedName>
    <definedName name="ccact" localSheetId="140">#REF!</definedName>
    <definedName name="ccact" localSheetId="141">#REF!</definedName>
    <definedName name="ccact" localSheetId="142">#REF!</definedName>
    <definedName name="ccact" localSheetId="51">#REF!</definedName>
    <definedName name="ccact" localSheetId="53">#REF!</definedName>
    <definedName name="ccact" localSheetId="63">#REF!</definedName>
    <definedName name="ccact" localSheetId="72">#REF!</definedName>
    <definedName name="ccact" localSheetId="79">#REF!</definedName>
    <definedName name="ccact" localSheetId="97">#REF!</definedName>
    <definedName name="ccact" localSheetId="98">#REF!</definedName>
    <definedName name="ccact" localSheetId="101">#REF!</definedName>
    <definedName name="ccact" localSheetId="58">#REF!</definedName>
    <definedName name="ccact" localSheetId="62">#REF!</definedName>
    <definedName name="ccact" localSheetId="74">#REF!</definedName>
    <definedName name="ccact" localSheetId="82">#REF!</definedName>
    <definedName name="ccact" localSheetId="92">#REF!</definedName>
    <definedName name="ccact" localSheetId="95">#REF!</definedName>
    <definedName name="ccact" localSheetId="115">#REF!</definedName>
    <definedName name="ccact" localSheetId="117">#REF!</definedName>
    <definedName name="ccact" localSheetId="28">#REF!</definedName>
    <definedName name="ccact" localSheetId="71">#REF!</definedName>
    <definedName name="ccact" localSheetId="146">#REF!</definedName>
    <definedName name="ccact" localSheetId="31">#REF!</definedName>
    <definedName name="ccact" localSheetId="85">#REF!</definedName>
    <definedName name="ccact" localSheetId="147">#REF!</definedName>
    <definedName name="ccact" localSheetId="33">#REF!</definedName>
    <definedName name="ccact" localSheetId="93">#REF!</definedName>
    <definedName name="ccact" localSheetId="143">#REF!</definedName>
    <definedName name="ccact" localSheetId="144">#REF!</definedName>
    <definedName name="ccact" localSheetId="145">#REF!</definedName>
    <definedName name="ccact" localSheetId="157">#REF!</definedName>
    <definedName name="ccact" localSheetId="37">#REF!</definedName>
    <definedName name="ccact" localSheetId="70">#REF!</definedName>
    <definedName name="ccact" localSheetId="83">#REF!</definedName>
    <definedName name="ccact" localSheetId="90">#REF!</definedName>
    <definedName name="ccact" localSheetId="99">#REF!</definedName>
    <definedName name="ccact" localSheetId="106">#REF!</definedName>
    <definedName name="ccact" localSheetId="107">#REF!</definedName>
    <definedName name="ccact" localSheetId="108">#REF!</definedName>
    <definedName name="ccact" localSheetId="7">#REF!</definedName>
    <definedName name="ccact" localSheetId="110">#REF!</definedName>
    <definedName name="ccact" localSheetId="86">#REF!</definedName>
    <definedName name="ccact" localSheetId="88">#REF!</definedName>
    <definedName name="ccact" localSheetId="87">#REF!</definedName>
    <definedName name="ccact" localSheetId="89">#REF!</definedName>
    <definedName name="ccact">#REF!</definedName>
    <definedName name="ccbud" localSheetId="55">#REF!</definedName>
    <definedName name="ccbud" localSheetId="57">#REF!</definedName>
    <definedName name="ccbud" localSheetId="61">#REF!</definedName>
    <definedName name="ccbud" localSheetId="64">#REF!</definedName>
    <definedName name="ccbud" localSheetId="73">#REF!</definedName>
    <definedName name="ccbud" localSheetId="81">#REF!</definedName>
    <definedName name="ccbud" localSheetId="84">#REF!</definedName>
    <definedName name="ccbud" localSheetId="91">#REF!</definedName>
    <definedName name="ccbud" localSheetId="94">#REF!</definedName>
    <definedName name="ccbud" localSheetId="1">#REF!</definedName>
    <definedName name="ccbud" localSheetId="32">#REF!</definedName>
    <definedName name="ccbud" localSheetId="39">#REF!</definedName>
    <definedName name="ccbud" localSheetId="56">#REF!</definedName>
    <definedName name="ccbud" localSheetId="59">#REF!</definedName>
    <definedName name="ccbud" localSheetId="113">#REF!</definedName>
    <definedName name="ccbud" localSheetId="114">#REF!</definedName>
    <definedName name="ccbud" localSheetId="54">#REF!</definedName>
    <definedName name="ccbud" localSheetId="116">#REF!</definedName>
    <definedName name="ccbud" localSheetId="19">#REF!</definedName>
    <definedName name="ccbud" localSheetId="65">#REF!</definedName>
    <definedName name="ccbud" localSheetId="128">#REF!</definedName>
    <definedName name="ccbud" localSheetId="20">#REF!</definedName>
    <definedName name="ccbud" localSheetId="75">#REF!</definedName>
    <definedName name="ccbud" localSheetId="140">#REF!</definedName>
    <definedName name="ccbud" localSheetId="141">#REF!</definedName>
    <definedName name="ccbud" localSheetId="142">#REF!</definedName>
    <definedName name="ccbud" localSheetId="51">#REF!</definedName>
    <definedName name="ccbud" localSheetId="53">#REF!</definedName>
    <definedName name="ccbud" localSheetId="63">#REF!</definedName>
    <definedName name="ccbud" localSheetId="72">#REF!</definedName>
    <definedName name="ccbud" localSheetId="79">#REF!</definedName>
    <definedName name="ccbud" localSheetId="97">#REF!</definedName>
    <definedName name="ccbud" localSheetId="98">#REF!</definedName>
    <definedName name="ccbud" localSheetId="101">#REF!</definedName>
    <definedName name="ccbud" localSheetId="58">#REF!</definedName>
    <definedName name="ccbud" localSheetId="62">#REF!</definedName>
    <definedName name="ccbud" localSheetId="74">#REF!</definedName>
    <definedName name="ccbud" localSheetId="82">#REF!</definedName>
    <definedName name="ccbud" localSheetId="92">#REF!</definedName>
    <definedName name="ccbud" localSheetId="95">#REF!</definedName>
    <definedName name="ccbud" localSheetId="115">#REF!</definedName>
    <definedName name="ccbud" localSheetId="117">#REF!</definedName>
    <definedName name="ccbud" localSheetId="28">#REF!</definedName>
    <definedName name="ccbud" localSheetId="71">#REF!</definedName>
    <definedName name="ccbud" localSheetId="146">#REF!</definedName>
    <definedName name="ccbud" localSheetId="31">#REF!</definedName>
    <definedName name="ccbud" localSheetId="85">#REF!</definedName>
    <definedName name="ccbud" localSheetId="147">#REF!</definedName>
    <definedName name="ccbud" localSheetId="33">#REF!</definedName>
    <definedName name="ccbud" localSheetId="93">#REF!</definedName>
    <definedName name="ccbud" localSheetId="143">#REF!</definedName>
    <definedName name="ccbud" localSheetId="144">#REF!</definedName>
    <definedName name="ccbud" localSheetId="145">#REF!</definedName>
    <definedName name="ccbud" localSheetId="157">#REF!</definedName>
    <definedName name="ccbud" localSheetId="37">#REF!</definedName>
    <definedName name="ccbud" localSheetId="70">#REF!</definedName>
    <definedName name="ccbud" localSheetId="83">#REF!</definedName>
    <definedName name="ccbud" localSheetId="90">#REF!</definedName>
    <definedName name="ccbud" localSheetId="99">#REF!</definedName>
    <definedName name="ccbud" localSheetId="106">#REF!</definedName>
    <definedName name="ccbud" localSheetId="107">#REF!</definedName>
    <definedName name="ccbud" localSheetId="108">#REF!</definedName>
    <definedName name="ccbud" localSheetId="7">#REF!</definedName>
    <definedName name="ccbud" localSheetId="110">#REF!</definedName>
    <definedName name="ccbud" localSheetId="86">#REF!</definedName>
    <definedName name="ccbud" localSheetId="88">#REF!</definedName>
    <definedName name="ccbud" localSheetId="87">#REF!</definedName>
    <definedName name="ccbud" localSheetId="89">#REF!</definedName>
    <definedName name="ccbud">#REF!</definedName>
    <definedName name="ccfor" localSheetId="55">#REF!</definedName>
    <definedName name="ccfor" localSheetId="57">#REF!</definedName>
    <definedName name="ccfor" localSheetId="61">#REF!</definedName>
    <definedName name="ccfor" localSheetId="64">#REF!</definedName>
    <definedName name="ccfor" localSheetId="73">#REF!</definedName>
    <definedName name="ccfor" localSheetId="81">#REF!</definedName>
    <definedName name="ccfor" localSheetId="84">#REF!</definedName>
    <definedName name="ccfor" localSheetId="91">#REF!</definedName>
    <definedName name="ccfor" localSheetId="94">#REF!</definedName>
    <definedName name="ccfor" localSheetId="1">#REF!</definedName>
    <definedName name="ccfor" localSheetId="32">#REF!</definedName>
    <definedName name="ccfor" localSheetId="39">#REF!</definedName>
    <definedName name="ccfor" localSheetId="56">#REF!</definedName>
    <definedName name="ccfor" localSheetId="59">#REF!</definedName>
    <definedName name="ccfor" localSheetId="113">#REF!</definedName>
    <definedName name="ccfor" localSheetId="114">#REF!</definedName>
    <definedName name="ccfor" localSheetId="54">#REF!</definedName>
    <definedName name="ccfor" localSheetId="116">#REF!</definedName>
    <definedName name="ccfor" localSheetId="19">#REF!</definedName>
    <definedName name="ccfor" localSheetId="65">#REF!</definedName>
    <definedName name="ccfor" localSheetId="128">#REF!</definedName>
    <definedName name="ccfor" localSheetId="20">#REF!</definedName>
    <definedName name="ccfor" localSheetId="75">#REF!</definedName>
    <definedName name="ccfor" localSheetId="140">#REF!</definedName>
    <definedName name="ccfor" localSheetId="141">#REF!</definedName>
    <definedName name="ccfor" localSheetId="142">#REF!</definedName>
    <definedName name="ccfor" localSheetId="51">#REF!</definedName>
    <definedName name="ccfor" localSheetId="53">#REF!</definedName>
    <definedName name="ccfor" localSheetId="63">#REF!</definedName>
    <definedName name="ccfor" localSheetId="72">#REF!</definedName>
    <definedName name="ccfor" localSheetId="79">#REF!</definedName>
    <definedName name="ccfor" localSheetId="97">#REF!</definedName>
    <definedName name="ccfor" localSheetId="98">#REF!</definedName>
    <definedName name="ccfor" localSheetId="101">#REF!</definedName>
    <definedName name="ccfor" localSheetId="58">#REF!</definedName>
    <definedName name="ccfor" localSheetId="62">#REF!</definedName>
    <definedName name="ccfor" localSheetId="74">#REF!</definedName>
    <definedName name="ccfor" localSheetId="82">#REF!</definedName>
    <definedName name="ccfor" localSheetId="92">#REF!</definedName>
    <definedName name="ccfor" localSheetId="95">#REF!</definedName>
    <definedName name="ccfor" localSheetId="115">#REF!</definedName>
    <definedName name="ccfor" localSheetId="117">#REF!</definedName>
    <definedName name="ccfor" localSheetId="28">#REF!</definedName>
    <definedName name="ccfor" localSheetId="71">#REF!</definedName>
    <definedName name="ccfor" localSheetId="146">#REF!</definedName>
    <definedName name="ccfor" localSheetId="31">#REF!</definedName>
    <definedName name="ccfor" localSheetId="85">#REF!</definedName>
    <definedName name="ccfor" localSheetId="147">#REF!</definedName>
    <definedName name="ccfor" localSheetId="33">#REF!</definedName>
    <definedName name="ccfor" localSheetId="93">#REF!</definedName>
    <definedName name="ccfor" localSheetId="143">#REF!</definedName>
    <definedName name="ccfor" localSheetId="144">#REF!</definedName>
    <definedName name="ccfor" localSheetId="145">#REF!</definedName>
    <definedName name="ccfor" localSheetId="157">#REF!</definedName>
    <definedName name="ccfor" localSheetId="37">#REF!</definedName>
    <definedName name="ccfor" localSheetId="70">#REF!</definedName>
    <definedName name="ccfor" localSheetId="83">#REF!</definedName>
    <definedName name="ccfor" localSheetId="90">#REF!</definedName>
    <definedName name="ccfor" localSheetId="99">#REF!</definedName>
    <definedName name="ccfor" localSheetId="106">#REF!</definedName>
    <definedName name="ccfor" localSheetId="107">#REF!</definedName>
    <definedName name="ccfor" localSheetId="108">#REF!</definedName>
    <definedName name="ccfor" localSheetId="7">#REF!</definedName>
    <definedName name="ccfor" localSheetId="110">#REF!</definedName>
    <definedName name="ccfor" localSheetId="86">#REF!</definedName>
    <definedName name="ccfor" localSheetId="88">#REF!</definedName>
    <definedName name="ccfor" localSheetId="87">#REF!</definedName>
    <definedName name="ccfor" localSheetId="89">#REF!</definedName>
    <definedName name="ccfor">#REF!</definedName>
    <definedName name="cckwh" localSheetId="55">'10.1.15 2016 Summary Table B'!$M$67</definedName>
    <definedName name="cckwhII" localSheetId="57">'10.1.15 2017 Summary Table B'!$M$67</definedName>
    <definedName name="cckwhII" localSheetId="58">'Mar 16 2017 Summary Table B'!$M$67</definedName>
    <definedName name="cckwhIII" localSheetId="61">'10.1.15 2018 Summary Table B'!$M$67</definedName>
    <definedName name="cckwhIII" localSheetId="62">'Mar 16 2018 Summary Table B'!$M$67</definedName>
    <definedName name="cckwhIII">'2018 Summary Table B'!$M$67</definedName>
    <definedName name="ccytd" localSheetId="55">#REF!</definedName>
    <definedName name="ccytd" localSheetId="57">#REF!</definedName>
    <definedName name="ccytd" localSheetId="61">#REF!</definedName>
    <definedName name="ccytd" localSheetId="64">#REF!</definedName>
    <definedName name="ccytd" localSheetId="73">#REF!</definedName>
    <definedName name="ccytd" localSheetId="81">#REF!</definedName>
    <definedName name="ccytd" localSheetId="84">#REF!</definedName>
    <definedName name="ccytd" localSheetId="91">#REF!</definedName>
    <definedName name="ccytd" localSheetId="94">#REF!</definedName>
    <definedName name="ccytd" localSheetId="1">#REF!</definedName>
    <definedName name="ccytd" localSheetId="32">#REF!</definedName>
    <definedName name="ccytd" localSheetId="39">#REF!</definedName>
    <definedName name="ccytd" localSheetId="56">#REF!</definedName>
    <definedName name="ccytd" localSheetId="59">#REF!</definedName>
    <definedName name="ccytd" localSheetId="113">#REF!</definedName>
    <definedName name="ccytd" localSheetId="114">#REF!</definedName>
    <definedName name="ccytd" localSheetId="54">#REF!</definedName>
    <definedName name="ccytd" localSheetId="116">#REF!</definedName>
    <definedName name="ccytd" localSheetId="19">#REF!</definedName>
    <definedName name="ccytd" localSheetId="65">#REF!</definedName>
    <definedName name="ccytd" localSheetId="128">#REF!</definedName>
    <definedName name="ccytd" localSheetId="20">#REF!</definedName>
    <definedName name="ccytd" localSheetId="75">#REF!</definedName>
    <definedName name="ccytd" localSheetId="140">#REF!</definedName>
    <definedName name="ccytd" localSheetId="141">#REF!</definedName>
    <definedName name="ccytd" localSheetId="142">#REF!</definedName>
    <definedName name="ccytd" localSheetId="51">#REF!</definedName>
    <definedName name="ccytd" localSheetId="53">#REF!</definedName>
    <definedName name="ccytd" localSheetId="63">#REF!</definedName>
    <definedName name="ccytd" localSheetId="72">#REF!</definedName>
    <definedName name="ccytd" localSheetId="79">#REF!</definedName>
    <definedName name="ccytd" localSheetId="97">#REF!</definedName>
    <definedName name="ccytd" localSheetId="98">#REF!</definedName>
    <definedName name="ccytd" localSheetId="101">#REF!</definedName>
    <definedName name="ccytd" localSheetId="58">#REF!</definedName>
    <definedName name="ccytd" localSheetId="62">#REF!</definedName>
    <definedName name="ccytd" localSheetId="74">#REF!</definedName>
    <definedName name="ccytd" localSheetId="82">#REF!</definedName>
    <definedName name="ccytd" localSheetId="92">#REF!</definedName>
    <definedName name="ccytd" localSheetId="95">#REF!</definedName>
    <definedName name="ccytd" localSheetId="115">#REF!</definedName>
    <definedName name="ccytd" localSheetId="117">#REF!</definedName>
    <definedName name="ccytd" localSheetId="28">#REF!</definedName>
    <definedName name="ccytd" localSheetId="71">#REF!</definedName>
    <definedName name="ccytd" localSheetId="146">#REF!</definedName>
    <definedName name="ccytd" localSheetId="31">#REF!</definedName>
    <definedName name="ccytd" localSheetId="85">#REF!</definedName>
    <definedName name="ccytd" localSheetId="147">#REF!</definedName>
    <definedName name="ccytd" localSheetId="33">#REF!</definedName>
    <definedName name="ccytd" localSheetId="93">#REF!</definedName>
    <definedName name="ccytd" localSheetId="143">#REF!</definedName>
    <definedName name="ccytd" localSheetId="144">#REF!</definedName>
    <definedName name="ccytd" localSheetId="145">#REF!</definedName>
    <definedName name="ccytd" localSheetId="157">#REF!</definedName>
    <definedName name="ccytd" localSheetId="37">#REF!</definedName>
    <definedName name="ccytd" localSheetId="70">#REF!</definedName>
    <definedName name="ccytd" localSheetId="83">#REF!</definedName>
    <definedName name="ccytd" localSheetId="90">#REF!</definedName>
    <definedName name="ccytd" localSheetId="99">#REF!</definedName>
    <definedName name="ccytd" localSheetId="106">#REF!</definedName>
    <definedName name="ccytd" localSheetId="107">#REF!</definedName>
    <definedName name="ccytd" localSheetId="108">#REF!</definedName>
    <definedName name="ccytd" localSheetId="7">#REF!</definedName>
    <definedName name="ccytd" localSheetId="110">#REF!</definedName>
    <definedName name="ccytd" localSheetId="86">#REF!</definedName>
    <definedName name="ccytd" localSheetId="88">#REF!</definedName>
    <definedName name="ccytd" localSheetId="87">#REF!</definedName>
    <definedName name="ccytd" localSheetId="89">#REF!</definedName>
    <definedName name="ccytd">#REF!</definedName>
    <definedName name="ccytdgoal" localSheetId="113">#REF!</definedName>
    <definedName name="ccytdgoal" localSheetId="114">#REF!</definedName>
    <definedName name="ccytdgoal" localSheetId="116">#REF!</definedName>
    <definedName name="ccytdgoal" localSheetId="128">#REF!</definedName>
    <definedName name="ccytdgoal" localSheetId="140">#REF!</definedName>
    <definedName name="ccytdgoal" localSheetId="141">#REF!</definedName>
    <definedName name="ccytdgoal" localSheetId="142">#REF!</definedName>
    <definedName name="ccytdgoal" localSheetId="51">#REF!</definedName>
    <definedName name="ccytdgoal" localSheetId="115">#REF!</definedName>
    <definedName name="ccytdgoal" localSheetId="117">#REF!</definedName>
    <definedName name="ccytdgoal" localSheetId="146">#REF!</definedName>
    <definedName name="ccytdgoal" localSheetId="147">#REF!</definedName>
    <definedName name="ccytdgoal" localSheetId="143">#REF!</definedName>
    <definedName name="ccytdgoal" localSheetId="144">#REF!</definedName>
    <definedName name="ccytdgoal" localSheetId="145">#REF!</definedName>
    <definedName name="ccytdgoal" localSheetId="110">#REF!</definedName>
    <definedName name="ccytdgoal" localSheetId="86">#REF!</definedName>
    <definedName name="ccytdgoal">#REF!</definedName>
    <definedName name="cgl" hidden="1">{#N/A,#N/A,FALSE,"GLDwnLoad"}</definedName>
    <definedName name="ckwhIII">#REF!</definedName>
    <definedName name="clmacytd" localSheetId="55">#REF!</definedName>
    <definedName name="clmacytd" localSheetId="57">#REF!</definedName>
    <definedName name="clmacytd" localSheetId="61">#REF!</definedName>
    <definedName name="clmacytd" localSheetId="64">#REF!</definedName>
    <definedName name="clmacytd" localSheetId="73">#REF!</definedName>
    <definedName name="clmacytd" localSheetId="81">#REF!</definedName>
    <definedName name="clmacytd" localSheetId="84">#REF!</definedName>
    <definedName name="clmacytd" localSheetId="91">#REF!</definedName>
    <definedName name="clmacytd" localSheetId="94">#REF!</definedName>
    <definedName name="clmacytd" localSheetId="1">#REF!</definedName>
    <definedName name="clmacytd" localSheetId="32">#REF!</definedName>
    <definedName name="clmacytd" localSheetId="39">#REF!</definedName>
    <definedName name="clmacytd" localSheetId="56">#REF!</definedName>
    <definedName name="clmacytd" localSheetId="59">#REF!</definedName>
    <definedName name="clmacytd" localSheetId="113">#REF!</definedName>
    <definedName name="clmacytd" localSheetId="114">#REF!</definedName>
    <definedName name="clmacytd" localSheetId="54">#REF!</definedName>
    <definedName name="clmacytd" localSheetId="116">#REF!</definedName>
    <definedName name="clmacytd" localSheetId="19">#REF!</definedName>
    <definedName name="clmacytd" localSheetId="65">#REF!</definedName>
    <definedName name="clmacytd" localSheetId="128">#REF!</definedName>
    <definedName name="clmacytd" localSheetId="20">#REF!</definedName>
    <definedName name="clmacytd" localSheetId="75">#REF!</definedName>
    <definedName name="clmacytd" localSheetId="140">#REF!</definedName>
    <definedName name="clmacytd" localSheetId="141">#REF!</definedName>
    <definedName name="clmacytd" localSheetId="142">#REF!</definedName>
    <definedName name="clmacytd" localSheetId="51">#REF!</definedName>
    <definedName name="clmacytd" localSheetId="53">#REF!</definedName>
    <definedName name="clmacytd" localSheetId="63">#REF!</definedName>
    <definedName name="clmacytd" localSheetId="72">#REF!</definedName>
    <definedName name="clmacytd" localSheetId="79">#REF!</definedName>
    <definedName name="clmacytd" localSheetId="97">#REF!</definedName>
    <definedName name="clmacytd" localSheetId="98">#REF!</definedName>
    <definedName name="clmacytd" localSheetId="101">#REF!</definedName>
    <definedName name="clmacytd" localSheetId="58">#REF!</definedName>
    <definedName name="clmacytd" localSheetId="62">#REF!</definedName>
    <definedName name="clmacytd" localSheetId="74">#REF!</definedName>
    <definedName name="clmacytd" localSheetId="82">#REF!</definedName>
    <definedName name="clmacytd" localSheetId="92">#REF!</definedName>
    <definedName name="clmacytd" localSheetId="95">#REF!</definedName>
    <definedName name="clmacytd" localSheetId="115">#REF!</definedName>
    <definedName name="clmacytd" localSheetId="117">#REF!</definedName>
    <definedName name="clmacytd" localSheetId="28">#REF!</definedName>
    <definedName name="clmacytd" localSheetId="71">#REF!</definedName>
    <definedName name="clmacytd" localSheetId="146">#REF!</definedName>
    <definedName name="clmacytd" localSheetId="31">#REF!</definedName>
    <definedName name="clmacytd" localSheetId="85">#REF!</definedName>
    <definedName name="clmacytd" localSheetId="147">#REF!</definedName>
    <definedName name="clmacytd" localSheetId="33">#REF!</definedName>
    <definedName name="clmacytd" localSheetId="93">#REF!</definedName>
    <definedName name="clmacytd" localSheetId="143">#REF!</definedName>
    <definedName name="clmacytd" localSheetId="144">#REF!</definedName>
    <definedName name="clmacytd" localSheetId="145">#REF!</definedName>
    <definedName name="clmacytd" localSheetId="157">#REF!</definedName>
    <definedName name="clmacytd" localSheetId="37">#REF!</definedName>
    <definedName name="clmacytd" localSheetId="70">#REF!</definedName>
    <definedName name="clmacytd" localSheetId="83">#REF!</definedName>
    <definedName name="clmacytd" localSheetId="90">#REF!</definedName>
    <definedName name="clmacytd" localSheetId="99">#REF!</definedName>
    <definedName name="clmacytd" localSheetId="106">#REF!</definedName>
    <definedName name="clmacytd" localSheetId="107">#REF!</definedName>
    <definedName name="clmacytd" localSheetId="108">#REF!</definedName>
    <definedName name="clmacytd" localSheetId="7">#REF!</definedName>
    <definedName name="clmacytd" localSheetId="110">#REF!</definedName>
    <definedName name="clmacytd" localSheetId="86">#REF!</definedName>
    <definedName name="clmacytd" localSheetId="88">#REF!</definedName>
    <definedName name="clmacytd" localSheetId="87">#REF!</definedName>
    <definedName name="clmacytd" localSheetId="89">#REF!</definedName>
    <definedName name="clmacytd">#REF!</definedName>
    <definedName name="clmacytdgoal" localSheetId="113">#REF!</definedName>
    <definedName name="clmacytdgoal" localSheetId="114">#REF!</definedName>
    <definedName name="clmacytdgoal" localSheetId="116">#REF!</definedName>
    <definedName name="clmacytdgoal" localSheetId="128">#REF!</definedName>
    <definedName name="clmacytdgoal" localSheetId="140">#REF!</definedName>
    <definedName name="clmacytdgoal" localSheetId="141">#REF!</definedName>
    <definedName name="clmacytdgoal" localSheetId="142">#REF!</definedName>
    <definedName name="clmacytdgoal" localSheetId="51">#REF!</definedName>
    <definedName name="clmacytdgoal" localSheetId="115">#REF!</definedName>
    <definedName name="clmacytdgoal" localSheetId="117">#REF!</definedName>
    <definedName name="clmacytdgoal" localSheetId="146">#REF!</definedName>
    <definedName name="clmacytdgoal" localSheetId="147">#REF!</definedName>
    <definedName name="clmacytdgoal" localSheetId="143">#REF!</definedName>
    <definedName name="clmacytdgoal" localSheetId="144">#REF!</definedName>
    <definedName name="clmacytdgoal" localSheetId="145">#REF!</definedName>
    <definedName name="clmacytdgoal" localSheetId="110">#REF!</definedName>
    <definedName name="clmacytdgoal" localSheetId="86">#REF!</definedName>
    <definedName name="clmacytdgoal">#REF!</definedName>
    <definedName name="clmeoact" localSheetId="55">#REF!</definedName>
    <definedName name="clmeoact" localSheetId="57">#REF!</definedName>
    <definedName name="clmeoact" localSheetId="61">#REF!</definedName>
    <definedName name="clmeoact" localSheetId="64">#REF!</definedName>
    <definedName name="clmeoact" localSheetId="73">#REF!</definedName>
    <definedName name="clmeoact" localSheetId="81">#REF!</definedName>
    <definedName name="clmeoact" localSheetId="84">#REF!</definedName>
    <definedName name="clmeoact" localSheetId="91">#REF!</definedName>
    <definedName name="clmeoact" localSheetId="94">#REF!</definedName>
    <definedName name="clmeoact" localSheetId="1">#REF!</definedName>
    <definedName name="clmeoact" localSheetId="32">#REF!</definedName>
    <definedName name="clmeoact" localSheetId="39">#REF!</definedName>
    <definedName name="clmeoact" localSheetId="56">#REF!</definedName>
    <definedName name="clmeoact" localSheetId="59">#REF!</definedName>
    <definedName name="clmeoact" localSheetId="113">#REF!</definedName>
    <definedName name="clmeoact" localSheetId="114">#REF!</definedName>
    <definedName name="clmeoact" localSheetId="54">#REF!</definedName>
    <definedName name="clmeoact" localSheetId="116">#REF!</definedName>
    <definedName name="clmeoact" localSheetId="19">#REF!</definedName>
    <definedName name="clmeoact" localSheetId="65">#REF!</definedName>
    <definedName name="clmeoact" localSheetId="128">#REF!</definedName>
    <definedName name="clmeoact" localSheetId="20">#REF!</definedName>
    <definedName name="clmeoact" localSheetId="75">#REF!</definedName>
    <definedName name="clmeoact" localSheetId="140">#REF!</definedName>
    <definedName name="clmeoact" localSheetId="141">#REF!</definedName>
    <definedName name="clmeoact" localSheetId="142">#REF!</definedName>
    <definedName name="clmeoact" localSheetId="51">#REF!</definedName>
    <definedName name="clmeoact" localSheetId="53">#REF!</definedName>
    <definedName name="clmeoact" localSheetId="63">#REF!</definedName>
    <definedName name="clmeoact" localSheetId="72">#REF!</definedName>
    <definedName name="clmeoact" localSheetId="79">#REF!</definedName>
    <definedName name="clmeoact" localSheetId="97">#REF!</definedName>
    <definedName name="clmeoact" localSheetId="98">#REF!</definedName>
    <definedName name="clmeoact" localSheetId="101">#REF!</definedName>
    <definedName name="clmeoact" localSheetId="58">#REF!</definedName>
    <definedName name="clmeoact" localSheetId="62">#REF!</definedName>
    <definedName name="clmeoact" localSheetId="74">#REF!</definedName>
    <definedName name="clmeoact" localSheetId="82">#REF!</definedName>
    <definedName name="clmeoact" localSheetId="92">#REF!</definedName>
    <definedName name="clmeoact" localSheetId="95">#REF!</definedName>
    <definedName name="clmeoact" localSheetId="115">#REF!</definedName>
    <definedName name="clmeoact" localSheetId="117">#REF!</definedName>
    <definedName name="clmeoact" localSheetId="28">#REF!</definedName>
    <definedName name="clmeoact" localSheetId="71">#REF!</definedName>
    <definedName name="clmeoact" localSheetId="146">#REF!</definedName>
    <definedName name="clmeoact" localSheetId="31">#REF!</definedName>
    <definedName name="clmeoact" localSheetId="85">#REF!</definedName>
    <definedName name="clmeoact" localSheetId="147">#REF!</definedName>
    <definedName name="clmeoact" localSheetId="33">#REF!</definedName>
    <definedName name="clmeoact" localSheetId="93">#REF!</definedName>
    <definedName name="clmeoact" localSheetId="143">#REF!</definedName>
    <definedName name="clmeoact" localSheetId="144">#REF!</definedName>
    <definedName name="clmeoact" localSheetId="145">#REF!</definedName>
    <definedName name="clmeoact" localSheetId="157">#REF!</definedName>
    <definedName name="clmeoact" localSheetId="37">#REF!</definedName>
    <definedName name="clmeoact" localSheetId="70">#REF!</definedName>
    <definedName name="clmeoact" localSheetId="83">#REF!</definedName>
    <definedName name="clmeoact" localSheetId="90">#REF!</definedName>
    <definedName name="clmeoact" localSheetId="99">#REF!</definedName>
    <definedName name="clmeoact" localSheetId="106">#REF!</definedName>
    <definedName name="clmeoact" localSheetId="107">#REF!</definedName>
    <definedName name="clmeoact" localSheetId="108">#REF!</definedName>
    <definedName name="clmeoact" localSheetId="7">#REF!</definedName>
    <definedName name="clmeoact" localSheetId="110">#REF!</definedName>
    <definedName name="clmeoact" localSheetId="86">#REF!</definedName>
    <definedName name="clmeoact" localSheetId="88">#REF!</definedName>
    <definedName name="clmeoact" localSheetId="87">#REF!</definedName>
    <definedName name="clmeoact" localSheetId="89">#REF!</definedName>
    <definedName name="clmeoact">#REF!</definedName>
    <definedName name="clmeoytdgoal" localSheetId="55">#REF!</definedName>
    <definedName name="clmeoytdgoal" localSheetId="57">#REF!</definedName>
    <definedName name="clmeoytdgoal" localSheetId="61">#REF!</definedName>
    <definedName name="clmeoytdgoal" localSheetId="64">#REF!</definedName>
    <definedName name="clmeoytdgoal" localSheetId="73">#REF!</definedName>
    <definedName name="clmeoytdgoal" localSheetId="81">#REF!</definedName>
    <definedName name="clmeoytdgoal" localSheetId="84">#REF!</definedName>
    <definedName name="clmeoytdgoal" localSheetId="91">#REF!</definedName>
    <definedName name="clmeoytdgoal" localSheetId="94">#REF!</definedName>
    <definedName name="clmeoytdgoal" localSheetId="1">#REF!</definedName>
    <definedName name="clmeoytdgoal" localSheetId="32">#REF!</definedName>
    <definedName name="clmeoytdgoal" localSheetId="39">#REF!</definedName>
    <definedName name="clmeoytdgoal" localSheetId="56">#REF!</definedName>
    <definedName name="clmeoytdgoal" localSheetId="59">#REF!</definedName>
    <definedName name="clmeoytdgoal" localSheetId="113">#REF!</definedName>
    <definedName name="clmeoytdgoal" localSheetId="114">#REF!</definedName>
    <definedName name="clmeoytdgoal" localSheetId="54">#REF!</definedName>
    <definedName name="clmeoytdgoal" localSheetId="116">#REF!</definedName>
    <definedName name="clmeoytdgoal" localSheetId="19">#REF!</definedName>
    <definedName name="clmeoytdgoal" localSheetId="65">#REF!</definedName>
    <definedName name="clmeoytdgoal" localSheetId="128">#REF!</definedName>
    <definedName name="clmeoytdgoal" localSheetId="20">#REF!</definedName>
    <definedName name="clmeoytdgoal" localSheetId="75">#REF!</definedName>
    <definedName name="clmeoytdgoal" localSheetId="140">#REF!</definedName>
    <definedName name="clmeoytdgoal" localSheetId="141">#REF!</definedName>
    <definedName name="clmeoytdgoal" localSheetId="142">#REF!</definedName>
    <definedName name="clmeoytdgoal" localSheetId="51">#REF!</definedName>
    <definedName name="clmeoytdgoal" localSheetId="53">#REF!</definedName>
    <definedName name="clmeoytdgoal" localSheetId="63">#REF!</definedName>
    <definedName name="clmeoytdgoal" localSheetId="72">#REF!</definedName>
    <definedName name="clmeoytdgoal" localSheetId="79">#REF!</definedName>
    <definedName name="clmeoytdgoal" localSheetId="97">#REF!</definedName>
    <definedName name="clmeoytdgoal" localSheetId="98">#REF!</definedName>
    <definedName name="clmeoytdgoal" localSheetId="101">#REF!</definedName>
    <definedName name="clmeoytdgoal" localSheetId="58">#REF!</definedName>
    <definedName name="clmeoytdgoal" localSheetId="62">#REF!</definedName>
    <definedName name="clmeoytdgoal" localSheetId="74">#REF!</definedName>
    <definedName name="clmeoytdgoal" localSheetId="82">#REF!</definedName>
    <definedName name="clmeoytdgoal" localSheetId="92">#REF!</definedName>
    <definedName name="clmeoytdgoal" localSheetId="95">#REF!</definedName>
    <definedName name="clmeoytdgoal" localSheetId="115">#REF!</definedName>
    <definedName name="clmeoytdgoal" localSheetId="117">#REF!</definedName>
    <definedName name="clmeoytdgoal" localSheetId="28">#REF!</definedName>
    <definedName name="clmeoytdgoal" localSheetId="71">#REF!</definedName>
    <definedName name="clmeoytdgoal" localSheetId="146">#REF!</definedName>
    <definedName name="clmeoytdgoal" localSheetId="31">#REF!</definedName>
    <definedName name="clmeoytdgoal" localSheetId="85">#REF!</definedName>
    <definedName name="clmeoytdgoal" localSheetId="147">#REF!</definedName>
    <definedName name="clmeoytdgoal" localSheetId="33">#REF!</definedName>
    <definedName name="clmeoytdgoal" localSheetId="93">#REF!</definedName>
    <definedName name="clmeoytdgoal" localSheetId="143">#REF!</definedName>
    <definedName name="clmeoytdgoal" localSheetId="144">#REF!</definedName>
    <definedName name="clmeoytdgoal" localSheetId="145">#REF!</definedName>
    <definedName name="clmeoytdgoal" localSheetId="157">#REF!</definedName>
    <definedName name="clmeoytdgoal" localSheetId="37">#REF!</definedName>
    <definedName name="clmeoytdgoal" localSheetId="70">#REF!</definedName>
    <definedName name="clmeoytdgoal" localSheetId="83">#REF!</definedName>
    <definedName name="clmeoytdgoal" localSheetId="90">#REF!</definedName>
    <definedName name="clmeoytdgoal" localSheetId="99">#REF!</definedName>
    <definedName name="clmeoytdgoal" localSheetId="106">#REF!</definedName>
    <definedName name="clmeoytdgoal" localSheetId="107">#REF!</definedName>
    <definedName name="clmeoytdgoal" localSheetId="108">#REF!</definedName>
    <definedName name="clmeoytdgoal" localSheetId="7">#REF!</definedName>
    <definedName name="clmeoytdgoal" localSheetId="110">#REF!</definedName>
    <definedName name="clmeoytdgoal" localSheetId="86">#REF!</definedName>
    <definedName name="clmeoytdgoal" localSheetId="88">#REF!</definedName>
    <definedName name="clmeoytdgoal" localSheetId="87">#REF!</definedName>
    <definedName name="clmeoytdgoal" localSheetId="89">#REF!</definedName>
    <definedName name="clmeoytdgoal">#REF!</definedName>
    <definedName name="cont" localSheetId="113">#REF!</definedName>
    <definedName name="cont" localSheetId="114">#REF!</definedName>
    <definedName name="cont" localSheetId="116">#REF!</definedName>
    <definedName name="cont" localSheetId="128">#REF!</definedName>
    <definedName name="cont" localSheetId="140">#REF!</definedName>
    <definedName name="cont" localSheetId="141">#REF!</definedName>
    <definedName name="cont" localSheetId="142">#REF!</definedName>
    <definedName name="cont" localSheetId="51">#REF!</definedName>
    <definedName name="cont" localSheetId="115">#REF!</definedName>
    <definedName name="cont" localSheetId="117">#REF!</definedName>
    <definedName name="cont" localSheetId="146">#REF!</definedName>
    <definedName name="cont" localSheetId="147">#REF!</definedName>
    <definedName name="cont" localSheetId="143">#REF!</definedName>
    <definedName name="cont" localSheetId="144">#REF!</definedName>
    <definedName name="cont" localSheetId="145">#REF!</definedName>
    <definedName name="cont" localSheetId="110">#REF!</definedName>
    <definedName name="cont" localSheetId="86">#REF!</definedName>
    <definedName name="cont">#REF!</definedName>
    <definedName name="crkwh" localSheetId="55">'10.1.15 2016 Summary Table B'!$M$63</definedName>
    <definedName name="crkwhII" localSheetId="57">'10.1.15 2017 Summary Table B'!$M$63</definedName>
    <definedName name="crkwhII" localSheetId="58">'Mar 16 2017 Summary Table B'!$M$63</definedName>
    <definedName name="crkwhIII" localSheetId="61">'10.1.15 2018 Summary Table B'!$M$63</definedName>
    <definedName name="crkwhIII" localSheetId="62">'Mar 16 2018 Summary Table B'!$M$63</definedName>
    <definedName name="crkwhIII">'2018 Summary Table B'!$M$63</definedName>
    <definedName name="CycleProjects" localSheetId="140">#REF!,#REF!,#REF!,#REF!,#REF!,#REF!,#REF!,#REF!,#REF!,#REF!,#REF!</definedName>
    <definedName name="CycleProjects" localSheetId="141">#REF!,#REF!,#REF!,#REF!,#REF!,#REF!,#REF!,#REF!,#REF!,#REF!,#REF!</definedName>
    <definedName name="CycleProjects" localSheetId="142">#REF!,#REF!,#REF!,#REF!,#REF!,#REF!,#REF!,#REF!,#REF!,#REF!,#REF!</definedName>
    <definedName name="CycleProjects" localSheetId="143">#REF!,#REF!,#REF!,#REF!,#REF!,#REF!,#REF!,#REF!,#REF!,#REF!,#REF!</definedName>
    <definedName name="CycleProjects" localSheetId="144">#REF!,#REF!,#REF!,#REF!,#REF!,#REF!,#REF!,#REF!,#REF!,#REF!,#REF!</definedName>
    <definedName name="CycleProjects" localSheetId="145">#REF!,#REF!,#REF!,#REF!,#REF!,#REF!,#REF!,#REF!,#REF!,#REF!,#REF!</definedName>
    <definedName name="CycleProjects">#REF!,#REF!,#REF!,#REF!,#REF!,#REF!,#REF!,#REF!,#REF!,#REF!,#REF!</definedName>
    <definedName name="d" localSheetId="55">#REF!</definedName>
    <definedName name="d" localSheetId="57">#REF!</definedName>
    <definedName name="d" localSheetId="61">#REF!</definedName>
    <definedName name="d" localSheetId="64">#REF!</definedName>
    <definedName name="d" localSheetId="73">#REF!</definedName>
    <definedName name="d" localSheetId="81">#REF!</definedName>
    <definedName name="d" localSheetId="84">#REF!</definedName>
    <definedName name="d" localSheetId="91">#REF!</definedName>
    <definedName name="d" localSheetId="94">#REF!</definedName>
    <definedName name="d" localSheetId="56">#REF!</definedName>
    <definedName name="d" localSheetId="59">#REF!</definedName>
    <definedName name="d" localSheetId="116">#REF!</definedName>
    <definedName name="d" localSheetId="128">#REF!</definedName>
    <definedName name="d" localSheetId="20">#REF!</definedName>
    <definedName name="d" localSheetId="75">#REF!</definedName>
    <definedName name="d" localSheetId="140">#REF!</definedName>
    <definedName name="d" localSheetId="141">#REF!</definedName>
    <definedName name="d" localSheetId="142">#REF!</definedName>
    <definedName name="d" localSheetId="72">#REF!</definedName>
    <definedName name="d" localSheetId="79">#REF!</definedName>
    <definedName name="d" localSheetId="58">#REF!</definedName>
    <definedName name="d" localSheetId="62">#REF!</definedName>
    <definedName name="d" localSheetId="74">#REF!</definedName>
    <definedName name="d" localSheetId="82">#REF!</definedName>
    <definedName name="d" localSheetId="92">#REF!</definedName>
    <definedName name="d" localSheetId="95">#REF!</definedName>
    <definedName name="d" localSheetId="117">#REF!</definedName>
    <definedName name="d" localSheetId="146">#REF!</definedName>
    <definedName name="d" localSheetId="31">#REF!</definedName>
    <definedName name="d" localSheetId="147">#REF!</definedName>
    <definedName name="d" localSheetId="33">#REF!</definedName>
    <definedName name="d" localSheetId="93">#REF!</definedName>
    <definedName name="d" localSheetId="143">#REF!</definedName>
    <definedName name="d" localSheetId="144">#REF!</definedName>
    <definedName name="d" localSheetId="145">#REF!</definedName>
    <definedName name="d" localSheetId="157">#REF!</definedName>
    <definedName name="d" localSheetId="90">#REF!</definedName>
    <definedName name="d" localSheetId="99">#REF!</definedName>
    <definedName name="d">#REF!</definedName>
    <definedName name="direct_mail" localSheetId="64">#REF!</definedName>
    <definedName name="direct_mail" localSheetId="73">#REF!</definedName>
    <definedName name="direct_mail" localSheetId="81">#REF!</definedName>
    <definedName name="direct_mail" localSheetId="84">#REF!</definedName>
    <definedName name="direct_mail" localSheetId="91">#REF!</definedName>
    <definedName name="direct_mail" localSheetId="94">#REF!</definedName>
    <definedName name="direct_mail" localSheetId="113">#REF!</definedName>
    <definedName name="direct_mail" localSheetId="114">#REF!</definedName>
    <definedName name="direct_mail" localSheetId="116">#REF!</definedName>
    <definedName name="direct_mail" localSheetId="128">#REF!</definedName>
    <definedName name="direct_mail" localSheetId="140">#REF!</definedName>
    <definedName name="direct_mail" localSheetId="141">#REF!</definedName>
    <definedName name="direct_mail" localSheetId="142">#REF!</definedName>
    <definedName name="direct_mail" localSheetId="51">#REF!</definedName>
    <definedName name="direct_mail" localSheetId="49">#REF!</definedName>
    <definedName name="direct_mail" localSheetId="53">#REF!</definedName>
    <definedName name="direct_mail" localSheetId="63">#REF!</definedName>
    <definedName name="direct_mail" localSheetId="72">#REF!</definedName>
    <definedName name="direct_mail" localSheetId="79">#REF!</definedName>
    <definedName name="direct_mail" localSheetId="9">#REF!</definedName>
    <definedName name="direct_mail" localSheetId="10">#REF!</definedName>
    <definedName name="direct_mail" localSheetId="8">#REF!</definedName>
    <definedName name="direct_mail" localSheetId="74">#REF!</definedName>
    <definedName name="direct_mail" localSheetId="82">#REF!</definedName>
    <definedName name="direct_mail" localSheetId="92">#REF!</definedName>
    <definedName name="direct_mail" localSheetId="95">#REF!</definedName>
    <definedName name="direct_mail" localSheetId="115">#REF!</definedName>
    <definedName name="direct_mail" localSheetId="117">#REF!</definedName>
    <definedName name="direct_mail" localSheetId="146">#REF!</definedName>
    <definedName name="direct_mail" localSheetId="147">#REF!</definedName>
    <definedName name="direct_mail" localSheetId="143">#REF!</definedName>
    <definedName name="direct_mail" localSheetId="144">#REF!</definedName>
    <definedName name="direct_mail" localSheetId="145">#REF!</definedName>
    <definedName name="direct_mail" localSheetId="66">#REF!</definedName>
    <definedName name="direct_mail" localSheetId="70">#REF!</definedName>
    <definedName name="direct_mail" localSheetId="83">#REF!</definedName>
    <definedName name="direct_mail" localSheetId="90">#REF!</definedName>
    <definedName name="direct_mail" localSheetId="99">#REF!</definedName>
    <definedName name="direct_mail" localSheetId="7">#REF!</definedName>
    <definedName name="direct_mail" localSheetId="110">#REF!</definedName>
    <definedName name="direct_mail" localSheetId="41">#REF!</definedName>
    <definedName name="direct_mail" localSheetId="43">#REF!</definedName>
    <definedName name="direct_mail" localSheetId="86">#REF!</definedName>
    <definedName name="direct_mail">#REF!</definedName>
    <definedName name="DPUC_changes" localSheetId="64">#REF!</definedName>
    <definedName name="DPUC_changes" localSheetId="73">#REF!</definedName>
    <definedName name="DPUC_changes" localSheetId="81">#REF!</definedName>
    <definedName name="DPUC_changes" localSheetId="84">#REF!</definedName>
    <definedName name="DPUC_changes" localSheetId="91">#REF!</definedName>
    <definedName name="DPUC_changes" localSheetId="94">#REF!</definedName>
    <definedName name="DPUC_changes" localSheetId="113">'[1]CLM Programs'!#REF!</definedName>
    <definedName name="DPUC_changes" localSheetId="114">'[1]CLM Programs'!#REF!</definedName>
    <definedName name="DPUC_changes" localSheetId="116">'[1]CLM Programs'!#REF!</definedName>
    <definedName name="DPUC_changes" localSheetId="128">'[1]CLM Programs'!#REF!</definedName>
    <definedName name="DPUC_changes" localSheetId="140">#REF!</definedName>
    <definedName name="DPUC_changes" localSheetId="141">#REF!</definedName>
    <definedName name="DPUC_changes" localSheetId="142">#REF!</definedName>
    <definedName name="DPUC_changes" localSheetId="51">#REF!</definedName>
    <definedName name="DPUC_changes" localSheetId="49">#REF!</definedName>
    <definedName name="DPUC_changes" localSheetId="53">#REF!</definedName>
    <definedName name="DPUC_changes" localSheetId="63">#REF!</definedName>
    <definedName name="DPUC_changes" localSheetId="72">#REF!</definedName>
    <definedName name="DPUC_changes" localSheetId="79">#REF!</definedName>
    <definedName name="DPUC_changes" localSheetId="97">'[1]CLM Programs'!#REF!</definedName>
    <definedName name="DPUC_changes" localSheetId="98">'[1]CLM Programs'!#REF!</definedName>
    <definedName name="DPUC_changes" localSheetId="101">'[1]CLM Programs'!#REF!</definedName>
    <definedName name="DPUC_changes" localSheetId="9">'[1]CLM Programs'!#REF!</definedName>
    <definedName name="DPUC_changes" localSheetId="10">'[1]CLM Programs'!#REF!</definedName>
    <definedName name="DPUC_changes" localSheetId="8">'[1]CLM Programs'!#REF!</definedName>
    <definedName name="DPUC_changes" localSheetId="74">#REF!</definedName>
    <definedName name="DPUC_changes" localSheetId="82">#REF!</definedName>
    <definedName name="DPUC_changes" localSheetId="92">#REF!</definedName>
    <definedName name="DPUC_changes" localSheetId="95">#REF!</definedName>
    <definedName name="DPUC_changes" localSheetId="115">'[1]CLM Programs'!#REF!</definedName>
    <definedName name="DPUC_changes" localSheetId="117">'[1]CLM Programs'!#REF!</definedName>
    <definedName name="DPUC_changes" localSheetId="146">'[1]CLM Programs'!#REF!</definedName>
    <definedName name="DPUC_changes" localSheetId="147">'[1]CLM Programs'!#REF!</definedName>
    <definedName name="DPUC_changes" localSheetId="143">#REF!</definedName>
    <definedName name="DPUC_changes" localSheetId="144">#REF!</definedName>
    <definedName name="DPUC_changes" localSheetId="145">#REF!</definedName>
    <definedName name="DPUC_changes" localSheetId="37">'[1]CLM Programs'!#REF!</definedName>
    <definedName name="DPUC_changes" localSheetId="66">#REF!</definedName>
    <definedName name="DPUC_changes" localSheetId="70">#REF!</definedName>
    <definedName name="DPUC_changes" localSheetId="83">#REF!</definedName>
    <definedName name="DPUC_changes" localSheetId="90">#REF!</definedName>
    <definedName name="DPUC_changes" localSheetId="99">#REF!</definedName>
    <definedName name="DPUC_changes" localSheetId="106">'[1]CLM Programs'!#REF!</definedName>
    <definedName name="DPUC_changes" localSheetId="107">'[1]CLM Programs'!#REF!</definedName>
    <definedName name="DPUC_changes" localSheetId="108">'[1]CLM Programs'!#REF!</definedName>
    <definedName name="DPUC_changes" localSheetId="7">'[1]CLM Programs'!#REF!</definedName>
    <definedName name="DPUC_changes" localSheetId="110">'[1]CLM Programs'!#REF!</definedName>
    <definedName name="DPUC_changes" localSheetId="41">#REF!</definedName>
    <definedName name="DPUC_changes" localSheetId="43">#REF!</definedName>
    <definedName name="DPUC_changes" localSheetId="86">'[1]CLM Programs'!#REF!</definedName>
    <definedName name="DPUC_changes">'[1]CLM Programs'!#REF!</definedName>
    <definedName name="DPUC_Market_adj" localSheetId="64">#REF!</definedName>
    <definedName name="DPUC_Market_adj" localSheetId="73">#REF!</definedName>
    <definedName name="DPUC_Market_adj" localSheetId="81">#REF!</definedName>
    <definedName name="DPUC_Market_adj" localSheetId="84">#REF!</definedName>
    <definedName name="DPUC_Market_adj" localSheetId="91">#REF!</definedName>
    <definedName name="DPUC_Market_adj" localSheetId="94">#REF!</definedName>
    <definedName name="DPUC_Market_adj" localSheetId="113">'[1]CLM Programs'!#REF!</definedName>
    <definedName name="DPUC_Market_adj" localSheetId="114">'[1]CLM Programs'!#REF!</definedName>
    <definedName name="DPUC_Market_adj" localSheetId="116">'[1]CLM Programs'!#REF!</definedName>
    <definedName name="DPUC_Market_adj" localSheetId="128">'[1]CLM Programs'!#REF!</definedName>
    <definedName name="DPUC_Market_adj" localSheetId="140">#REF!</definedName>
    <definedName name="DPUC_Market_adj" localSheetId="141">#REF!</definedName>
    <definedName name="DPUC_Market_adj" localSheetId="142">#REF!</definedName>
    <definedName name="DPUC_Market_adj" localSheetId="51">#REF!</definedName>
    <definedName name="DPUC_Market_adj" localSheetId="49">#REF!</definedName>
    <definedName name="DPUC_Market_adj" localSheetId="53">#REF!</definedName>
    <definedName name="DPUC_Market_adj" localSheetId="63">#REF!</definedName>
    <definedName name="DPUC_Market_adj" localSheetId="72">#REF!</definedName>
    <definedName name="DPUC_Market_adj" localSheetId="79">#REF!</definedName>
    <definedName name="DPUC_Market_adj" localSheetId="97">'[1]CLM Programs'!#REF!</definedName>
    <definedName name="DPUC_Market_adj" localSheetId="98">'[1]CLM Programs'!#REF!</definedName>
    <definedName name="DPUC_Market_adj" localSheetId="101">'[1]CLM Programs'!#REF!</definedName>
    <definedName name="DPUC_Market_adj" localSheetId="9">'[1]CLM Programs'!#REF!</definedName>
    <definedName name="DPUC_Market_adj" localSheetId="10">'[1]CLM Programs'!#REF!</definedName>
    <definedName name="DPUC_Market_adj" localSheetId="8">'[1]CLM Programs'!#REF!</definedName>
    <definedName name="DPUC_Market_adj" localSheetId="74">#REF!</definedName>
    <definedName name="DPUC_Market_adj" localSheetId="82">#REF!</definedName>
    <definedName name="DPUC_Market_adj" localSheetId="92">#REF!</definedName>
    <definedName name="DPUC_Market_adj" localSheetId="95">#REF!</definedName>
    <definedName name="DPUC_Market_adj" localSheetId="115">'[1]CLM Programs'!#REF!</definedName>
    <definedName name="DPUC_Market_adj" localSheetId="117">'[1]CLM Programs'!#REF!</definedName>
    <definedName name="DPUC_Market_adj" localSheetId="146">'[1]CLM Programs'!#REF!</definedName>
    <definedName name="DPUC_Market_adj" localSheetId="147">'[1]CLM Programs'!#REF!</definedName>
    <definedName name="DPUC_Market_adj" localSheetId="143">#REF!</definedName>
    <definedName name="DPUC_Market_adj" localSheetId="144">#REF!</definedName>
    <definedName name="DPUC_Market_adj" localSheetId="145">#REF!</definedName>
    <definedName name="DPUC_Market_adj" localSheetId="37">'[1]CLM Programs'!#REF!</definedName>
    <definedName name="DPUC_Market_adj" localSheetId="66">#REF!</definedName>
    <definedName name="DPUC_Market_adj" localSheetId="70">#REF!</definedName>
    <definedName name="DPUC_Market_adj" localSheetId="83">#REF!</definedName>
    <definedName name="DPUC_Market_adj" localSheetId="90">#REF!</definedName>
    <definedName name="DPUC_Market_adj" localSheetId="99">#REF!</definedName>
    <definedName name="DPUC_Market_adj" localSheetId="106">'[1]CLM Programs'!#REF!</definedName>
    <definedName name="DPUC_Market_adj" localSheetId="107">'[1]CLM Programs'!#REF!</definedName>
    <definedName name="DPUC_Market_adj" localSheetId="108">'[1]CLM Programs'!#REF!</definedName>
    <definedName name="DPUC_Market_adj" localSheetId="7">'[1]CLM Programs'!#REF!</definedName>
    <definedName name="DPUC_Market_adj" localSheetId="110">'[1]CLM Programs'!#REF!</definedName>
    <definedName name="DPUC_Market_adj" localSheetId="41">#REF!</definedName>
    <definedName name="DPUC_Market_adj" localSheetId="43">#REF!</definedName>
    <definedName name="DPUC_Market_adj" localSheetId="86">'[1]CLM Programs'!#REF!</definedName>
    <definedName name="DPUC_Market_adj">'[1]CLM Programs'!#REF!</definedName>
    <definedName name="e" localSheetId="55">#REF!</definedName>
    <definedName name="e" localSheetId="57">#REF!</definedName>
    <definedName name="e" localSheetId="61">#REF!</definedName>
    <definedName name="e" localSheetId="64">#REF!</definedName>
    <definedName name="e" localSheetId="73">#REF!</definedName>
    <definedName name="e" localSheetId="81">#REF!</definedName>
    <definedName name="e" localSheetId="84">#REF!</definedName>
    <definedName name="e" localSheetId="91">#REF!</definedName>
    <definedName name="e" localSheetId="94">#REF!</definedName>
    <definedName name="e" localSheetId="56">#REF!</definedName>
    <definedName name="e" localSheetId="59">#REF!</definedName>
    <definedName name="e" localSheetId="116">#REF!</definedName>
    <definedName name="e" localSheetId="128">#REF!</definedName>
    <definedName name="e" localSheetId="20">#REF!</definedName>
    <definedName name="e" localSheetId="75">#REF!</definedName>
    <definedName name="e" localSheetId="140">#REF!</definedName>
    <definedName name="e" localSheetId="141">#REF!</definedName>
    <definedName name="e" localSheetId="142">#REF!</definedName>
    <definedName name="e" localSheetId="72">#REF!</definedName>
    <definedName name="e" localSheetId="79">#REF!</definedName>
    <definedName name="e" localSheetId="58">#REF!</definedName>
    <definedName name="e" localSheetId="62">#REF!</definedName>
    <definedName name="e" localSheetId="74">#REF!</definedName>
    <definedName name="e" localSheetId="82">#REF!</definedName>
    <definedName name="e" localSheetId="92">#REF!</definedName>
    <definedName name="e" localSheetId="95">#REF!</definedName>
    <definedName name="e" localSheetId="117">#REF!</definedName>
    <definedName name="e" localSheetId="146">#REF!</definedName>
    <definedName name="e" localSheetId="31">#REF!</definedName>
    <definedName name="e" localSheetId="147">#REF!</definedName>
    <definedName name="e" localSheetId="33">#REF!</definedName>
    <definedName name="e" localSheetId="93">#REF!</definedName>
    <definedName name="e" localSheetId="143">#REF!</definedName>
    <definedName name="e" localSheetId="144">#REF!</definedName>
    <definedName name="e" localSheetId="145">#REF!</definedName>
    <definedName name="e" localSheetId="157">#REF!</definedName>
    <definedName name="e" localSheetId="90">#REF!</definedName>
    <definedName name="e" localSheetId="99">#REF!</definedName>
    <definedName name="e">#REF!</definedName>
    <definedName name="ebactual" localSheetId="55">#REF!</definedName>
    <definedName name="ebactual" localSheetId="57">#REF!</definedName>
    <definedName name="ebactual" localSheetId="61">#REF!</definedName>
    <definedName name="ebactual" localSheetId="64">#REF!</definedName>
    <definedName name="ebactual" localSheetId="73">#REF!</definedName>
    <definedName name="ebactual" localSheetId="81">#REF!</definedName>
    <definedName name="ebactual" localSheetId="84">#REF!</definedName>
    <definedName name="ebactual" localSheetId="91">#REF!</definedName>
    <definedName name="ebactual" localSheetId="94">#REF!</definedName>
    <definedName name="ebactual" localSheetId="1">#REF!</definedName>
    <definedName name="ebactual" localSheetId="32">#REF!</definedName>
    <definedName name="ebactual" localSheetId="39">#REF!</definedName>
    <definedName name="ebactual" localSheetId="56">#REF!</definedName>
    <definedName name="ebactual" localSheetId="59">#REF!</definedName>
    <definedName name="ebactual" localSheetId="113">#REF!</definedName>
    <definedName name="ebactual" localSheetId="114">#REF!</definedName>
    <definedName name="ebactual" localSheetId="54">#REF!</definedName>
    <definedName name="ebactual" localSheetId="116">#REF!</definedName>
    <definedName name="ebactual" localSheetId="19">#REF!</definedName>
    <definedName name="ebactual" localSheetId="65">#REF!</definedName>
    <definedName name="ebactual" localSheetId="128">#REF!</definedName>
    <definedName name="ebactual" localSheetId="20">#REF!</definedName>
    <definedName name="ebactual" localSheetId="75">#REF!</definedName>
    <definedName name="ebactual" localSheetId="140">#REF!</definedName>
    <definedName name="ebactual" localSheetId="141">#REF!</definedName>
    <definedName name="ebactual" localSheetId="142">#REF!</definedName>
    <definedName name="ebactual" localSheetId="51">#REF!</definedName>
    <definedName name="ebactual" localSheetId="53">#REF!</definedName>
    <definedName name="ebactual" localSheetId="63">#REF!</definedName>
    <definedName name="ebactual" localSheetId="72">#REF!</definedName>
    <definedName name="ebactual" localSheetId="79">#REF!</definedName>
    <definedName name="ebactual" localSheetId="97">#REF!</definedName>
    <definedName name="ebactual" localSheetId="98">#REF!</definedName>
    <definedName name="ebactual" localSheetId="101">#REF!</definedName>
    <definedName name="ebactual" localSheetId="58">#REF!</definedName>
    <definedName name="ebactual" localSheetId="62">#REF!</definedName>
    <definedName name="ebactual" localSheetId="74">#REF!</definedName>
    <definedName name="ebactual" localSheetId="82">#REF!</definedName>
    <definedName name="ebactual" localSheetId="92">#REF!</definedName>
    <definedName name="ebactual" localSheetId="95">#REF!</definedName>
    <definedName name="ebactual" localSheetId="115">#REF!</definedName>
    <definedName name="ebactual" localSheetId="117">#REF!</definedName>
    <definedName name="ebactual" localSheetId="28">#REF!</definedName>
    <definedName name="ebactual" localSheetId="71">#REF!</definedName>
    <definedName name="ebactual" localSheetId="146">#REF!</definedName>
    <definedName name="ebactual" localSheetId="31">#REF!</definedName>
    <definedName name="ebactual" localSheetId="85">#REF!</definedName>
    <definedName name="ebactual" localSheetId="147">#REF!</definedName>
    <definedName name="ebactual" localSheetId="33">#REF!</definedName>
    <definedName name="ebactual" localSheetId="93">#REF!</definedName>
    <definedName name="ebactual" localSheetId="143">#REF!</definedName>
    <definedName name="ebactual" localSheetId="144">#REF!</definedName>
    <definedName name="ebactual" localSheetId="145">#REF!</definedName>
    <definedName name="ebactual" localSheetId="157">#REF!</definedName>
    <definedName name="ebactual" localSheetId="37">#REF!</definedName>
    <definedName name="ebactual" localSheetId="70">#REF!</definedName>
    <definedName name="ebactual" localSheetId="83">#REF!</definedName>
    <definedName name="ebactual" localSheetId="90">#REF!</definedName>
    <definedName name="ebactual" localSheetId="99">#REF!</definedName>
    <definedName name="ebactual" localSheetId="106">#REF!</definedName>
    <definedName name="ebactual" localSheetId="107">#REF!</definedName>
    <definedName name="ebactual" localSheetId="108">#REF!</definedName>
    <definedName name="ebactual" localSheetId="7">#REF!</definedName>
    <definedName name="ebactual" localSheetId="110">#REF!</definedName>
    <definedName name="ebactual" localSheetId="86">#REF!</definedName>
    <definedName name="ebactual" localSheetId="88">#REF!</definedName>
    <definedName name="ebactual" localSheetId="87">#REF!</definedName>
    <definedName name="ebactual" localSheetId="89">#REF!</definedName>
    <definedName name="ebactual">#REF!</definedName>
    <definedName name="ebbudget" localSheetId="55">#REF!</definedName>
    <definedName name="ebbudget" localSheetId="57">#REF!</definedName>
    <definedName name="ebbudget" localSheetId="61">#REF!</definedName>
    <definedName name="ebbudget" localSheetId="64">#REF!</definedName>
    <definedName name="ebbudget" localSheetId="73">#REF!</definedName>
    <definedName name="ebbudget" localSheetId="81">#REF!</definedName>
    <definedName name="ebbudget" localSheetId="84">#REF!</definedName>
    <definedName name="ebbudget" localSheetId="91">#REF!</definedName>
    <definedName name="ebbudget" localSheetId="94">#REF!</definedName>
    <definedName name="ebbudget" localSheetId="1">#REF!</definedName>
    <definedName name="ebbudget" localSheetId="32">#REF!</definedName>
    <definedName name="ebbudget" localSheetId="39">#REF!</definedName>
    <definedName name="ebbudget" localSheetId="56">#REF!</definedName>
    <definedName name="ebbudget" localSheetId="59">#REF!</definedName>
    <definedName name="ebbudget" localSheetId="113">#REF!</definedName>
    <definedName name="ebbudget" localSheetId="114">#REF!</definedName>
    <definedName name="ebbudget" localSheetId="54">#REF!</definedName>
    <definedName name="ebbudget" localSheetId="116">#REF!</definedName>
    <definedName name="ebbudget" localSheetId="19">#REF!</definedName>
    <definedName name="ebbudget" localSheetId="65">#REF!</definedName>
    <definedName name="ebbudget" localSheetId="128">#REF!</definedName>
    <definedName name="ebbudget" localSheetId="20">#REF!</definedName>
    <definedName name="ebbudget" localSheetId="75">#REF!</definedName>
    <definedName name="ebbudget" localSheetId="140">#REF!</definedName>
    <definedName name="ebbudget" localSheetId="141">#REF!</definedName>
    <definedName name="ebbudget" localSheetId="142">#REF!</definedName>
    <definedName name="ebbudget" localSheetId="51">#REF!</definedName>
    <definedName name="ebbudget" localSheetId="53">#REF!</definedName>
    <definedName name="ebbudget" localSheetId="63">#REF!</definedName>
    <definedName name="ebbudget" localSheetId="72">#REF!</definedName>
    <definedName name="ebbudget" localSheetId="79">#REF!</definedName>
    <definedName name="ebbudget" localSheetId="97">#REF!</definedName>
    <definedName name="ebbudget" localSheetId="98">#REF!</definedName>
    <definedName name="ebbudget" localSheetId="101">#REF!</definedName>
    <definedName name="ebbudget" localSheetId="58">#REF!</definedName>
    <definedName name="ebbudget" localSheetId="62">#REF!</definedName>
    <definedName name="ebbudget" localSheetId="74">#REF!</definedName>
    <definedName name="ebbudget" localSheetId="82">#REF!</definedName>
    <definedName name="ebbudget" localSheetId="92">#REF!</definedName>
    <definedName name="ebbudget" localSheetId="95">#REF!</definedName>
    <definedName name="ebbudget" localSheetId="115">#REF!</definedName>
    <definedName name="ebbudget" localSheetId="117">#REF!</definedName>
    <definedName name="ebbudget" localSheetId="28">#REF!</definedName>
    <definedName name="ebbudget" localSheetId="71">#REF!</definedName>
    <definedName name="ebbudget" localSheetId="146">#REF!</definedName>
    <definedName name="ebbudget" localSheetId="31">#REF!</definedName>
    <definedName name="ebbudget" localSheetId="85">#REF!</definedName>
    <definedName name="ebbudget" localSheetId="147">#REF!</definedName>
    <definedName name="ebbudget" localSheetId="33">#REF!</definedName>
    <definedName name="ebbudget" localSheetId="93">#REF!</definedName>
    <definedName name="ebbudget" localSheetId="143">#REF!</definedName>
    <definedName name="ebbudget" localSheetId="144">#REF!</definedName>
    <definedName name="ebbudget" localSheetId="145">#REF!</definedName>
    <definedName name="ebbudget" localSheetId="157">#REF!</definedName>
    <definedName name="ebbudget" localSheetId="37">#REF!</definedName>
    <definedName name="ebbudget" localSheetId="70">#REF!</definedName>
    <definedName name="ebbudget" localSheetId="83">#REF!</definedName>
    <definedName name="ebbudget" localSheetId="90">#REF!</definedName>
    <definedName name="ebbudget" localSheetId="99">#REF!</definedName>
    <definedName name="ebbudget" localSheetId="106">#REF!</definedName>
    <definedName name="ebbudget" localSheetId="107">#REF!</definedName>
    <definedName name="ebbudget" localSheetId="108">#REF!</definedName>
    <definedName name="ebbudget" localSheetId="7">#REF!</definedName>
    <definedName name="ebbudget" localSheetId="110">#REF!</definedName>
    <definedName name="ebbudget" localSheetId="86">#REF!</definedName>
    <definedName name="ebbudget" localSheetId="88">#REF!</definedName>
    <definedName name="ebbudget" localSheetId="87">#REF!</definedName>
    <definedName name="ebbudget" localSheetId="89">#REF!</definedName>
    <definedName name="ebbudget">#REF!</definedName>
    <definedName name="ebsepbud" localSheetId="55">#REF!</definedName>
    <definedName name="ebsepbud" localSheetId="57">#REF!</definedName>
    <definedName name="ebsepbud" localSheetId="61">#REF!</definedName>
    <definedName name="ebsepbud" localSheetId="64">#REF!</definedName>
    <definedName name="ebsepbud" localSheetId="73">#REF!</definedName>
    <definedName name="ebsepbud" localSheetId="81">#REF!</definedName>
    <definedName name="ebsepbud" localSheetId="84">#REF!</definedName>
    <definedName name="ebsepbud" localSheetId="91">#REF!</definedName>
    <definedName name="ebsepbud" localSheetId="94">#REF!</definedName>
    <definedName name="ebsepbud" localSheetId="1">#REF!</definedName>
    <definedName name="ebsepbud" localSheetId="32">#REF!</definedName>
    <definedName name="ebsepbud" localSheetId="39">#REF!</definedName>
    <definedName name="ebsepbud" localSheetId="56">#REF!</definedName>
    <definedName name="ebsepbud" localSheetId="59">#REF!</definedName>
    <definedName name="ebsepbud" localSheetId="113">#REF!</definedName>
    <definedName name="ebsepbud" localSheetId="114">#REF!</definedName>
    <definedName name="ebsepbud" localSheetId="54">#REF!</definedName>
    <definedName name="ebsepbud" localSheetId="116">#REF!</definedName>
    <definedName name="ebsepbud" localSheetId="19">#REF!</definedName>
    <definedName name="ebsepbud" localSheetId="65">#REF!</definedName>
    <definedName name="ebsepbud" localSheetId="128">#REF!</definedName>
    <definedName name="ebsepbud" localSheetId="20">#REF!</definedName>
    <definedName name="ebsepbud" localSheetId="75">#REF!</definedName>
    <definedName name="ebsepbud" localSheetId="140">#REF!</definedName>
    <definedName name="ebsepbud" localSheetId="141">#REF!</definedName>
    <definedName name="ebsepbud" localSheetId="142">#REF!</definedName>
    <definedName name="ebsepbud" localSheetId="51">#REF!</definedName>
    <definedName name="ebsepbud" localSheetId="53">#REF!</definedName>
    <definedName name="ebsepbud" localSheetId="63">#REF!</definedName>
    <definedName name="ebsepbud" localSheetId="72">#REF!</definedName>
    <definedName name="ebsepbud" localSheetId="79">#REF!</definedName>
    <definedName name="ebsepbud" localSheetId="97">#REF!</definedName>
    <definedName name="ebsepbud" localSheetId="98">#REF!</definedName>
    <definedName name="ebsepbud" localSheetId="101">#REF!</definedName>
    <definedName name="ebsepbud" localSheetId="58">#REF!</definedName>
    <definedName name="ebsepbud" localSheetId="62">#REF!</definedName>
    <definedName name="ebsepbud" localSheetId="74">#REF!</definedName>
    <definedName name="ebsepbud" localSheetId="82">#REF!</definedName>
    <definedName name="ebsepbud" localSheetId="92">#REF!</definedName>
    <definedName name="ebsepbud" localSheetId="95">#REF!</definedName>
    <definedName name="ebsepbud" localSheetId="115">#REF!</definedName>
    <definedName name="ebsepbud" localSheetId="117">#REF!</definedName>
    <definedName name="ebsepbud" localSheetId="28">#REF!</definedName>
    <definedName name="ebsepbud" localSheetId="71">#REF!</definedName>
    <definedName name="ebsepbud" localSheetId="146">#REF!</definedName>
    <definedName name="ebsepbud" localSheetId="31">#REF!</definedName>
    <definedName name="ebsepbud" localSheetId="85">#REF!</definedName>
    <definedName name="ebsepbud" localSheetId="147">#REF!</definedName>
    <definedName name="ebsepbud" localSheetId="33">#REF!</definedName>
    <definedName name="ebsepbud" localSheetId="93">#REF!</definedName>
    <definedName name="ebsepbud" localSheetId="143">#REF!</definedName>
    <definedName name="ebsepbud" localSheetId="144">#REF!</definedName>
    <definedName name="ebsepbud" localSheetId="145">#REF!</definedName>
    <definedName name="ebsepbud" localSheetId="157">#REF!</definedName>
    <definedName name="ebsepbud" localSheetId="37">#REF!</definedName>
    <definedName name="ebsepbud" localSheetId="70">#REF!</definedName>
    <definedName name="ebsepbud" localSheetId="83">#REF!</definedName>
    <definedName name="ebsepbud" localSheetId="90">#REF!</definedName>
    <definedName name="ebsepbud" localSheetId="99">#REF!</definedName>
    <definedName name="ebsepbud" localSheetId="106">#REF!</definedName>
    <definedName name="ebsepbud" localSheetId="107">#REF!</definedName>
    <definedName name="ebsepbud" localSheetId="108">#REF!</definedName>
    <definedName name="ebsepbud" localSheetId="7">#REF!</definedName>
    <definedName name="ebsepbud" localSheetId="110">#REF!</definedName>
    <definedName name="ebsepbud" localSheetId="86">#REF!</definedName>
    <definedName name="ebsepbud" localSheetId="88">#REF!</definedName>
    <definedName name="ebsepbud" localSheetId="87">#REF!</definedName>
    <definedName name="ebsepbud" localSheetId="89">#REF!</definedName>
    <definedName name="ebsepbud">#REF!</definedName>
    <definedName name="ebsepfor" localSheetId="55">#REF!</definedName>
    <definedName name="ebsepfor" localSheetId="57">#REF!</definedName>
    <definedName name="ebsepfor" localSheetId="61">#REF!</definedName>
    <definedName name="ebsepfor" localSheetId="64">#REF!</definedName>
    <definedName name="ebsepfor" localSheetId="73">#REF!</definedName>
    <definedName name="ebsepfor" localSheetId="81">#REF!</definedName>
    <definedName name="ebsepfor" localSheetId="84">#REF!</definedName>
    <definedName name="ebsepfor" localSheetId="91">#REF!</definedName>
    <definedName name="ebsepfor" localSheetId="94">#REF!</definedName>
    <definedName name="ebsepfor" localSheetId="1">#REF!</definedName>
    <definedName name="ebsepfor" localSheetId="32">#REF!</definedName>
    <definedName name="ebsepfor" localSheetId="39">#REF!</definedName>
    <definedName name="ebsepfor" localSheetId="56">#REF!</definedName>
    <definedName name="ebsepfor" localSheetId="59">#REF!</definedName>
    <definedName name="ebsepfor" localSheetId="113">#REF!</definedName>
    <definedName name="ebsepfor" localSheetId="114">#REF!</definedName>
    <definedName name="ebsepfor" localSheetId="54">#REF!</definedName>
    <definedName name="ebsepfor" localSheetId="116">#REF!</definedName>
    <definedName name="ebsepfor" localSheetId="19">#REF!</definedName>
    <definedName name="ebsepfor" localSheetId="65">#REF!</definedName>
    <definedName name="ebsepfor" localSheetId="128">#REF!</definedName>
    <definedName name="ebsepfor" localSheetId="20">#REF!</definedName>
    <definedName name="ebsepfor" localSheetId="75">#REF!</definedName>
    <definedName name="ebsepfor" localSheetId="140">#REF!</definedName>
    <definedName name="ebsepfor" localSheetId="141">#REF!</definedName>
    <definedName name="ebsepfor" localSheetId="142">#REF!</definedName>
    <definedName name="ebsepfor" localSheetId="51">#REF!</definedName>
    <definedName name="ebsepfor" localSheetId="53">#REF!</definedName>
    <definedName name="ebsepfor" localSheetId="63">#REF!</definedName>
    <definedName name="ebsepfor" localSheetId="72">#REF!</definedName>
    <definedName name="ebsepfor" localSheetId="79">#REF!</definedName>
    <definedName name="ebsepfor" localSheetId="97">#REF!</definedName>
    <definedName name="ebsepfor" localSheetId="98">#REF!</definedName>
    <definedName name="ebsepfor" localSheetId="101">#REF!</definedName>
    <definedName name="ebsepfor" localSheetId="58">#REF!</definedName>
    <definedName name="ebsepfor" localSheetId="62">#REF!</definedName>
    <definedName name="ebsepfor" localSheetId="74">#REF!</definedName>
    <definedName name="ebsepfor" localSheetId="82">#REF!</definedName>
    <definedName name="ebsepfor" localSheetId="92">#REF!</definedName>
    <definedName name="ebsepfor" localSheetId="95">#REF!</definedName>
    <definedName name="ebsepfor" localSheetId="115">#REF!</definedName>
    <definedName name="ebsepfor" localSheetId="117">#REF!</definedName>
    <definedName name="ebsepfor" localSheetId="28">#REF!</definedName>
    <definedName name="ebsepfor" localSheetId="71">#REF!</definedName>
    <definedName name="ebsepfor" localSheetId="146">#REF!</definedName>
    <definedName name="ebsepfor" localSheetId="31">#REF!</definedName>
    <definedName name="ebsepfor" localSheetId="85">#REF!</definedName>
    <definedName name="ebsepfor" localSheetId="147">#REF!</definedName>
    <definedName name="ebsepfor" localSheetId="33">#REF!</definedName>
    <definedName name="ebsepfor" localSheetId="93">#REF!</definedName>
    <definedName name="ebsepfor" localSheetId="143">#REF!</definedName>
    <definedName name="ebsepfor" localSheetId="144">#REF!</definedName>
    <definedName name="ebsepfor" localSheetId="145">#REF!</definedName>
    <definedName name="ebsepfor" localSheetId="157">#REF!</definedName>
    <definedName name="ebsepfor" localSheetId="37">#REF!</definedName>
    <definedName name="ebsepfor" localSheetId="70">#REF!</definedName>
    <definedName name="ebsepfor" localSheetId="83">#REF!</definedName>
    <definedName name="ebsepfor" localSheetId="90">#REF!</definedName>
    <definedName name="ebsepfor" localSheetId="99">#REF!</definedName>
    <definedName name="ebsepfor" localSheetId="106">#REF!</definedName>
    <definedName name="ebsepfor" localSheetId="107">#REF!</definedName>
    <definedName name="ebsepfor" localSheetId="108">#REF!</definedName>
    <definedName name="ebsepfor" localSheetId="7">#REF!</definedName>
    <definedName name="ebsepfor" localSheetId="110">#REF!</definedName>
    <definedName name="ebsepfor" localSheetId="86">#REF!</definedName>
    <definedName name="ebsepfor" localSheetId="88">#REF!</definedName>
    <definedName name="ebsepfor" localSheetId="87">#REF!</definedName>
    <definedName name="ebsepfor" localSheetId="89">#REF!</definedName>
    <definedName name="ebsepfor">#REF!</definedName>
    <definedName name="ebytd" localSheetId="55">#REF!</definedName>
    <definedName name="ebytd" localSheetId="57">#REF!</definedName>
    <definedName name="ebytd" localSheetId="61">#REF!</definedName>
    <definedName name="ebytd" localSheetId="64">#REF!</definedName>
    <definedName name="ebytd" localSheetId="73">#REF!</definedName>
    <definedName name="ebytd" localSheetId="81">#REF!</definedName>
    <definedName name="ebytd" localSheetId="84">#REF!</definedName>
    <definedName name="ebytd" localSheetId="91">#REF!</definedName>
    <definedName name="ebytd" localSheetId="94">#REF!</definedName>
    <definedName name="ebytd" localSheetId="1">#REF!</definedName>
    <definedName name="ebytd" localSheetId="32">#REF!</definedName>
    <definedName name="ebytd" localSheetId="39">#REF!</definedName>
    <definedName name="ebytd" localSheetId="56">#REF!</definedName>
    <definedName name="ebytd" localSheetId="59">#REF!</definedName>
    <definedName name="ebytd" localSheetId="113">#REF!</definedName>
    <definedName name="ebytd" localSheetId="114">#REF!</definedName>
    <definedName name="ebytd" localSheetId="54">#REF!</definedName>
    <definedName name="ebytd" localSheetId="116">#REF!</definedName>
    <definedName name="ebytd" localSheetId="19">#REF!</definedName>
    <definedName name="ebytd" localSheetId="65">#REF!</definedName>
    <definedName name="ebytd" localSheetId="128">#REF!</definedName>
    <definedName name="ebytd" localSheetId="20">#REF!</definedName>
    <definedName name="ebytd" localSheetId="75">#REF!</definedName>
    <definedName name="ebytd" localSheetId="140">#REF!</definedName>
    <definedName name="ebytd" localSheetId="141">#REF!</definedName>
    <definedName name="ebytd" localSheetId="142">#REF!</definedName>
    <definedName name="ebytd" localSheetId="51">#REF!</definedName>
    <definedName name="ebytd" localSheetId="53">#REF!</definedName>
    <definedName name="ebytd" localSheetId="63">#REF!</definedName>
    <definedName name="ebytd" localSheetId="72">#REF!</definedName>
    <definedName name="ebytd" localSheetId="79">#REF!</definedName>
    <definedName name="ebytd" localSheetId="97">#REF!</definedName>
    <definedName name="ebytd" localSheetId="98">#REF!</definedName>
    <definedName name="ebytd" localSheetId="101">#REF!</definedName>
    <definedName name="ebytd" localSheetId="58">#REF!</definedName>
    <definedName name="ebytd" localSheetId="62">#REF!</definedName>
    <definedName name="ebytd" localSheetId="74">#REF!</definedName>
    <definedName name="ebytd" localSheetId="82">#REF!</definedName>
    <definedName name="ebytd" localSheetId="92">#REF!</definedName>
    <definedName name="ebytd" localSheetId="95">#REF!</definedName>
    <definedName name="ebytd" localSheetId="115">#REF!</definedName>
    <definedName name="ebytd" localSheetId="117">#REF!</definedName>
    <definedName name="ebytd" localSheetId="28">#REF!</definedName>
    <definedName name="ebytd" localSheetId="71">#REF!</definedName>
    <definedName name="ebytd" localSheetId="146">#REF!</definedName>
    <definedName name="ebytd" localSheetId="31">#REF!</definedName>
    <definedName name="ebytd" localSheetId="85">#REF!</definedName>
    <definedName name="ebytd" localSheetId="147">#REF!</definedName>
    <definedName name="ebytd" localSheetId="33">#REF!</definedName>
    <definedName name="ebytd" localSheetId="93">#REF!</definedName>
    <definedName name="ebytd" localSheetId="143">#REF!</definedName>
    <definedName name="ebytd" localSheetId="144">#REF!</definedName>
    <definedName name="ebytd" localSheetId="145">#REF!</definedName>
    <definedName name="ebytd" localSheetId="157">#REF!</definedName>
    <definedName name="ebytd" localSheetId="37">#REF!</definedName>
    <definedName name="ebytd" localSheetId="70">#REF!</definedName>
    <definedName name="ebytd" localSheetId="83">#REF!</definedName>
    <definedName name="ebytd" localSheetId="90">#REF!</definedName>
    <definedName name="ebytd" localSheetId="99">#REF!</definedName>
    <definedName name="ebytd" localSheetId="106">#REF!</definedName>
    <definedName name="ebytd" localSheetId="107">#REF!</definedName>
    <definedName name="ebytd" localSheetId="108">#REF!</definedName>
    <definedName name="ebytd" localSheetId="7">#REF!</definedName>
    <definedName name="ebytd" localSheetId="110">#REF!</definedName>
    <definedName name="ebytd" localSheetId="86">#REF!</definedName>
    <definedName name="ebytd" localSheetId="88">#REF!</definedName>
    <definedName name="ebytd" localSheetId="87">#REF!</definedName>
    <definedName name="ebytd" localSheetId="89">#REF!</definedName>
    <definedName name="ebytd">#REF!</definedName>
    <definedName name="ebytdgoal" localSheetId="113">#REF!</definedName>
    <definedName name="ebytdgoal" localSheetId="114">#REF!</definedName>
    <definedName name="ebytdgoal" localSheetId="116">#REF!</definedName>
    <definedName name="ebytdgoal" localSheetId="128">#REF!</definedName>
    <definedName name="ebytdgoal" localSheetId="140">#REF!</definedName>
    <definedName name="ebytdgoal" localSheetId="141">#REF!</definedName>
    <definedName name="ebytdgoal" localSheetId="142">#REF!</definedName>
    <definedName name="ebytdgoal" localSheetId="51">#REF!</definedName>
    <definedName name="ebytdgoal" localSheetId="115">#REF!</definedName>
    <definedName name="ebytdgoal" localSheetId="117">#REF!</definedName>
    <definedName name="ebytdgoal" localSheetId="146">#REF!</definedName>
    <definedName name="ebytdgoal" localSheetId="147">#REF!</definedName>
    <definedName name="ebytdgoal" localSheetId="143">#REF!</definedName>
    <definedName name="ebytdgoal" localSheetId="144">#REF!</definedName>
    <definedName name="ebytdgoal" localSheetId="145">#REF!</definedName>
    <definedName name="ebytdgoal" localSheetId="110">#REF!</definedName>
    <definedName name="ebytdgoal" localSheetId="86">#REF!</definedName>
    <definedName name="ebytdgoal">#REF!</definedName>
    <definedName name="eegoal" localSheetId="113">#REF!</definedName>
    <definedName name="eegoal" localSheetId="114">#REF!</definedName>
    <definedName name="eegoal" localSheetId="116">#REF!</definedName>
    <definedName name="eegoal" localSheetId="128">#REF!</definedName>
    <definedName name="eegoal" localSheetId="140">#REF!</definedName>
    <definedName name="eegoal" localSheetId="141">#REF!</definedName>
    <definedName name="eegoal" localSheetId="142">#REF!</definedName>
    <definedName name="eegoal" localSheetId="51">#REF!</definedName>
    <definedName name="eegoal" localSheetId="115">#REF!</definedName>
    <definedName name="eegoal" localSheetId="117">#REF!</definedName>
    <definedName name="eegoal" localSheetId="146">#REF!</definedName>
    <definedName name="eegoal" localSheetId="147">#REF!</definedName>
    <definedName name="eegoal" localSheetId="143">#REF!</definedName>
    <definedName name="eegoal" localSheetId="144">#REF!</definedName>
    <definedName name="eegoal" localSheetId="145">#REF!</definedName>
    <definedName name="eegoal" localSheetId="110">#REF!</definedName>
    <definedName name="eegoal" localSheetId="86">#REF!</definedName>
    <definedName name="eegoal">#REF!</definedName>
    <definedName name="eeperc" localSheetId="113">#REF!</definedName>
    <definedName name="eeperc" localSheetId="114">#REF!</definedName>
    <definedName name="eeperc" localSheetId="116">#REF!</definedName>
    <definedName name="eeperc" localSheetId="128">#REF!</definedName>
    <definedName name="eeperc" localSheetId="140">#REF!</definedName>
    <definedName name="eeperc" localSheetId="141">#REF!</definedName>
    <definedName name="eeperc" localSheetId="142">#REF!</definedName>
    <definedName name="eeperc" localSheetId="51">#REF!</definedName>
    <definedName name="eeperc" localSheetId="115">#REF!</definedName>
    <definedName name="eeperc" localSheetId="117">#REF!</definedName>
    <definedName name="eeperc" localSheetId="146">#REF!</definedName>
    <definedName name="eeperc" localSheetId="147">#REF!</definedName>
    <definedName name="eeperc" localSheetId="143">#REF!</definedName>
    <definedName name="eeperc" localSheetId="144">#REF!</definedName>
    <definedName name="eeperc" localSheetId="145">#REF!</definedName>
    <definedName name="eeperc" localSheetId="110">#REF!</definedName>
    <definedName name="eeperc" localSheetId="86">#REF!</definedName>
    <definedName name="eeperc">#REF!</definedName>
    <definedName name="eoomact" localSheetId="55">'[2]Attachment EL-17-1 Page 2 of 2'!#REF!</definedName>
    <definedName name="eoomact" localSheetId="57">'[2]Attachment EL-17-1 Page 2 of 2'!#REF!</definedName>
    <definedName name="eoomact" localSheetId="61">'[2]Attachment EL-17-1 Page 2 of 2'!#REF!</definedName>
    <definedName name="eoomact" localSheetId="64">'[2]Attachment EL-17-1 Page 2 of 2'!#REF!</definedName>
    <definedName name="eoomact" localSheetId="73">'[2]Attachment EL-17-1 Page 2 of 2'!#REF!</definedName>
    <definedName name="eoomact" localSheetId="81">'[2]Attachment EL-17-1 Page 2 of 2'!#REF!</definedName>
    <definedName name="eoomact" localSheetId="84">'[2]Attachment EL-17-1 Page 2 of 2'!#REF!</definedName>
    <definedName name="eoomact" localSheetId="91">'[2]Attachment EL-17-1 Page 2 of 2'!#REF!</definedName>
    <definedName name="eoomact" localSheetId="94">'[2]Attachment EL-17-1 Page 2 of 2'!#REF!</definedName>
    <definedName name="eoomact" localSheetId="1">'[2]Attachment EL-17-1 Page 2 of 2'!#REF!</definedName>
    <definedName name="eoomact" localSheetId="32">'[2]Attachment EL-17-1 Page 2 of 2'!#REF!</definedName>
    <definedName name="eoomact" localSheetId="39">'[2]Attachment EL-17-1 Page 2 of 2'!#REF!</definedName>
    <definedName name="eoomact" localSheetId="56">'[2]Attachment EL-17-1 Page 2 of 2'!#REF!</definedName>
    <definedName name="eoomact" localSheetId="59">'[2]Attachment EL-17-1 Page 2 of 2'!#REF!</definedName>
    <definedName name="eoomact" localSheetId="113">'[2]Attachment EL-17-1 Page 2 of 2'!#REF!</definedName>
    <definedName name="eoomact" localSheetId="114">'[2]Attachment EL-17-1 Page 2 of 2'!#REF!</definedName>
    <definedName name="eoomact" localSheetId="54">'[2]Attachment EL-17-1 Page 2 of 2'!#REF!</definedName>
    <definedName name="eoomact" localSheetId="116">'[2]Attachment EL-17-1 Page 2 of 2'!#REF!</definedName>
    <definedName name="eoomact" localSheetId="19">'[2]Attachment EL-17-1 Page 2 of 2'!#REF!</definedName>
    <definedName name="eoomact" localSheetId="65">'[2]Attachment EL-17-1 Page 2 of 2'!#REF!</definedName>
    <definedName name="eoomact" localSheetId="128">'[2]Attachment EL-17-1 Page 2 of 2'!#REF!</definedName>
    <definedName name="eoomact" localSheetId="20">'[2]Attachment EL-17-1 Page 2 of 2'!#REF!</definedName>
    <definedName name="eoomact" localSheetId="75">'[2]Attachment EL-17-1 Page 2 of 2'!#REF!</definedName>
    <definedName name="eoomact" localSheetId="140">'[3]Attachment EL-17-1 Page 2 of 2'!#REF!</definedName>
    <definedName name="eoomact" localSheetId="141">'[3]Attachment EL-17-1 Page 2 of 2'!#REF!</definedName>
    <definedName name="eoomact" localSheetId="142">'[3]Attachment EL-17-1 Page 2 of 2'!#REF!</definedName>
    <definedName name="eoomact" localSheetId="51">'[2]Attachment EL-17-1 Page 2 of 2'!#REF!</definedName>
    <definedName name="eoomact" localSheetId="53">'[2]Attachment EL-17-1 Page 2 of 2'!#REF!</definedName>
    <definedName name="eoomact" localSheetId="63">'[2]Attachment EL-17-1 Page 2 of 2'!#REF!</definedName>
    <definedName name="eoomact" localSheetId="72">'[2]Attachment EL-17-1 Page 2 of 2'!#REF!</definedName>
    <definedName name="eoomact" localSheetId="79">'[2]Attachment EL-17-1 Page 2 of 2'!#REF!</definedName>
    <definedName name="eoomact" localSheetId="97">'[2]Attachment EL-17-1 Page 2 of 2'!#REF!</definedName>
    <definedName name="eoomact" localSheetId="98">'[2]Attachment EL-17-1 Page 2 of 2'!#REF!</definedName>
    <definedName name="eoomact" localSheetId="101">'[2]Attachment EL-17-1 Page 2 of 2'!#REF!</definedName>
    <definedName name="eoomact" localSheetId="58">'[2]Attachment EL-17-1 Page 2 of 2'!#REF!</definedName>
    <definedName name="eoomact" localSheetId="62">'[2]Attachment EL-17-1 Page 2 of 2'!#REF!</definedName>
    <definedName name="eoomact" localSheetId="74">'[2]Attachment EL-17-1 Page 2 of 2'!#REF!</definedName>
    <definedName name="eoomact" localSheetId="82">'[2]Attachment EL-17-1 Page 2 of 2'!#REF!</definedName>
    <definedName name="eoomact" localSheetId="92">'[2]Attachment EL-17-1 Page 2 of 2'!#REF!</definedName>
    <definedName name="eoomact" localSheetId="95">'[2]Attachment EL-17-1 Page 2 of 2'!#REF!</definedName>
    <definedName name="eoomact" localSheetId="115">'[2]Attachment EL-17-1 Page 2 of 2'!#REF!</definedName>
    <definedName name="eoomact" localSheetId="117">'[2]Attachment EL-17-1 Page 2 of 2'!#REF!</definedName>
    <definedName name="eoomact" localSheetId="28">'[2]Attachment EL-17-1 Page 2 of 2'!#REF!</definedName>
    <definedName name="eoomact" localSheetId="71">'[2]Attachment EL-17-1 Page 2 of 2'!#REF!</definedName>
    <definedName name="eoomact" localSheetId="146">'[2]Attachment EL-17-1 Page 2 of 2'!#REF!</definedName>
    <definedName name="eoomact" localSheetId="31">'[2]Attachment EL-17-1 Page 2 of 2'!#REF!</definedName>
    <definedName name="eoomact" localSheetId="85">'[2]Attachment EL-17-1 Page 2 of 2'!#REF!</definedName>
    <definedName name="eoomact" localSheetId="147">'[2]Attachment EL-17-1 Page 2 of 2'!#REF!</definedName>
    <definedName name="eoomact" localSheetId="33">'[2]Attachment EL-17-1 Page 2 of 2'!#REF!</definedName>
    <definedName name="eoomact" localSheetId="93">'[2]Attachment EL-17-1 Page 2 of 2'!#REF!</definedName>
    <definedName name="eoomact" localSheetId="143">'[3]Attachment EL-17-1 Page 2 of 2'!#REF!</definedName>
    <definedName name="eoomact" localSheetId="144">'[3]Attachment EL-17-1 Page 2 of 2'!#REF!</definedName>
    <definedName name="eoomact" localSheetId="145">'[3]Attachment EL-17-1 Page 2 of 2'!#REF!</definedName>
    <definedName name="eoomact" localSheetId="157">'[2]Attachment EL-17-1 Page 2 of 2'!#REF!</definedName>
    <definedName name="eoomact" localSheetId="37">'[2]Attachment EL-17-1 Page 2 of 2'!#REF!</definedName>
    <definedName name="eoomact" localSheetId="70">'[2]Attachment EL-17-1 Page 2 of 2'!#REF!</definedName>
    <definedName name="eoomact" localSheetId="83">'[2]Attachment EL-17-1 Page 2 of 2'!#REF!</definedName>
    <definedName name="eoomact" localSheetId="90">'[2]Attachment EL-17-1 Page 2 of 2'!#REF!</definedName>
    <definedName name="eoomact" localSheetId="99">'[2]Attachment EL-17-1 Page 2 of 2'!#REF!</definedName>
    <definedName name="eoomact" localSheetId="106">'[2]Attachment EL-17-1 Page 2 of 2'!#REF!</definedName>
    <definedName name="eoomact" localSheetId="107">'[2]Attachment EL-17-1 Page 2 of 2'!#REF!</definedName>
    <definedName name="eoomact" localSheetId="108">'[2]Attachment EL-17-1 Page 2 of 2'!#REF!</definedName>
    <definedName name="eoomact" localSheetId="7">'[2]Attachment EL-17-1 Page 2 of 2'!#REF!</definedName>
    <definedName name="eoomact" localSheetId="110">'[2]Attachment EL-17-1 Page 2 of 2'!#REF!</definedName>
    <definedName name="eoomact" localSheetId="86">'[2]Attachment EL-17-1 Page 2 of 2'!#REF!</definedName>
    <definedName name="eoomact" localSheetId="88">'[2]Attachment EL-17-1 Page 2 of 2'!#REF!</definedName>
    <definedName name="eoomact" localSheetId="87">'[2]Attachment EL-17-1 Page 2 of 2'!#REF!</definedName>
    <definedName name="eoomact" localSheetId="89">'[2]Attachment EL-17-1 Page 2 of 2'!#REF!</definedName>
    <definedName name="eoomact">'[2]Attachment EL-17-1 Page 2 of 2'!#REF!</definedName>
    <definedName name="eoytd" localSheetId="55">#REF!</definedName>
    <definedName name="eoytd" localSheetId="57">#REF!</definedName>
    <definedName name="eoytd" localSheetId="61">#REF!</definedName>
    <definedName name="eoytd" localSheetId="64">#REF!</definedName>
    <definedName name="eoytd" localSheetId="73">#REF!</definedName>
    <definedName name="eoytd" localSheetId="81">#REF!</definedName>
    <definedName name="eoytd" localSheetId="84">#REF!</definedName>
    <definedName name="eoytd" localSheetId="91">#REF!</definedName>
    <definedName name="eoytd" localSheetId="94">#REF!</definedName>
    <definedName name="eoytd" localSheetId="1">#REF!</definedName>
    <definedName name="eoytd" localSheetId="32">#REF!</definedName>
    <definedName name="eoytd" localSheetId="39">#REF!</definedName>
    <definedName name="eoytd" localSheetId="56">#REF!</definedName>
    <definedName name="eoytd" localSheetId="59">#REF!</definedName>
    <definedName name="eoytd" localSheetId="113">#REF!</definedName>
    <definedName name="eoytd" localSheetId="114">#REF!</definedName>
    <definedName name="eoytd" localSheetId="54">#REF!</definedName>
    <definedName name="eoytd" localSheetId="116">#REF!</definedName>
    <definedName name="eoytd" localSheetId="19">#REF!</definedName>
    <definedName name="eoytd" localSheetId="65">#REF!</definedName>
    <definedName name="eoytd" localSheetId="128">#REF!</definedName>
    <definedName name="eoytd" localSheetId="20">#REF!</definedName>
    <definedName name="eoytd" localSheetId="75">#REF!</definedName>
    <definedName name="eoytd" localSheetId="140">#REF!</definedName>
    <definedName name="eoytd" localSheetId="141">#REF!</definedName>
    <definedName name="eoytd" localSheetId="142">#REF!</definedName>
    <definedName name="eoytd" localSheetId="51">#REF!</definedName>
    <definedName name="eoytd" localSheetId="53">#REF!</definedName>
    <definedName name="eoytd" localSheetId="63">#REF!</definedName>
    <definedName name="eoytd" localSheetId="72">#REF!</definedName>
    <definedName name="eoytd" localSheetId="79">#REF!</definedName>
    <definedName name="eoytd" localSheetId="97">#REF!</definedName>
    <definedName name="eoytd" localSheetId="98">#REF!</definedName>
    <definedName name="eoytd" localSheetId="101">#REF!</definedName>
    <definedName name="eoytd" localSheetId="58">#REF!</definedName>
    <definedName name="eoytd" localSheetId="62">#REF!</definedName>
    <definedName name="eoytd" localSheetId="74">#REF!</definedName>
    <definedName name="eoytd" localSheetId="82">#REF!</definedName>
    <definedName name="eoytd" localSheetId="92">#REF!</definedName>
    <definedName name="eoytd" localSheetId="95">#REF!</definedName>
    <definedName name="eoytd" localSheetId="115">#REF!</definedName>
    <definedName name="eoytd" localSheetId="117">#REF!</definedName>
    <definedName name="eoytd" localSheetId="28">#REF!</definedName>
    <definedName name="eoytd" localSheetId="71">#REF!</definedName>
    <definedName name="eoytd" localSheetId="146">#REF!</definedName>
    <definedName name="eoytd" localSheetId="31">#REF!</definedName>
    <definedName name="eoytd" localSheetId="85">#REF!</definedName>
    <definedName name="eoytd" localSheetId="147">#REF!</definedName>
    <definedName name="eoytd" localSheetId="33">#REF!</definedName>
    <definedName name="eoytd" localSheetId="93">#REF!</definedName>
    <definedName name="eoytd" localSheetId="143">#REF!</definedName>
    <definedName name="eoytd" localSheetId="144">#REF!</definedName>
    <definedName name="eoytd" localSheetId="145">#REF!</definedName>
    <definedName name="eoytd" localSheetId="157">#REF!</definedName>
    <definedName name="eoytd" localSheetId="37">#REF!</definedName>
    <definedName name="eoytd" localSheetId="70">#REF!</definedName>
    <definedName name="eoytd" localSheetId="83">#REF!</definedName>
    <definedName name="eoytd" localSheetId="90">#REF!</definedName>
    <definedName name="eoytd" localSheetId="99">#REF!</definedName>
    <definedName name="eoytd" localSheetId="106">#REF!</definedName>
    <definedName name="eoytd" localSheetId="107">#REF!</definedName>
    <definedName name="eoytd" localSheetId="108">#REF!</definedName>
    <definedName name="eoytd" localSheetId="7">#REF!</definedName>
    <definedName name="eoytd" localSheetId="110">#REF!</definedName>
    <definedName name="eoytd" localSheetId="86">#REF!</definedName>
    <definedName name="eoytd" localSheetId="88">#REF!</definedName>
    <definedName name="eoytd" localSheetId="87">#REF!</definedName>
    <definedName name="eoytd" localSheetId="89">#REF!</definedName>
    <definedName name="eoytd">#REF!</definedName>
    <definedName name="eoytdgoal" localSheetId="113">#REF!</definedName>
    <definedName name="eoytdgoal" localSheetId="114">#REF!</definedName>
    <definedName name="eoytdgoal" localSheetId="116">#REF!</definedName>
    <definedName name="eoytdgoal" localSheetId="128">#REF!</definedName>
    <definedName name="eoytdgoal" localSheetId="140">#REF!</definedName>
    <definedName name="eoytdgoal" localSheetId="141">#REF!</definedName>
    <definedName name="eoytdgoal" localSheetId="142">#REF!</definedName>
    <definedName name="eoytdgoal" localSheetId="51">#REF!</definedName>
    <definedName name="eoytdgoal" localSheetId="115">#REF!</definedName>
    <definedName name="eoytdgoal" localSheetId="117">#REF!</definedName>
    <definedName name="eoytdgoal" localSheetId="146">#REF!</definedName>
    <definedName name="eoytdgoal" localSheetId="147">#REF!</definedName>
    <definedName name="eoytdgoal" localSheetId="143">#REF!</definedName>
    <definedName name="eoytdgoal" localSheetId="144">#REF!</definedName>
    <definedName name="eoytdgoal" localSheetId="145">#REF!</definedName>
    <definedName name="eoytdgoal" localSheetId="110">#REF!</definedName>
    <definedName name="eoytdgoal" localSheetId="86">#REF!</definedName>
    <definedName name="eoytdgoal">#REF!</definedName>
    <definedName name="esytd" localSheetId="55">#REF!</definedName>
    <definedName name="esytd" localSheetId="57">#REF!</definedName>
    <definedName name="esytd" localSheetId="61">#REF!</definedName>
    <definedName name="esytd" localSheetId="64">#REF!</definedName>
    <definedName name="esytd" localSheetId="73">#REF!</definedName>
    <definedName name="esytd" localSheetId="81">#REF!</definedName>
    <definedName name="esytd" localSheetId="84">#REF!</definedName>
    <definedName name="esytd" localSheetId="91">#REF!</definedName>
    <definedName name="esytd" localSheetId="94">#REF!</definedName>
    <definedName name="esytd" localSheetId="1">#REF!</definedName>
    <definedName name="esytd" localSheetId="32">#REF!</definedName>
    <definedName name="esytd" localSheetId="39">#REF!</definedName>
    <definedName name="esytd" localSheetId="56">#REF!</definedName>
    <definedName name="esytd" localSheetId="59">#REF!</definedName>
    <definedName name="esytd" localSheetId="113">#REF!</definedName>
    <definedName name="esytd" localSheetId="114">#REF!</definedName>
    <definedName name="esytd" localSheetId="54">#REF!</definedName>
    <definedName name="esytd" localSheetId="116">#REF!</definedName>
    <definedName name="esytd" localSheetId="19">#REF!</definedName>
    <definedName name="esytd" localSheetId="65">#REF!</definedName>
    <definedName name="esytd" localSheetId="128">#REF!</definedName>
    <definedName name="esytd" localSheetId="20">#REF!</definedName>
    <definedName name="esytd" localSheetId="75">#REF!</definedName>
    <definedName name="esytd" localSheetId="140">#REF!</definedName>
    <definedName name="esytd" localSheetId="141">#REF!</definedName>
    <definedName name="esytd" localSheetId="142">#REF!</definedName>
    <definedName name="esytd" localSheetId="51">#REF!</definedName>
    <definedName name="esytd" localSheetId="53">#REF!</definedName>
    <definedName name="esytd" localSheetId="63">#REF!</definedName>
    <definedName name="esytd" localSheetId="72">#REF!</definedName>
    <definedName name="esytd" localSheetId="79">#REF!</definedName>
    <definedName name="esytd" localSheetId="97">#REF!</definedName>
    <definedName name="esytd" localSheetId="98">#REF!</definedName>
    <definedName name="esytd" localSheetId="101">#REF!</definedName>
    <definedName name="esytd" localSheetId="58">#REF!</definedName>
    <definedName name="esytd" localSheetId="62">#REF!</definedName>
    <definedName name="esytd" localSheetId="74">#REF!</definedName>
    <definedName name="esytd" localSheetId="82">#REF!</definedName>
    <definedName name="esytd" localSheetId="92">#REF!</definedName>
    <definedName name="esytd" localSheetId="95">#REF!</definedName>
    <definedName name="esytd" localSheetId="115">#REF!</definedName>
    <definedName name="esytd" localSheetId="117">#REF!</definedName>
    <definedName name="esytd" localSheetId="28">#REF!</definedName>
    <definedName name="esytd" localSheetId="71">#REF!</definedName>
    <definedName name="esytd" localSheetId="146">#REF!</definedName>
    <definedName name="esytd" localSheetId="31">#REF!</definedName>
    <definedName name="esytd" localSheetId="85">#REF!</definedName>
    <definedName name="esytd" localSheetId="147">#REF!</definedName>
    <definedName name="esytd" localSheetId="33">#REF!</definedName>
    <definedName name="esytd" localSheetId="93">#REF!</definedName>
    <definedName name="esytd" localSheetId="143">#REF!</definedName>
    <definedName name="esytd" localSheetId="144">#REF!</definedName>
    <definedName name="esytd" localSheetId="145">#REF!</definedName>
    <definedName name="esytd" localSheetId="157">#REF!</definedName>
    <definedName name="esytd" localSheetId="37">#REF!</definedName>
    <definedName name="esytd" localSheetId="70">#REF!</definedName>
    <definedName name="esytd" localSheetId="83">#REF!</definedName>
    <definedName name="esytd" localSheetId="90">#REF!</definedName>
    <definedName name="esytd" localSheetId="99">#REF!</definedName>
    <definedName name="esytd" localSheetId="106">#REF!</definedName>
    <definedName name="esytd" localSheetId="107">#REF!</definedName>
    <definedName name="esytd" localSheetId="108">#REF!</definedName>
    <definedName name="esytd" localSheetId="7">#REF!</definedName>
    <definedName name="esytd" localSheetId="110">#REF!</definedName>
    <definedName name="esytd" localSheetId="86">#REF!</definedName>
    <definedName name="esytd" localSheetId="88">#REF!</definedName>
    <definedName name="esytd" localSheetId="87">#REF!</definedName>
    <definedName name="esytd" localSheetId="89">#REF!</definedName>
    <definedName name="esytd">#REF!</definedName>
    <definedName name="gg" hidden="1">{#N/A,#N/A,FALSE,"GLDwnLoad"}</definedName>
    <definedName name="gl" hidden="1">{#N/A,#N/A,FALSE,"GLDwnLoad"}</definedName>
    <definedName name="helpsytd" localSheetId="55">#REF!</definedName>
    <definedName name="helpsytd" localSheetId="57">#REF!</definedName>
    <definedName name="helpsytd" localSheetId="61">#REF!</definedName>
    <definedName name="helpsytd" localSheetId="64">#REF!</definedName>
    <definedName name="helpsytd" localSheetId="73">#REF!</definedName>
    <definedName name="helpsytd" localSheetId="81">#REF!</definedName>
    <definedName name="helpsytd" localSheetId="84">#REF!</definedName>
    <definedName name="helpsytd" localSheetId="91">#REF!</definedName>
    <definedName name="helpsytd" localSheetId="94">#REF!</definedName>
    <definedName name="helpsytd" localSheetId="1">#REF!</definedName>
    <definedName name="helpsytd" localSheetId="32">#REF!</definedName>
    <definedName name="helpsytd" localSheetId="39">#REF!</definedName>
    <definedName name="helpsytd" localSheetId="56">#REF!</definedName>
    <definedName name="helpsytd" localSheetId="59">#REF!</definedName>
    <definedName name="helpsytd" localSheetId="113">#REF!</definedName>
    <definedName name="helpsytd" localSheetId="114">#REF!</definedName>
    <definedName name="helpsytd" localSheetId="54">#REF!</definedName>
    <definedName name="helpsytd" localSheetId="116">#REF!</definedName>
    <definedName name="helpsytd" localSheetId="19">#REF!</definedName>
    <definedName name="helpsytd" localSheetId="65">#REF!</definedName>
    <definedName name="helpsytd" localSheetId="128">#REF!</definedName>
    <definedName name="helpsytd" localSheetId="20">#REF!</definedName>
    <definedName name="helpsytd" localSheetId="75">#REF!</definedName>
    <definedName name="helpsytd" localSheetId="140">#REF!</definedName>
    <definedName name="helpsytd" localSheetId="141">#REF!</definedName>
    <definedName name="helpsytd" localSheetId="142">#REF!</definedName>
    <definedName name="helpsytd" localSheetId="51">#REF!</definedName>
    <definedName name="helpsytd" localSheetId="53">#REF!</definedName>
    <definedName name="helpsytd" localSheetId="63">#REF!</definedName>
    <definedName name="helpsytd" localSheetId="72">#REF!</definedName>
    <definedName name="helpsytd" localSheetId="79">#REF!</definedName>
    <definedName name="helpsytd" localSheetId="97">#REF!</definedName>
    <definedName name="helpsytd" localSheetId="98">#REF!</definedName>
    <definedName name="helpsytd" localSheetId="101">#REF!</definedName>
    <definedName name="helpsytd" localSheetId="58">#REF!</definedName>
    <definedName name="helpsytd" localSheetId="62">#REF!</definedName>
    <definedName name="helpsytd" localSheetId="74">#REF!</definedName>
    <definedName name="helpsytd" localSheetId="82">#REF!</definedName>
    <definedName name="helpsytd" localSheetId="92">#REF!</definedName>
    <definedName name="helpsytd" localSheetId="95">#REF!</definedName>
    <definedName name="helpsytd" localSheetId="115">#REF!</definedName>
    <definedName name="helpsytd" localSheetId="117">#REF!</definedName>
    <definedName name="helpsytd" localSheetId="28">#REF!</definedName>
    <definedName name="helpsytd" localSheetId="71">#REF!</definedName>
    <definedName name="helpsytd" localSheetId="146">#REF!</definedName>
    <definedName name="helpsytd" localSheetId="31">#REF!</definedName>
    <definedName name="helpsytd" localSheetId="85">#REF!</definedName>
    <definedName name="helpsytd" localSheetId="147">#REF!</definedName>
    <definedName name="helpsytd" localSheetId="33">#REF!</definedName>
    <definedName name="helpsytd" localSheetId="93">#REF!</definedName>
    <definedName name="helpsytd" localSheetId="143">#REF!</definedName>
    <definedName name="helpsytd" localSheetId="144">#REF!</definedName>
    <definedName name="helpsytd" localSheetId="145">#REF!</definedName>
    <definedName name="helpsytd" localSheetId="157">#REF!</definedName>
    <definedName name="helpsytd" localSheetId="37">#REF!</definedName>
    <definedName name="helpsytd" localSheetId="70">#REF!</definedName>
    <definedName name="helpsytd" localSheetId="83">#REF!</definedName>
    <definedName name="helpsytd" localSheetId="90">#REF!</definedName>
    <definedName name="helpsytd" localSheetId="99">#REF!</definedName>
    <definedName name="helpsytd" localSheetId="106">#REF!</definedName>
    <definedName name="helpsytd" localSheetId="107">#REF!</definedName>
    <definedName name="helpsytd" localSheetId="108">#REF!</definedName>
    <definedName name="helpsytd" localSheetId="7">#REF!</definedName>
    <definedName name="helpsytd" localSheetId="110">#REF!</definedName>
    <definedName name="helpsytd" localSheetId="86">#REF!</definedName>
    <definedName name="helpsytd" localSheetId="88">#REF!</definedName>
    <definedName name="helpsytd" localSheetId="87">#REF!</definedName>
    <definedName name="helpsytd" localSheetId="89">#REF!</definedName>
    <definedName name="helpsytd">#REF!</definedName>
    <definedName name="helpsytdgoal" localSheetId="113">#REF!</definedName>
    <definedName name="helpsytdgoal" localSheetId="114">#REF!</definedName>
    <definedName name="helpsytdgoal" localSheetId="116">#REF!</definedName>
    <definedName name="helpsytdgoal" localSheetId="128">#REF!</definedName>
    <definedName name="helpsytdgoal" localSheetId="140">#REF!</definedName>
    <definedName name="helpsytdgoal" localSheetId="141">#REF!</definedName>
    <definedName name="helpsytdgoal" localSheetId="142">#REF!</definedName>
    <definedName name="helpsytdgoal" localSheetId="51">#REF!</definedName>
    <definedName name="helpsytdgoal" localSheetId="115">#REF!</definedName>
    <definedName name="helpsytdgoal" localSheetId="117">#REF!</definedName>
    <definedName name="helpsytdgoal" localSheetId="146">#REF!</definedName>
    <definedName name="helpsytdgoal" localSheetId="147">#REF!</definedName>
    <definedName name="helpsytdgoal" localSheetId="143">#REF!</definedName>
    <definedName name="helpsytdgoal" localSheetId="144">#REF!</definedName>
    <definedName name="helpsytdgoal" localSheetId="145">#REF!</definedName>
    <definedName name="helpsytdgoal" localSheetId="110">#REF!</definedName>
    <definedName name="helpsytdgoal" localSheetId="86">#REF!</definedName>
    <definedName name="helpsytdgoal">#REF!</definedName>
    <definedName name="homesytd" localSheetId="55">#REF!</definedName>
    <definedName name="homesytd" localSheetId="57">#REF!</definedName>
    <definedName name="homesytd" localSheetId="61">#REF!</definedName>
    <definedName name="homesytd" localSheetId="64">#REF!</definedName>
    <definedName name="homesytd" localSheetId="73">#REF!</definedName>
    <definedName name="homesytd" localSheetId="81">#REF!</definedName>
    <definedName name="homesytd" localSheetId="84">#REF!</definedName>
    <definedName name="homesytd" localSheetId="91">#REF!</definedName>
    <definedName name="homesytd" localSheetId="94">#REF!</definedName>
    <definedName name="homesytd" localSheetId="1">#REF!</definedName>
    <definedName name="homesytd" localSheetId="32">#REF!</definedName>
    <definedName name="homesytd" localSheetId="39">#REF!</definedName>
    <definedName name="homesytd" localSheetId="56">#REF!</definedName>
    <definedName name="homesytd" localSheetId="59">#REF!</definedName>
    <definedName name="homesytd" localSheetId="113">#REF!</definedName>
    <definedName name="homesytd" localSheetId="114">#REF!</definedName>
    <definedName name="homesytd" localSheetId="54">#REF!</definedName>
    <definedName name="homesytd" localSheetId="116">#REF!</definedName>
    <definedName name="homesytd" localSheetId="19">#REF!</definedName>
    <definedName name="homesytd" localSheetId="65">#REF!</definedName>
    <definedName name="homesytd" localSheetId="128">#REF!</definedName>
    <definedName name="homesytd" localSheetId="20">#REF!</definedName>
    <definedName name="homesytd" localSheetId="75">#REF!</definedName>
    <definedName name="homesytd" localSheetId="140">#REF!</definedName>
    <definedName name="homesytd" localSheetId="141">#REF!</definedName>
    <definedName name="homesytd" localSheetId="142">#REF!</definedName>
    <definedName name="homesytd" localSheetId="51">#REF!</definedName>
    <definedName name="homesytd" localSheetId="53">#REF!</definedName>
    <definedName name="homesytd" localSheetId="63">#REF!</definedName>
    <definedName name="homesytd" localSheetId="72">#REF!</definedName>
    <definedName name="homesytd" localSheetId="79">#REF!</definedName>
    <definedName name="homesytd" localSheetId="97">#REF!</definedName>
    <definedName name="homesytd" localSheetId="98">#REF!</definedName>
    <definedName name="homesytd" localSheetId="101">#REF!</definedName>
    <definedName name="homesytd" localSheetId="58">#REF!</definedName>
    <definedName name="homesytd" localSheetId="62">#REF!</definedName>
    <definedName name="homesytd" localSheetId="74">#REF!</definedName>
    <definedName name="homesytd" localSheetId="82">#REF!</definedName>
    <definedName name="homesytd" localSheetId="92">#REF!</definedName>
    <definedName name="homesytd" localSheetId="95">#REF!</definedName>
    <definedName name="homesytd" localSheetId="115">#REF!</definedName>
    <definedName name="homesytd" localSheetId="117">#REF!</definedName>
    <definedName name="homesytd" localSheetId="28">#REF!</definedName>
    <definedName name="homesytd" localSheetId="71">#REF!</definedName>
    <definedName name="homesytd" localSheetId="146">#REF!</definedName>
    <definedName name="homesytd" localSheetId="31">#REF!</definedName>
    <definedName name="homesytd" localSheetId="85">#REF!</definedName>
    <definedName name="homesytd" localSheetId="147">#REF!</definedName>
    <definedName name="homesytd" localSheetId="33">#REF!</definedName>
    <definedName name="homesytd" localSheetId="93">#REF!</definedName>
    <definedName name="homesytd" localSheetId="143">#REF!</definedName>
    <definedName name="homesytd" localSheetId="144">#REF!</definedName>
    <definedName name="homesytd" localSheetId="145">#REF!</definedName>
    <definedName name="homesytd" localSheetId="157">#REF!</definedName>
    <definedName name="homesytd" localSheetId="37">#REF!</definedName>
    <definedName name="homesytd" localSheetId="70">#REF!</definedName>
    <definedName name="homesytd" localSheetId="83">#REF!</definedName>
    <definedName name="homesytd" localSheetId="90">#REF!</definedName>
    <definedName name="homesytd" localSheetId="99">#REF!</definedName>
    <definedName name="homesytd" localSheetId="106">#REF!</definedName>
    <definedName name="homesytd" localSheetId="107">#REF!</definedName>
    <definedName name="homesytd" localSheetId="108">#REF!</definedName>
    <definedName name="homesytd" localSheetId="7">#REF!</definedName>
    <definedName name="homesytd" localSheetId="110">#REF!</definedName>
    <definedName name="homesytd" localSheetId="86">#REF!</definedName>
    <definedName name="homesytd" localSheetId="88">#REF!</definedName>
    <definedName name="homesytd" localSheetId="87">#REF!</definedName>
    <definedName name="homesytd" localSheetId="89">#REF!</definedName>
    <definedName name="homesytd">#REF!</definedName>
    <definedName name="homesytdgoal" localSheetId="113">#REF!</definedName>
    <definedName name="homesytdgoal" localSheetId="114">#REF!</definedName>
    <definedName name="homesytdgoal" localSheetId="116">#REF!</definedName>
    <definedName name="homesytdgoal" localSheetId="128">#REF!</definedName>
    <definedName name="homesytdgoal" localSheetId="140">#REF!</definedName>
    <definedName name="homesytdgoal" localSheetId="141">#REF!</definedName>
    <definedName name="homesytdgoal" localSheetId="142">#REF!</definedName>
    <definedName name="homesytdgoal" localSheetId="51">#REF!</definedName>
    <definedName name="homesytdgoal" localSheetId="115">#REF!</definedName>
    <definedName name="homesytdgoal" localSheetId="117">#REF!</definedName>
    <definedName name="homesytdgoal" localSheetId="146">#REF!</definedName>
    <definedName name="homesytdgoal" localSheetId="147">#REF!</definedName>
    <definedName name="homesytdgoal" localSheetId="143">#REF!</definedName>
    <definedName name="homesytdgoal" localSheetId="144">#REF!</definedName>
    <definedName name="homesytdgoal" localSheetId="145">#REF!</definedName>
    <definedName name="homesytdgoal" localSheetId="110">#REF!</definedName>
    <definedName name="homesytdgoal" localSheetId="86">#REF!</definedName>
    <definedName name="homesytdgoal">#REF!</definedName>
    <definedName name="ID" localSheetId="140" hidden="1">"a0990889-16fd-4813-8746-732914b86b64"</definedName>
    <definedName name="ID" localSheetId="141" hidden="1">"a0990889-16fd-4813-8746-732914b86b64"</definedName>
    <definedName name="ID" localSheetId="142" hidden="1">"a0990889-16fd-4813-8746-732914b86b64"</definedName>
    <definedName name="ID" localSheetId="143" hidden="1">"a0990889-16fd-4813-8746-732914b86b64"</definedName>
    <definedName name="ID" localSheetId="144" hidden="1">"a0990889-16fd-4813-8746-732914b86b64"</definedName>
    <definedName name="ID" localSheetId="145" hidden="1">"a0990889-16fd-4813-8746-732914b86b64"</definedName>
    <definedName name="iiiiiiiiiiii" localSheetId="140">'[5]ES CT Electric Table A  '!#REF!</definedName>
    <definedName name="iiiiiiiiiiii" localSheetId="141">'[5]ES CT Electric Table A  '!#REF!</definedName>
    <definedName name="iiiiiiiiiiii" localSheetId="142">'[5]ES CT Electric Table A  '!#REF!</definedName>
    <definedName name="iiiiiiiiiiii" localSheetId="143">'[5]ES CT Electric Table A  '!#REF!</definedName>
    <definedName name="iiiiiiiiiiii" localSheetId="144">'[5]ES CT Electric Table A  '!#REF!</definedName>
    <definedName name="iiiiiiiiiiii" localSheetId="145">'[5]ES CT Electric Table A  '!#REF!</definedName>
    <definedName name="iiiiiiiiiiii">'[5]ES CT Electric Table A  '!#REF!</definedName>
    <definedName name="iiiiiiiiiiuuuu" localSheetId="140">'[5]ES CT Electric Table A  '!#REF!</definedName>
    <definedName name="iiiiiiiiiiuuuu" localSheetId="141">'[5]ES CT Electric Table A  '!#REF!</definedName>
    <definedName name="iiiiiiiiiiuuuu" localSheetId="142">'[5]ES CT Electric Table A  '!#REF!</definedName>
    <definedName name="iiiiiiiiiiuuuu" localSheetId="143">'[5]ES CT Electric Table A  '!#REF!</definedName>
    <definedName name="iiiiiiiiiiuuuu" localSheetId="144">'[5]ES CT Electric Table A  '!#REF!</definedName>
    <definedName name="iiiiiiiiiiuuuu" localSheetId="145">'[5]ES CT Electric Table A  '!#REF!</definedName>
    <definedName name="iiiiiiiiiiuuuu">'[5]ES CT Electric Table A  '!#REF!</definedName>
    <definedName name="in" hidden="1">{#N/A,#N/A,FALSE,"OTHERINPUTS";#N/A,#N/A,FALSE,"DITRATEINPUTS";#N/A,#N/A,FALSE,"SUPPLIEDADJINPUT";#N/A,#N/A,FALSE,"TIMINGDIFFINPUTS";#N/A,#N/A,FALSE,"BR&amp;SUPADJ."}</definedName>
    <definedName name="incentive1" localSheetId="64">#REF!</definedName>
    <definedName name="incentive1" localSheetId="73">#REF!</definedName>
    <definedName name="incentive1" localSheetId="81">#REF!</definedName>
    <definedName name="incentive1" localSheetId="84">#REF!</definedName>
    <definedName name="incentive1" localSheetId="91">#REF!</definedName>
    <definedName name="incentive1" localSheetId="94">#REF!</definedName>
    <definedName name="incentive1" localSheetId="4">#REF!</definedName>
    <definedName name="incentive1" localSheetId="0">#REF!</definedName>
    <definedName name="incentive1" localSheetId="3">#REF!</definedName>
    <definedName name="incentive1" localSheetId="1">#REF!</definedName>
    <definedName name="incentive1" localSheetId="113">#REF!</definedName>
    <definedName name="incentive1" localSheetId="17">#REF!</definedName>
    <definedName name="incentive1" localSheetId="114">#REF!</definedName>
    <definedName name="incentive1" localSheetId="116">#REF!</definedName>
    <definedName name="incentive1" localSheetId="128">#REF!</definedName>
    <definedName name="incentive1" localSheetId="140">#REF!</definedName>
    <definedName name="incentive1" localSheetId="141">#REF!</definedName>
    <definedName name="incentive1" localSheetId="142">#REF!</definedName>
    <definedName name="incentive1" localSheetId="51">#REF!</definedName>
    <definedName name="incentive1" localSheetId="49">#REF!</definedName>
    <definedName name="incentive1" localSheetId="53">#REF!</definedName>
    <definedName name="incentive1" localSheetId="63">#REF!</definedName>
    <definedName name="incentive1" localSheetId="72">#REF!</definedName>
    <definedName name="incentive1" localSheetId="79">#REF!</definedName>
    <definedName name="incentive1" localSheetId="2">#REF!</definedName>
    <definedName name="incentive1" localSheetId="9">#REF!</definedName>
    <definedName name="incentive1" localSheetId="10">#REF!</definedName>
    <definedName name="incentive1" localSheetId="8">#REF!</definedName>
    <definedName name="incentive1" localSheetId="74">#REF!</definedName>
    <definedName name="incentive1" localSheetId="82">#REF!</definedName>
    <definedName name="incentive1" localSheetId="92">#REF!</definedName>
    <definedName name="incentive1" localSheetId="95">#REF!</definedName>
    <definedName name="incentive1" localSheetId="115">#REF!</definedName>
    <definedName name="incentive1" localSheetId="27">#REF!</definedName>
    <definedName name="incentive1" localSheetId="117">#REF!</definedName>
    <definedName name="incentive1" localSheetId="28">#REF!</definedName>
    <definedName name="incentive1" localSheetId="146">#REF!</definedName>
    <definedName name="incentive1" localSheetId="147">#REF!</definedName>
    <definedName name="incentive1" localSheetId="143">#REF!</definedName>
    <definedName name="incentive1" localSheetId="144">#REF!</definedName>
    <definedName name="incentive1" localSheetId="145">#REF!</definedName>
    <definedName name="incentive1" localSheetId="66">#REF!</definedName>
    <definedName name="incentive1" localSheetId="70">#REF!</definedName>
    <definedName name="incentive1" localSheetId="83">#REF!</definedName>
    <definedName name="incentive1" localSheetId="90">#REF!</definedName>
    <definedName name="incentive1" localSheetId="99">#REF!</definedName>
    <definedName name="incentive1" localSheetId="7">#REF!</definedName>
    <definedName name="incentive1" localSheetId="110">#REF!</definedName>
    <definedName name="incentive1" localSheetId="12">#REF!</definedName>
    <definedName name="incentive1" localSheetId="11">#REF!</definedName>
    <definedName name="incentive1" localSheetId="41">#REF!</definedName>
    <definedName name="incentive1" localSheetId="43">#REF!</definedName>
    <definedName name="incentive1" localSheetId="86">#REF!</definedName>
    <definedName name="incentive1" localSheetId="88">#REF!</definedName>
    <definedName name="incentive1" localSheetId="87">#REF!</definedName>
    <definedName name="incentive1" localSheetId="89">#REF!</definedName>
    <definedName name="incentive1">#REF!</definedName>
    <definedName name="incentive1a" localSheetId="113">#REF!</definedName>
    <definedName name="incentive1a" localSheetId="114">#REF!</definedName>
    <definedName name="incentive1a" localSheetId="116">#REF!</definedName>
    <definedName name="incentive1a" localSheetId="128">#REF!</definedName>
    <definedName name="incentive1a" localSheetId="140">#REF!</definedName>
    <definedName name="incentive1a" localSheetId="141">#REF!</definedName>
    <definedName name="incentive1a" localSheetId="142">#REF!</definedName>
    <definedName name="incentive1a" localSheetId="9">#REF!</definedName>
    <definedName name="incentive1a" localSheetId="10">#REF!</definedName>
    <definedName name="incentive1a" localSheetId="8">#REF!</definedName>
    <definedName name="incentive1a" localSheetId="115">#REF!</definedName>
    <definedName name="incentive1a" localSheetId="117">#REF!</definedName>
    <definedName name="incentive1a" localSheetId="146">#REF!</definedName>
    <definedName name="incentive1a" localSheetId="147">#REF!</definedName>
    <definedName name="incentive1a" localSheetId="143">#REF!</definedName>
    <definedName name="incentive1a" localSheetId="144">#REF!</definedName>
    <definedName name="incentive1a" localSheetId="145">#REF!</definedName>
    <definedName name="incentive1a" localSheetId="7">#REF!</definedName>
    <definedName name="incentive1a" localSheetId="110">#REF!</definedName>
    <definedName name="incentive1a" localSheetId="86">#REF!</definedName>
    <definedName name="incentive1a">#REF!</definedName>
    <definedName name="Interest" localSheetId="140">'[5]ES CT Electric Table A  '!#REF!</definedName>
    <definedName name="Interest" localSheetId="141">'[5]ES CT Electric Table A  '!#REF!</definedName>
    <definedName name="Interest" localSheetId="142">'[5]ES CT Electric Table A  '!#REF!</definedName>
    <definedName name="Interest" localSheetId="143">'[5]ES CT Electric Table A  '!#REF!</definedName>
    <definedName name="Interest" localSheetId="144">'[5]ES CT Electric Table A  '!#REF!</definedName>
    <definedName name="Interest" localSheetId="145">'[5]ES CT Electric Table A  '!#REF!</definedName>
    <definedName name="Interest">'[5]ES CT Electric Table A  '!#REF!</definedName>
    <definedName name="Interest_alloc" localSheetId="64">#REF!</definedName>
    <definedName name="Interest_alloc" localSheetId="73">#REF!</definedName>
    <definedName name="Interest_alloc" localSheetId="81">#REF!</definedName>
    <definedName name="Interest_alloc" localSheetId="84">#REF!</definedName>
    <definedName name="Interest_alloc" localSheetId="91">#REF!</definedName>
    <definedName name="Interest_alloc" localSheetId="94">#REF!</definedName>
    <definedName name="Interest_alloc" localSheetId="113">'[1]CLM Programs'!#REF!</definedName>
    <definedName name="Interest_alloc" localSheetId="114">'[1]CLM Programs'!#REF!</definedName>
    <definedName name="Interest_alloc" localSheetId="116">'[1]CLM Programs'!#REF!</definedName>
    <definedName name="Interest_alloc" localSheetId="128">'[1]CLM Programs'!#REF!</definedName>
    <definedName name="Interest_alloc" localSheetId="140">#REF!</definedName>
    <definedName name="Interest_alloc" localSheetId="141">#REF!</definedName>
    <definedName name="Interest_alloc" localSheetId="142">#REF!</definedName>
    <definedName name="Interest_alloc" localSheetId="51">#REF!</definedName>
    <definedName name="Interest_alloc" localSheetId="49">#REF!</definedName>
    <definedName name="Interest_alloc" localSheetId="53">#REF!</definedName>
    <definedName name="Interest_alloc" localSheetId="63">#REF!</definedName>
    <definedName name="Interest_alloc" localSheetId="72">#REF!</definedName>
    <definedName name="Interest_alloc" localSheetId="79">#REF!</definedName>
    <definedName name="Interest_alloc" localSheetId="97">'[1]CLM Programs'!#REF!</definedName>
    <definedName name="Interest_alloc" localSheetId="98">'[1]CLM Programs'!#REF!</definedName>
    <definedName name="Interest_alloc" localSheetId="101">'[1]CLM Programs'!#REF!</definedName>
    <definedName name="Interest_alloc" localSheetId="9">'[1]CLM Programs'!#REF!</definedName>
    <definedName name="Interest_alloc" localSheetId="10">'[1]CLM Programs'!#REF!</definedName>
    <definedName name="Interest_alloc" localSheetId="8">'[1]CLM Programs'!#REF!</definedName>
    <definedName name="Interest_alloc" localSheetId="74">#REF!</definedName>
    <definedName name="Interest_alloc" localSheetId="82">#REF!</definedName>
    <definedName name="Interest_alloc" localSheetId="92">#REF!</definedName>
    <definedName name="Interest_alloc" localSheetId="95">#REF!</definedName>
    <definedName name="Interest_alloc" localSheetId="115">'[1]CLM Programs'!#REF!</definedName>
    <definedName name="Interest_alloc" localSheetId="117">'[1]CLM Programs'!#REF!</definedName>
    <definedName name="Interest_alloc" localSheetId="146">'[1]CLM Programs'!#REF!</definedName>
    <definedName name="Interest_alloc" localSheetId="147">'[1]CLM Programs'!#REF!</definedName>
    <definedName name="Interest_alloc" localSheetId="143">#REF!</definedName>
    <definedName name="Interest_alloc" localSheetId="144">#REF!</definedName>
    <definedName name="Interest_alloc" localSheetId="145">#REF!</definedName>
    <definedName name="Interest_alloc" localSheetId="37">'[1]CLM Programs'!#REF!</definedName>
    <definedName name="Interest_alloc" localSheetId="66">#REF!</definedName>
    <definedName name="Interest_alloc" localSheetId="70">#REF!</definedName>
    <definedName name="Interest_alloc" localSheetId="83">#REF!</definedName>
    <definedName name="Interest_alloc" localSheetId="90">#REF!</definedName>
    <definedName name="Interest_alloc" localSheetId="99">#REF!</definedName>
    <definedName name="Interest_alloc" localSheetId="106">'[1]CLM Programs'!#REF!</definedName>
    <definedName name="Interest_alloc" localSheetId="107">'[1]CLM Programs'!#REF!</definedName>
    <definedName name="Interest_alloc" localSheetId="108">'[1]CLM Programs'!#REF!</definedName>
    <definedName name="Interest_alloc" localSheetId="7">'[1]CLM Programs'!#REF!</definedName>
    <definedName name="Interest_alloc" localSheetId="110">'[1]CLM Programs'!#REF!</definedName>
    <definedName name="Interest_alloc" localSheetId="41">#REF!</definedName>
    <definedName name="Interest_alloc" localSheetId="43">#REF!</definedName>
    <definedName name="Interest_alloc" localSheetId="86">'[1]CLM Programs'!#REF!</definedName>
    <definedName name="Interest_alloc">'[1]CLM Programs'!#REF!</definedName>
    <definedName name="iuii" localSheetId="140">'[5]ES CT Electric Table A  '!#REF!</definedName>
    <definedName name="iuii" localSheetId="141">'[5]ES CT Electric Table A  '!#REF!</definedName>
    <definedName name="iuii" localSheetId="142">'[5]ES CT Electric Table A  '!#REF!</definedName>
    <definedName name="iuii" localSheetId="143">'[5]ES CT Electric Table A  '!#REF!</definedName>
    <definedName name="iuii" localSheetId="144">'[5]ES CT Electric Table A  '!#REF!</definedName>
    <definedName name="iuii" localSheetId="145">'[5]ES CT Electric Table A  '!#REF!</definedName>
    <definedName name="iuii">'[5]ES CT Electric Table A  '!#REF!</definedName>
    <definedName name="jkkjlj"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kjkj" hidden="1">{#N/A,#N/A,FALSE,"OTHERINPUTS";#N/A,#N/A,FALSE,"DITRATEINPUTS";#N/A,#N/A,FALSE,"SUPPLIEDADJINPUT";#N/A,#N/A,FALSE,"TIMINGDIFFINPUTS";#N/A,#N/A,FALSE,"BR&amp;SUPADJ."}</definedName>
    <definedName name="kkk" localSheetId="140">'[5]ES CT Electric Table A  '!#REF!</definedName>
    <definedName name="kkk" localSheetId="141">'[5]ES CT Electric Table A  '!#REF!</definedName>
    <definedName name="kkk" localSheetId="142">'[5]ES CT Electric Table A  '!#REF!</definedName>
    <definedName name="kkk" localSheetId="143">'[5]ES CT Electric Table A  '!#REF!</definedName>
    <definedName name="kkk" localSheetId="144">'[5]ES CT Electric Table A  '!#REF!</definedName>
    <definedName name="kkk" localSheetId="145">'[5]ES CT Electric Table A  '!#REF!</definedName>
    <definedName name="kkk">'[5]ES CT Electric Table A  '!#REF!</definedName>
    <definedName name="kkkk" localSheetId="140">'[5]ES CT Electric Table A  '!#REF!</definedName>
    <definedName name="kkkk" localSheetId="141">'[5]ES CT Electric Table A  '!#REF!</definedName>
    <definedName name="kkkk" localSheetId="142">'[5]ES CT Electric Table A  '!#REF!</definedName>
    <definedName name="kkkk" localSheetId="143">'[5]ES CT Electric Table A  '!#REF!</definedName>
    <definedName name="kkkk" localSheetId="144">'[5]ES CT Electric Table A  '!#REF!</definedName>
    <definedName name="kkkk" localSheetId="145">'[5]ES CT Electric Table A  '!#REF!</definedName>
    <definedName name="kkkk">'[5]ES CT Electric Table A  '!#REF!</definedName>
    <definedName name="lab" localSheetId="113">#REF!</definedName>
    <definedName name="lab" localSheetId="114">#REF!</definedName>
    <definedName name="lab" localSheetId="116">#REF!</definedName>
    <definedName name="lab" localSheetId="128">#REF!</definedName>
    <definedName name="lab" localSheetId="140">#REF!</definedName>
    <definedName name="lab" localSheetId="141">#REF!</definedName>
    <definedName name="lab" localSheetId="142">#REF!</definedName>
    <definedName name="lab" localSheetId="51">#REF!</definedName>
    <definedName name="lab" localSheetId="115">#REF!</definedName>
    <definedName name="lab" localSheetId="117">#REF!</definedName>
    <definedName name="lab" localSheetId="146">#REF!</definedName>
    <definedName name="lab" localSheetId="147">#REF!</definedName>
    <definedName name="lab" localSheetId="143">#REF!</definedName>
    <definedName name="lab" localSheetId="144">#REF!</definedName>
    <definedName name="lab" localSheetId="145">#REF!</definedName>
    <definedName name="lab" localSheetId="110">#REF!</definedName>
    <definedName name="lab" localSheetId="86">#REF!</definedName>
    <definedName name="lab">#REF!</definedName>
    <definedName name="lightsytd" localSheetId="55">#REF!</definedName>
    <definedName name="lightsytd" localSheetId="57">#REF!</definedName>
    <definedName name="lightsytd" localSheetId="61">#REF!</definedName>
    <definedName name="lightsytd" localSheetId="64">#REF!</definedName>
    <definedName name="lightsytd" localSheetId="73">#REF!</definedName>
    <definedName name="lightsytd" localSheetId="81">#REF!</definedName>
    <definedName name="lightsytd" localSheetId="84">#REF!</definedName>
    <definedName name="lightsytd" localSheetId="91">#REF!</definedName>
    <definedName name="lightsytd" localSheetId="94">#REF!</definedName>
    <definedName name="lightsytd" localSheetId="1">#REF!</definedName>
    <definedName name="lightsytd" localSheetId="32">#REF!</definedName>
    <definedName name="lightsytd" localSheetId="39">#REF!</definedName>
    <definedName name="lightsytd" localSheetId="56">#REF!</definedName>
    <definedName name="lightsytd" localSheetId="59">#REF!</definedName>
    <definedName name="lightsytd" localSheetId="113">#REF!</definedName>
    <definedName name="lightsytd" localSheetId="114">#REF!</definedName>
    <definedName name="lightsytd" localSheetId="54">#REF!</definedName>
    <definedName name="lightsytd" localSheetId="116">#REF!</definedName>
    <definedName name="lightsytd" localSheetId="19">#REF!</definedName>
    <definedName name="lightsytd" localSheetId="65">#REF!</definedName>
    <definedName name="lightsytd" localSheetId="128">#REF!</definedName>
    <definedName name="lightsytd" localSheetId="20">#REF!</definedName>
    <definedName name="lightsytd" localSheetId="75">#REF!</definedName>
    <definedName name="lightsytd" localSheetId="140">#REF!</definedName>
    <definedName name="lightsytd" localSheetId="141">#REF!</definedName>
    <definedName name="lightsytd" localSheetId="142">#REF!</definedName>
    <definedName name="lightsytd" localSheetId="51">#REF!</definedName>
    <definedName name="lightsytd" localSheetId="53">#REF!</definedName>
    <definedName name="lightsytd" localSheetId="63">#REF!</definedName>
    <definedName name="lightsytd" localSheetId="72">#REF!</definedName>
    <definedName name="lightsytd" localSheetId="79">#REF!</definedName>
    <definedName name="lightsytd" localSheetId="97">#REF!</definedName>
    <definedName name="lightsytd" localSheetId="98">#REF!</definedName>
    <definedName name="lightsytd" localSheetId="101">#REF!</definedName>
    <definedName name="lightsytd" localSheetId="58">#REF!</definedName>
    <definedName name="lightsytd" localSheetId="62">#REF!</definedName>
    <definedName name="lightsytd" localSheetId="74">#REF!</definedName>
    <definedName name="lightsytd" localSheetId="82">#REF!</definedName>
    <definedName name="lightsytd" localSheetId="92">#REF!</definedName>
    <definedName name="lightsytd" localSheetId="95">#REF!</definedName>
    <definedName name="lightsytd" localSheetId="115">#REF!</definedName>
    <definedName name="lightsytd" localSheetId="117">#REF!</definedName>
    <definedName name="lightsytd" localSheetId="28">#REF!</definedName>
    <definedName name="lightsytd" localSheetId="71">#REF!</definedName>
    <definedName name="lightsytd" localSheetId="146">#REF!</definedName>
    <definedName name="lightsytd" localSheetId="31">#REF!</definedName>
    <definedName name="lightsytd" localSheetId="85">#REF!</definedName>
    <definedName name="lightsytd" localSheetId="147">#REF!</definedName>
    <definedName name="lightsytd" localSheetId="33">#REF!</definedName>
    <definedName name="lightsytd" localSheetId="93">#REF!</definedName>
    <definedName name="lightsytd" localSheetId="143">#REF!</definedName>
    <definedName name="lightsytd" localSheetId="144">#REF!</definedName>
    <definedName name="lightsytd" localSheetId="145">#REF!</definedName>
    <definedName name="lightsytd" localSheetId="157">#REF!</definedName>
    <definedName name="lightsytd" localSheetId="37">#REF!</definedName>
    <definedName name="lightsytd" localSheetId="70">#REF!</definedName>
    <definedName name="lightsytd" localSheetId="83">#REF!</definedName>
    <definedName name="lightsytd" localSheetId="90">#REF!</definedName>
    <definedName name="lightsytd" localSheetId="99">#REF!</definedName>
    <definedName name="lightsytd" localSheetId="106">#REF!</definedName>
    <definedName name="lightsytd" localSheetId="107">#REF!</definedName>
    <definedName name="lightsytd" localSheetId="108">#REF!</definedName>
    <definedName name="lightsytd" localSheetId="7">#REF!</definedName>
    <definedName name="lightsytd" localSheetId="110">#REF!</definedName>
    <definedName name="lightsytd" localSheetId="86">#REF!</definedName>
    <definedName name="lightsytd" localSheetId="88">#REF!</definedName>
    <definedName name="lightsytd" localSheetId="87">#REF!</definedName>
    <definedName name="lightsytd" localSheetId="89">#REF!</definedName>
    <definedName name="lightsytd">#REF!</definedName>
    <definedName name="MB_PROJ_ID" localSheetId="140">#REF!</definedName>
    <definedName name="MB_PROJ_ID" localSheetId="141">#REF!</definedName>
    <definedName name="MB_PROJ_ID" localSheetId="142">#REF!</definedName>
    <definedName name="MB_PROJ_ID" localSheetId="143">#REF!</definedName>
    <definedName name="MB_PROJ_ID" localSheetId="144">#REF!</definedName>
    <definedName name="MB_PROJ_ID" localSheetId="145">#REF!</definedName>
    <definedName name="MB_PROJ_ID">#REF!</definedName>
    <definedName name="meytd" localSheetId="55">#REF!</definedName>
    <definedName name="meytd" localSheetId="57">#REF!</definedName>
    <definedName name="meytd" localSheetId="61">#REF!</definedName>
    <definedName name="meytd" localSheetId="64">#REF!</definedName>
    <definedName name="meytd" localSheetId="73">#REF!</definedName>
    <definedName name="meytd" localSheetId="81">#REF!</definedName>
    <definedName name="meytd" localSheetId="84">#REF!</definedName>
    <definedName name="meytd" localSheetId="91">#REF!</definedName>
    <definedName name="meytd" localSheetId="94">#REF!</definedName>
    <definedName name="meytd" localSheetId="1">#REF!</definedName>
    <definedName name="meytd" localSheetId="32">#REF!</definedName>
    <definedName name="meytd" localSheetId="39">#REF!</definedName>
    <definedName name="meytd" localSheetId="56">#REF!</definedName>
    <definedName name="meytd" localSheetId="59">#REF!</definedName>
    <definedName name="meytd" localSheetId="113">#REF!</definedName>
    <definedName name="meytd" localSheetId="114">#REF!</definedName>
    <definedName name="meytd" localSheetId="54">#REF!</definedName>
    <definedName name="meytd" localSheetId="116">#REF!</definedName>
    <definedName name="meytd" localSheetId="19">#REF!</definedName>
    <definedName name="meytd" localSheetId="65">#REF!</definedName>
    <definedName name="meytd" localSheetId="128">#REF!</definedName>
    <definedName name="meytd" localSheetId="20">#REF!</definedName>
    <definedName name="meytd" localSheetId="75">#REF!</definedName>
    <definedName name="meytd" localSheetId="140">#REF!</definedName>
    <definedName name="meytd" localSheetId="141">#REF!</definedName>
    <definedName name="meytd" localSheetId="142">#REF!</definedName>
    <definedName name="meytd" localSheetId="51">#REF!</definedName>
    <definedName name="meytd" localSheetId="53">#REF!</definedName>
    <definedName name="meytd" localSheetId="63">#REF!</definedName>
    <definedName name="meytd" localSheetId="72">#REF!</definedName>
    <definedName name="meytd" localSheetId="79">#REF!</definedName>
    <definedName name="meytd" localSheetId="97">#REF!</definedName>
    <definedName name="meytd" localSheetId="98">#REF!</definedName>
    <definedName name="meytd" localSheetId="101">#REF!</definedName>
    <definedName name="meytd" localSheetId="58">#REF!</definedName>
    <definedName name="meytd" localSheetId="62">#REF!</definedName>
    <definedName name="meytd" localSheetId="74">#REF!</definedName>
    <definedName name="meytd" localSheetId="82">#REF!</definedName>
    <definedName name="meytd" localSheetId="92">#REF!</definedName>
    <definedName name="meytd" localSheetId="95">#REF!</definedName>
    <definedName name="meytd" localSheetId="115">#REF!</definedName>
    <definedName name="meytd" localSheetId="117">#REF!</definedName>
    <definedName name="meytd" localSheetId="28">#REF!</definedName>
    <definedName name="meytd" localSheetId="71">#REF!</definedName>
    <definedName name="meytd" localSheetId="146">#REF!</definedName>
    <definedName name="meytd" localSheetId="31">#REF!</definedName>
    <definedName name="meytd" localSheetId="85">#REF!</definedName>
    <definedName name="meytd" localSheetId="147">#REF!</definedName>
    <definedName name="meytd" localSheetId="33">#REF!</definedName>
    <definedName name="meytd" localSheetId="93">#REF!</definedName>
    <definedName name="meytd" localSheetId="143">#REF!</definedName>
    <definedName name="meytd" localSheetId="144">#REF!</definedName>
    <definedName name="meytd" localSheetId="145">#REF!</definedName>
    <definedName name="meytd" localSheetId="157">#REF!</definedName>
    <definedName name="meytd" localSheetId="37">#REF!</definedName>
    <definedName name="meytd" localSheetId="70">#REF!</definedName>
    <definedName name="meytd" localSheetId="83">#REF!</definedName>
    <definedName name="meytd" localSheetId="90">#REF!</definedName>
    <definedName name="meytd" localSheetId="99">#REF!</definedName>
    <definedName name="meytd" localSheetId="106">#REF!</definedName>
    <definedName name="meytd" localSheetId="107">#REF!</definedName>
    <definedName name="meytd" localSheetId="108">#REF!</definedName>
    <definedName name="meytd" localSheetId="7">#REF!</definedName>
    <definedName name="meytd" localSheetId="110">#REF!</definedName>
    <definedName name="meytd" localSheetId="86">#REF!</definedName>
    <definedName name="meytd" localSheetId="88">#REF!</definedName>
    <definedName name="meytd" localSheetId="87">#REF!</definedName>
    <definedName name="meytd" localSheetId="89">#REF!</definedName>
    <definedName name="meytd">#REF!</definedName>
    <definedName name="omytd" localSheetId="55">#REF!</definedName>
    <definedName name="omytd" localSheetId="57">#REF!</definedName>
    <definedName name="omytd" localSheetId="61">#REF!</definedName>
    <definedName name="omytd" localSheetId="64">#REF!</definedName>
    <definedName name="omytd" localSheetId="73">#REF!</definedName>
    <definedName name="omytd" localSheetId="81">#REF!</definedName>
    <definedName name="omytd" localSheetId="84">#REF!</definedName>
    <definedName name="omytd" localSheetId="91">#REF!</definedName>
    <definedName name="omytd" localSheetId="94">#REF!</definedName>
    <definedName name="omytd" localSheetId="1">#REF!</definedName>
    <definedName name="omytd" localSheetId="32">#REF!</definedName>
    <definedName name="omytd" localSheetId="39">#REF!</definedName>
    <definedName name="omytd" localSheetId="56">#REF!</definedName>
    <definedName name="omytd" localSheetId="59">#REF!</definedName>
    <definedName name="omytd" localSheetId="113">#REF!</definedName>
    <definedName name="omytd" localSheetId="114">#REF!</definedName>
    <definedName name="omytd" localSheetId="54">#REF!</definedName>
    <definedName name="omytd" localSheetId="116">#REF!</definedName>
    <definedName name="omytd" localSheetId="19">#REF!</definedName>
    <definedName name="omytd" localSheetId="65">#REF!</definedName>
    <definedName name="omytd" localSheetId="128">#REF!</definedName>
    <definedName name="omytd" localSheetId="20">#REF!</definedName>
    <definedName name="omytd" localSheetId="75">#REF!</definedName>
    <definedName name="omytd" localSheetId="140">#REF!</definedName>
    <definedName name="omytd" localSheetId="141">#REF!</definedName>
    <definedName name="omytd" localSheetId="142">#REF!</definedName>
    <definedName name="omytd" localSheetId="51">#REF!</definedName>
    <definedName name="omytd" localSheetId="53">#REF!</definedName>
    <definedName name="omytd" localSheetId="63">#REF!</definedName>
    <definedName name="omytd" localSheetId="72">#REF!</definedName>
    <definedName name="omytd" localSheetId="79">#REF!</definedName>
    <definedName name="omytd" localSheetId="97">#REF!</definedName>
    <definedName name="omytd" localSheetId="98">#REF!</definedName>
    <definedName name="omytd" localSheetId="101">#REF!</definedName>
    <definedName name="omytd" localSheetId="58">#REF!</definedName>
    <definedName name="omytd" localSheetId="62">#REF!</definedName>
    <definedName name="omytd" localSheetId="74">#REF!</definedName>
    <definedName name="omytd" localSheetId="82">#REF!</definedName>
    <definedName name="omytd" localSheetId="92">#REF!</definedName>
    <definedName name="omytd" localSheetId="95">#REF!</definedName>
    <definedName name="omytd" localSheetId="115">#REF!</definedName>
    <definedName name="omytd" localSheetId="117">#REF!</definedName>
    <definedName name="omytd" localSheetId="28">#REF!</definedName>
    <definedName name="omytd" localSheetId="71">#REF!</definedName>
    <definedName name="omytd" localSheetId="146">#REF!</definedName>
    <definedName name="omytd" localSheetId="31">#REF!</definedName>
    <definedName name="omytd" localSheetId="85">#REF!</definedName>
    <definedName name="omytd" localSheetId="147">#REF!</definedName>
    <definedName name="omytd" localSheetId="33">#REF!</definedName>
    <definedName name="omytd" localSheetId="93">#REF!</definedName>
    <definedName name="omytd" localSheetId="143">#REF!</definedName>
    <definedName name="omytd" localSheetId="144">#REF!</definedName>
    <definedName name="omytd" localSheetId="145">#REF!</definedName>
    <definedName name="omytd" localSheetId="157">#REF!</definedName>
    <definedName name="omytd" localSheetId="37">#REF!</definedName>
    <definedName name="omytd" localSheetId="70">#REF!</definedName>
    <definedName name="omytd" localSheetId="83">#REF!</definedName>
    <definedName name="omytd" localSheetId="90">#REF!</definedName>
    <definedName name="omytd" localSheetId="99">#REF!</definedName>
    <definedName name="omytd" localSheetId="106">#REF!</definedName>
    <definedName name="omytd" localSheetId="107">#REF!</definedName>
    <definedName name="omytd" localSheetId="108">#REF!</definedName>
    <definedName name="omytd" localSheetId="7">#REF!</definedName>
    <definedName name="omytd" localSheetId="110">#REF!</definedName>
    <definedName name="omytd" localSheetId="86">#REF!</definedName>
    <definedName name="omytd" localSheetId="88">#REF!</definedName>
    <definedName name="omytd" localSheetId="87">#REF!</definedName>
    <definedName name="omytd" localSheetId="89">#REF!</definedName>
    <definedName name="omytd">#REF!</definedName>
    <definedName name="omytdgoal" localSheetId="113">#REF!</definedName>
    <definedName name="omytdgoal" localSheetId="114">#REF!</definedName>
    <definedName name="omytdgoal" localSheetId="116">#REF!</definedName>
    <definedName name="omytdgoal" localSheetId="128">#REF!</definedName>
    <definedName name="omytdgoal" localSheetId="140">#REF!</definedName>
    <definedName name="omytdgoal" localSheetId="141">#REF!</definedName>
    <definedName name="omytdgoal" localSheetId="142">#REF!</definedName>
    <definedName name="omytdgoal" localSheetId="51">#REF!</definedName>
    <definedName name="omytdgoal" localSheetId="115">#REF!</definedName>
    <definedName name="omytdgoal" localSheetId="117">#REF!</definedName>
    <definedName name="omytdgoal" localSheetId="146">#REF!</definedName>
    <definedName name="omytdgoal" localSheetId="147">#REF!</definedName>
    <definedName name="omytdgoal" localSheetId="143">#REF!</definedName>
    <definedName name="omytdgoal" localSheetId="144">#REF!</definedName>
    <definedName name="omytdgoal" localSheetId="145">#REF!</definedName>
    <definedName name="omytdgoal" localSheetId="110">#REF!</definedName>
    <definedName name="omytdgoal" localSheetId="86">#REF!</definedName>
    <definedName name="omytdgoal">#REF!</definedName>
    <definedName name="other_market" localSheetId="64">#REF!</definedName>
    <definedName name="other_market" localSheetId="73">#REF!</definedName>
    <definedName name="other_market" localSheetId="81">#REF!</definedName>
    <definedName name="other_market" localSheetId="84">#REF!</definedName>
    <definedName name="other_market" localSheetId="91">#REF!</definedName>
    <definedName name="other_market" localSheetId="94">#REF!</definedName>
    <definedName name="other_market" localSheetId="113">#REF!</definedName>
    <definedName name="other_market" localSheetId="114">#REF!</definedName>
    <definedName name="other_market" localSheetId="116">#REF!</definedName>
    <definedName name="other_market" localSheetId="128">#REF!</definedName>
    <definedName name="other_market" localSheetId="140">#REF!</definedName>
    <definedName name="other_market" localSheetId="141">#REF!</definedName>
    <definedName name="other_market" localSheetId="142">#REF!</definedName>
    <definedName name="other_market" localSheetId="51">#REF!</definedName>
    <definedName name="other_market" localSheetId="49">#REF!</definedName>
    <definedName name="other_market" localSheetId="53">#REF!</definedName>
    <definedName name="other_market" localSheetId="63">#REF!</definedName>
    <definedName name="other_market" localSheetId="72">#REF!</definedName>
    <definedName name="other_market" localSheetId="79">#REF!</definedName>
    <definedName name="other_market" localSheetId="9">#REF!</definedName>
    <definedName name="other_market" localSheetId="10">#REF!</definedName>
    <definedName name="other_market" localSheetId="8">#REF!</definedName>
    <definedName name="other_market" localSheetId="74">#REF!</definedName>
    <definedName name="other_market" localSheetId="82">#REF!</definedName>
    <definedName name="other_market" localSheetId="92">#REF!</definedName>
    <definedName name="other_market" localSheetId="95">#REF!</definedName>
    <definedName name="other_market" localSheetId="115">#REF!</definedName>
    <definedName name="other_market" localSheetId="117">#REF!</definedName>
    <definedName name="other_market" localSheetId="146">#REF!</definedName>
    <definedName name="other_market" localSheetId="147">#REF!</definedName>
    <definedName name="other_market" localSheetId="143">#REF!</definedName>
    <definedName name="other_market" localSheetId="144">#REF!</definedName>
    <definedName name="other_market" localSheetId="145">#REF!</definedName>
    <definedName name="other_market" localSheetId="66">#REF!</definedName>
    <definedName name="other_market" localSheetId="70">#REF!</definedName>
    <definedName name="other_market" localSheetId="83">#REF!</definedName>
    <definedName name="other_market" localSheetId="90">#REF!</definedName>
    <definedName name="other_market" localSheetId="99">#REF!</definedName>
    <definedName name="other_market" localSheetId="7">#REF!</definedName>
    <definedName name="other_market" localSheetId="110">#REF!</definedName>
    <definedName name="other_market" localSheetId="41">#REF!</definedName>
    <definedName name="other_market" localSheetId="43">#REF!</definedName>
    <definedName name="other_market" localSheetId="86">#REF!</definedName>
    <definedName name="other_market">#REF!</definedName>
    <definedName name="pmact" localSheetId="55">#REF!</definedName>
    <definedName name="pmact" localSheetId="57">#REF!</definedName>
    <definedName name="pmact" localSheetId="61">#REF!</definedName>
    <definedName name="pmact" localSheetId="64">#REF!</definedName>
    <definedName name="pmact" localSheetId="73">#REF!</definedName>
    <definedName name="pmact" localSheetId="81">#REF!</definedName>
    <definedName name="pmact" localSheetId="84">#REF!</definedName>
    <definedName name="pmact" localSheetId="91">#REF!</definedName>
    <definedName name="pmact" localSheetId="94">#REF!</definedName>
    <definedName name="pmact" localSheetId="1">#REF!</definedName>
    <definedName name="pmact" localSheetId="32">#REF!</definedName>
    <definedName name="pmact" localSheetId="39">#REF!</definedName>
    <definedName name="pmact" localSheetId="56">#REF!</definedName>
    <definedName name="pmact" localSheetId="59">#REF!</definedName>
    <definedName name="pmact" localSheetId="113">#REF!</definedName>
    <definedName name="pmact" localSheetId="114">#REF!</definedName>
    <definedName name="pmact" localSheetId="54">#REF!</definedName>
    <definedName name="pmact" localSheetId="116">#REF!</definedName>
    <definedName name="pmact" localSheetId="19">#REF!</definedName>
    <definedName name="pmact" localSheetId="65">#REF!</definedName>
    <definedName name="pmact" localSheetId="128">#REF!</definedName>
    <definedName name="pmact" localSheetId="20">#REF!</definedName>
    <definedName name="pmact" localSheetId="75">#REF!</definedName>
    <definedName name="pmact" localSheetId="140">#REF!</definedName>
    <definedName name="pmact" localSheetId="141">#REF!</definedName>
    <definedName name="pmact" localSheetId="142">#REF!</definedName>
    <definedName name="pmact" localSheetId="51">#REF!</definedName>
    <definedName name="pmact" localSheetId="53">#REF!</definedName>
    <definedName name="pmact" localSheetId="63">#REF!</definedName>
    <definedName name="pmact" localSheetId="72">#REF!</definedName>
    <definedName name="pmact" localSheetId="79">#REF!</definedName>
    <definedName name="pmact" localSheetId="97">#REF!</definedName>
    <definedName name="pmact" localSheetId="98">#REF!</definedName>
    <definedName name="pmact" localSheetId="101">#REF!</definedName>
    <definedName name="pmact" localSheetId="58">#REF!</definedName>
    <definedName name="pmact" localSheetId="62">#REF!</definedName>
    <definedName name="pmact" localSheetId="74">#REF!</definedName>
    <definedName name="pmact" localSheetId="82">#REF!</definedName>
    <definedName name="pmact" localSheetId="92">#REF!</definedName>
    <definedName name="pmact" localSheetId="95">#REF!</definedName>
    <definedName name="pmact" localSheetId="115">#REF!</definedName>
    <definedName name="pmact" localSheetId="117">#REF!</definedName>
    <definedName name="pmact" localSheetId="28">#REF!</definedName>
    <definedName name="pmact" localSheetId="71">#REF!</definedName>
    <definedName name="pmact" localSheetId="146">#REF!</definedName>
    <definedName name="pmact" localSheetId="31">#REF!</definedName>
    <definedName name="pmact" localSheetId="85">#REF!</definedName>
    <definedName name="pmact" localSheetId="147">#REF!</definedName>
    <definedName name="pmact" localSheetId="33">#REF!</definedName>
    <definedName name="pmact" localSheetId="93">#REF!</definedName>
    <definedName name="pmact" localSheetId="143">#REF!</definedName>
    <definedName name="pmact" localSheetId="144">#REF!</definedName>
    <definedName name="pmact" localSheetId="145">#REF!</definedName>
    <definedName name="pmact" localSheetId="157">#REF!</definedName>
    <definedName name="pmact" localSheetId="37">#REF!</definedName>
    <definedName name="pmact" localSheetId="70">#REF!</definedName>
    <definedName name="pmact" localSheetId="83">#REF!</definedName>
    <definedName name="pmact" localSheetId="90">#REF!</definedName>
    <definedName name="pmact" localSheetId="99">#REF!</definedName>
    <definedName name="pmact" localSheetId="106">#REF!</definedName>
    <definedName name="pmact" localSheetId="107">#REF!</definedName>
    <definedName name="pmact" localSheetId="108">#REF!</definedName>
    <definedName name="pmact" localSheetId="7">#REF!</definedName>
    <definedName name="pmact" localSheetId="110">#REF!</definedName>
    <definedName name="pmact" localSheetId="86">#REF!</definedName>
    <definedName name="pmact" localSheetId="88">#REF!</definedName>
    <definedName name="pmact" localSheetId="87">#REF!</definedName>
    <definedName name="pmact" localSheetId="89">#REF!</definedName>
    <definedName name="pmact">#REF!</definedName>
    <definedName name="pmbud" localSheetId="55">#REF!</definedName>
    <definedName name="pmbud" localSheetId="57">#REF!</definedName>
    <definedName name="pmbud" localSheetId="61">#REF!</definedName>
    <definedName name="pmbud" localSheetId="64">#REF!</definedName>
    <definedName name="pmbud" localSheetId="73">#REF!</definedName>
    <definedName name="pmbud" localSheetId="81">#REF!</definedName>
    <definedName name="pmbud" localSheetId="84">#REF!</definedName>
    <definedName name="pmbud" localSheetId="91">#REF!</definedName>
    <definedName name="pmbud" localSheetId="94">#REF!</definedName>
    <definedName name="pmbud" localSheetId="1">#REF!</definedName>
    <definedName name="pmbud" localSheetId="32">#REF!</definedName>
    <definedName name="pmbud" localSheetId="39">#REF!</definedName>
    <definedName name="pmbud" localSheetId="56">#REF!</definedName>
    <definedName name="pmbud" localSheetId="59">#REF!</definedName>
    <definedName name="pmbud" localSheetId="113">#REF!</definedName>
    <definedName name="pmbud" localSheetId="114">#REF!</definedName>
    <definedName name="pmbud" localSheetId="54">#REF!</definedName>
    <definedName name="pmbud" localSheetId="116">#REF!</definedName>
    <definedName name="pmbud" localSheetId="19">#REF!</definedName>
    <definedName name="pmbud" localSheetId="65">#REF!</definedName>
    <definedName name="pmbud" localSheetId="128">#REF!</definedName>
    <definedName name="pmbud" localSheetId="20">#REF!</definedName>
    <definedName name="pmbud" localSheetId="75">#REF!</definedName>
    <definedName name="pmbud" localSheetId="140">#REF!</definedName>
    <definedName name="pmbud" localSheetId="141">#REF!</definedName>
    <definedName name="pmbud" localSheetId="142">#REF!</definedName>
    <definedName name="pmbud" localSheetId="51">#REF!</definedName>
    <definedName name="pmbud" localSheetId="53">#REF!</definedName>
    <definedName name="pmbud" localSheetId="63">#REF!</definedName>
    <definedName name="pmbud" localSheetId="72">#REF!</definedName>
    <definedName name="pmbud" localSheetId="79">#REF!</definedName>
    <definedName name="pmbud" localSheetId="97">#REF!</definedName>
    <definedName name="pmbud" localSheetId="98">#REF!</definedName>
    <definedName name="pmbud" localSheetId="101">#REF!</definedName>
    <definedName name="pmbud" localSheetId="58">#REF!</definedName>
    <definedName name="pmbud" localSheetId="62">#REF!</definedName>
    <definedName name="pmbud" localSheetId="74">#REF!</definedName>
    <definedName name="pmbud" localSheetId="82">#REF!</definedName>
    <definedName name="pmbud" localSheetId="92">#REF!</definedName>
    <definedName name="pmbud" localSheetId="95">#REF!</definedName>
    <definedName name="pmbud" localSheetId="115">#REF!</definedName>
    <definedName name="pmbud" localSheetId="117">#REF!</definedName>
    <definedName name="pmbud" localSheetId="28">#REF!</definedName>
    <definedName name="pmbud" localSheetId="71">#REF!</definedName>
    <definedName name="pmbud" localSheetId="146">#REF!</definedName>
    <definedName name="pmbud" localSheetId="31">#REF!</definedName>
    <definedName name="pmbud" localSheetId="85">#REF!</definedName>
    <definedName name="pmbud" localSheetId="147">#REF!</definedName>
    <definedName name="pmbud" localSheetId="33">#REF!</definedName>
    <definedName name="pmbud" localSheetId="93">#REF!</definedName>
    <definedName name="pmbud" localSheetId="143">#REF!</definedName>
    <definedName name="pmbud" localSheetId="144">#REF!</definedName>
    <definedName name="pmbud" localSheetId="145">#REF!</definedName>
    <definedName name="pmbud" localSheetId="157">#REF!</definedName>
    <definedName name="pmbud" localSheetId="37">#REF!</definedName>
    <definedName name="pmbud" localSheetId="70">#REF!</definedName>
    <definedName name="pmbud" localSheetId="83">#REF!</definedName>
    <definedName name="pmbud" localSheetId="90">#REF!</definedName>
    <definedName name="pmbud" localSheetId="99">#REF!</definedName>
    <definedName name="pmbud" localSheetId="106">#REF!</definedName>
    <definedName name="pmbud" localSheetId="107">#REF!</definedName>
    <definedName name="pmbud" localSheetId="108">#REF!</definedName>
    <definedName name="pmbud" localSheetId="7">#REF!</definedName>
    <definedName name="pmbud" localSheetId="110">#REF!</definedName>
    <definedName name="pmbud" localSheetId="86">#REF!</definedName>
    <definedName name="pmbud" localSheetId="88">#REF!</definedName>
    <definedName name="pmbud" localSheetId="87">#REF!</definedName>
    <definedName name="pmbud" localSheetId="89">#REF!</definedName>
    <definedName name="pmbud">#REF!</definedName>
    <definedName name="pmfor" localSheetId="55">#REF!</definedName>
    <definedName name="pmfor" localSheetId="57">#REF!</definedName>
    <definedName name="pmfor" localSheetId="61">#REF!</definedName>
    <definedName name="pmfor" localSheetId="64">#REF!</definedName>
    <definedName name="pmfor" localSheetId="73">#REF!</definedName>
    <definedName name="pmfor" localSheetId="81">#REF!</definedName>
    <definedName name="pmfor" localSheetId="84">#REF!</definedName>
    <definedName name="pmfor" localSheetId="91">#REF!</definedName>
    <definedName name="pmfor" localSheetId="94">#REF!</definedName>
    <definedName name="pmfor" localSheetId="1">#REF!</definedName>
    <definedName name="pmfor" localSheetId="32">#REF!</definedName>
    <definedName name="pmfor" localSheetId="39">#REF!</definedName>
    <definedName name="pmfor" localSheetId="56">#REF!</definedName>
    <definedName name="pmfor" localSheetId="59">#REF!</definedName>
    <definedName name="pmfor" localSheetId="113">#REF!</definedName>
    <definedName name="pmfor" localSheetId="114">#REF!</definedName>
    <definedName name="pmfor" localSheetId="54">#REF!</definedName>
    <definedName name="pmfor" localSheetId="116">#REF!</definedName>
    <definedName name="pmfor" localSheetId="19">#REF!</definedName>
    <definedName name="pmfor" localSheetId="65">#REF!</definedName>
    <definedName name="pmfor" localSheetId="128">#REF!</definedName>
    <definedName name="pmfor" localSheetId="20">#REF!</definedName>
    <definedName name="pmfor" localSheetId="75">#REF!</definedName>
    <definedName name="pmfor" localSheetId="140">#REF!</definedName>
    <definedName name="pmfor" localSheetId="141">#REF!</definedName>
    <definedName name="pmfor" localSheetId="142">#REF!</definedName>
    <definedName name="pmfor" localSheetId="51">#REF!</definedName>
    <definedName name="pmfor" localSheetId="53">#REF!</definedName>
    <definedName name="pmfor" localSheetId="63">#REF!</definedName>
    <definedName name="pmfor" localSheetId="72">#REF!</definedName>
    <definedName name="pmfor" localSheetId="79">#REF!</definedName>
    <definedName name="pmfor" localSheetId="97">#REF!</definedName>
    <definedName name="pmfor" localSheetId="98">#REF!</definedName>
    <definedName name="pmfor" localSheetId="101">#REF!</definedName>
    <definedName name="pmfor" localSheetId="58">#REF!</definedName>
    <definedName name="pmfor" localSheetId="62">#REF!</definedName>
    <definedName name="pmfor" localSheetId="74">#REF!</definedName>
    <definedName name="pmfor" localSheetId="82">#REF!</definedName>
    <definedName name="pmfor" localSheetId="92">#REF!</definedName>
    <definedName name="pmfor" localSheetId="95">#REF!</definedName>
    <definedName name="pmfor" localSheetId="115">#REF!</definedName>
    <definedName name="pmfor" localSheetId="117">#REF!</definedName>
    <definedName name="pmfor" localSheetId="28">#REF!</definedName>
    <definedName name="pmfor" localSheetId="71">#REF!</definedName>
    <definedName name="pmfor" localSheetId="146">#REF!</definedName>
    <definedName name="pmfor" localSheetId="31">#REF!</definedName>
    <definedName name="pmfor" localSheetId="85">#REF!</definedName>
    <definedName name="pmfor" localSheetId="147">#REF!</definedName>
    <definedName name="pmfor" localSheetId="33">#REF!</definedName>
    <definedName name="pmfor" localSheetId="93">#REF!</definedName>
    <definedName name="pmfor" localSheetId="143">#REF!</definedName>
    <definedName name="pmfor" localSheetId="144">#REF!</definedName>
    <definedName name="pmfor" localSheetId="145">#REF!</definedName>
    <definedName name="pmfor" localSheetId="157">#REF!</definedName>
    <definedName name="pmfor" localSheetId="37">#REF!</definedName>
    <definedName name="pmfor" localSheetId="70">#REF!</definedName>
    <definedName name="pmfor" localSheetId="83">#REF!</definedName>
    <definedName name="pmfor" localSheetId="90">#REF!</definedName>
    <definedName name="pmfor" localSheetId="99">#REF!</definedName>
    <definedName name="pmfor" localSheetId="106">#REF!</definedName>
    <definedName name="pmfor" localSheetId="107">#REF!</definedName>
    <definedName name="pmfor" localSheetId="108">#REF!</definedName>
    <definedName name="pmfor" localSheetId="7">#REF!</definedName>
    <definedName name="pmfor" localSheetId="110">#REF!</definedName>
    <definedName name="pmfor" localSheetId="86">#REF!</definedName>
    <definedName name="pmfor" localSheetId="88">#REF!</definedName>
    <definedName name="pmfor" localSheetId="87">#REF!</definedName>
    <definedName name="pmfor" localSheetId="89">#REF!</definedName>
    <definedName name="pmfor">#REF!</definedName>
    <definedName name="pmytd" localSheetId="55">#REF!</definedName>
    <definedName name="pmytd" localSheetId="57">#REF!</definedName>
    <definedName name="pmytd" localSheetId="61">#REF!</definedName>
    <definedName name="pmytd" localSheetId="64">#REF!</definedName>
    <definedName name="pmytd" localSheetId="73">#REF!</definedName>
    <definedName name="pmytd" localSheetId="81">#REF!</definedName>
    <definedName name="pmytd" localSheetId="84">#REF!</definedName>
    <definedName name="pmytd" localSheetId="91">#REF!</definedName>
    <definedName name="pmytd" localSheetId="94">#REF!</definedName>
    <definedName name="pmytd" localSheetId="1">#REF!</definedName>
    <definedName name="pmytd" localSheetId="32">#REF!</definedName>
    <definedName name="pmytd" localSheetId="39">#REF!</definedName>
    <definedName name="pmytd" localSheetId="56">#REF!</definedName>
    <definedName name="pmytd" localSheetId="59">#REF!</definedName>
    <definedName name="pmytd" localSheetId="113">#REF!</definedName>
    <definedName name="pmytd" localSheetId="114">#REF!</definedName>
    <definedName name="pmytd" localSheetId="54">#REF!</definedName>
    <definedName name="pmytd" localSheetId="116">#REF!</definedName>
    <definedName name="pmytd" localSheetId="19">#REF!</definedName>
    <definedName name="pmytd" localSheetId="65">#REF!</definedName>
    <definedName name="pmytd" localSheetId="128">#REF!</definedName>
    <definedName name="pmytd" localSheetId="20">#REF!</definedName>
    <definedName name="pmytd" localSheetId="75">#REF!</definedName>
    <definedName name="pmytd" localSheetId="140">#REF!</definedName>
    <definedName name="pmytd" localSheetId="141">#REF!</definedName>
    <definedName name="pmytd" localSheetId="142">#REF!</definedName>
    <definedName name="pmytd" localSheetId="51">#REF!</definedName>
    <definedName name="pmytd" localSheetId="53">#REF!</definedName>
    <definedName name="pmytd" localSheetId="63">#REF!</definedName>
    <definedName name="pmytd" localSheetId="72">#REF!</definedName>
    <definedName name="pmytd" localSheetId="79">#REF!</definedName>
    <definedName name="pmytd" localSheetId="97">#REF!</definedName>
    <definedName name="pmytd" localSheetId="98">#REF!</definedName>
    <definedName name="pmytd" localSheetId="101">#REF!</definedName>
    <definedName name="pmytd" localSheetId="58">#REF!</definedName>
    <definedName name="pmytd" localSheetId="62">#REF!</definedName>
    <definedName name="pmytd" localSheetId="74">#REF!</definedName>
    <definedName name="pmytd" localSheetId="82">#REF!</definedName>
    <definedName name="pmytd" localSheetId="92">#REF!</definedName>
    <definedName name="pmytd" localSheetId="95">#REF!</definedName>
    <definedName name="pmytd" localSheetId="115">#REF!</definedName>
    <definedName name="pmytd" localSheetId="117">#REF!</definedName>
    <definedName name="pmytd" localSheetId="28">#REF!</definedName>
    <definedName name="pmytd" localSheetId="71">#REF!</definedName>
    <definedName name="pmytd" localSheetId="146">#REF!</definedName>
    <definedName name="pmytd" localSheetId="31">#REF!</definedName>
    <definedName name="pmytd" localSheetId="85">#REF!</definedName>
    <definedName name="pmytd" localSheetId="147">#REF!</definedName>
    <definedName name="pmytd" localSheetId="33">#REF!</definedName>
    <definedName name="pmytd" localSheetId="93">#REF!</definedName>
    <definedName name="pmytd" localSheetId="143">#REF!</definedName>
    <definedName name="pmytd" localSheetId="144">#REF!</definedName>
    <definedName name="pmytd" localSheetId="145">#REF!</definedName>
    <definedName name="pmytd" localSheetId="157">#REF!</definedName>
    <definedName name="pmytd" localSheetId="37">#REF!</definedName>
    <definedName name="pmytd" localSheetId="70">#REF!</definedName>
    <definedName name="pmytd" localSheetId="83">#REF!</definedName>
    <definedName name="pmytd" localSheetId="90">#REF!</definedName>
    <definedName name="pmytd" localSheetId="99">#REF!</definedName>
    <definedName name="pmytd" localSheetId="106">#REF!</definedName>
    <definedName name="pmytd" localSheetId="107">#REF!</definedName>
    <definedName name="pmytd" localSheetId="108">#REF!</definedName>
    <definedName name="pmytd" localSheetId="7">#REF!</definedName>
    <definedName name="pmytd" localSheetId="110">#REF!</definedName>
    <definedName name="pmytd" localSheetId="86">#REF!</definedName>
    <definedName name="pmytd" localSheetId="88">#REF!</definedName>
    <definedName name="pmytd" localSheetId="87">#REF!</definedName>
    <definedName name="pmytd" localSheetId="89">#REF!</definedName>
    <definedName name="pmytd">#REF!</definedName>
    <definedName name="pmytdgoal" localSheetId="113">#REF!</definedName>
    <definedName name="pmytdgoal" localSheetId="114">#REF!</definedName>
    <definedName name="pmytdgoal" localSheetId="116">#REF!</definedName>
    <definedName name="pmytdgoal" localSheetId="128">#REF!</definedName>
    <definedName name="pmytdgoal" localSheetId="140">#REF!</definedName>
    <definedName name="pmytdgoal" localSheetId="141">#REF!</definedName>
    <definedName name="pmytdgoal" localSheetId="142">#REF!</definedName>
    <definedName name="pmytdgoal" localSheetId="51">#REF!</definedName>
    <definedName name="pmytdgoal" localSheetId="115">#REF!</definedName>
    <definedName name="pmytdgoal" localSheetId="117">#REF!</definedName>
    <definedName name="pmytdgoal" localSheetId="146">#REF!</definedName>
    <definedName name="pmytdgoal" localSheetId="147">#REF!</definedName>
    <definedName name="pmytdgoal" localSheetId="143">#REF!</definedName>
    <definedName name="pmytdgoal" localSheetId="144">#REF!</definedName>
    <definedName name="pmytdgoal" localSheetId="145">#REF!</definedName>
    <definedName name="pmytdgoal" localSheetId="110">#REF!</definedName>
    <definedName name="pmytdgoal" localSheetId="86">#REF!</definedName>
    <definedName name="pmytdgoal">#REF!</definedName>
    <definedName name="pr"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int_ad" localSheetId="64">#REF!</definedName>
    <definedName name="print_ad" localSheetId="73">#REF!</definedName>
    <definedName name="print_ad" localSheetId="81">#REF!</definedName>
    <definedName name="print_ad" localSheetId="84">#REF!</definedName>
    <definedName name="print_ad" localSheetId="91">#REF!</definedName>
    <definedName name="print_ad" localSheetId="94">#REF!</definedName>
    <definedName name="print_ad" localSheetId="113">#REF!</definedName>
    <definedName name="print_ad" localSheetId="114">#REF!</definedName>
    <definedName name="print_ad" localSheetId="116">#REF!</definedName>
    <definedName name="print_ad" localSheetId="128">#REF!</definedName>
    <definedName name="print_ad" localSheetId="140">#REF!</definedName>
    <definedName name="print_ad" localSheetId="141">#REF!</definedName>
    <definedName name="print_ad" localSheetId="142">#REF!</definedName>
    <definedName name="print_ad" localSheetId="51">#REF!</definedName>
    <definedName name="print_ad" localSheetId="49">#REF!</definedName>
    <definedName name="print_ad" localSheetId="53">#REF!</definedName>
    <definedName name="print_ad" localSheetId="63">#REF!</definedName>
    <definedName name="print_ad" localSheetId="72">#REF!</definedName>
    <definedName name="print_ad" localSheetId="79">#REF!</definedName>
    <definedName name="print_ad" localSheetId="9">#REF!</definedName>
    <definedName name="print_ad" localSheetId="10">#REF!</definedName>
    <definedName name="print_ad" localSheetId="8">#REF!</definedName>
    <definedName name="print_ad" localSheetId="74">#REF!</definedName>
    <definedName name="print_ad" localSheetId="82">#REF!</definedName>
    <definedName name="print_ad" localSheetId="92">#REF!</definedName>
    <definedName name="print_ad" localSheetId="95">#REF!</definedName>
    <definedName name="print_ad" localSheetId="115">#REF!</definedName>
    <definedName name="print_ad" localSheetId="117">#REF!</definedName>
    <definedName name="print_ad" localSheetId="146">#REF!</definedName>
    <definedName name="print_ad" localSheetId="147">#REF!</definedName>
    <definedName name="print_ad" localSheetId="143">#REF!</definedName>
    <definedName name="print_ad" localSheetId="144">#REF!</definedName>
    <definedName name="print_ad" localSheetId="145">#REF!</definedName>
    <definedName name="print_ad" localSheetId="66">#REF!</definedName>
    <definedName name="print_ad" localSheetId="70">#REF!</definedName>
    <definedName name="print_ad" localSheetId="83">#REF!</definedName>
    <definedName name="print_ad" localSheetId="90">#REF!</definedName>
    <definedName name="print_ad" localSheetId="99">#REF!</definedName>
    <definedName name="print_ad" localSheetId="7">#REF!</definedName>
    <definedName name="print_ad" localSheetId="110">#REF!</definedName>
    <definedName name="print_ad" localSheetId="41">#REF!</definedName>
    <definedName name="print_ad" localSheetId="43">#REF!</definedName>
    <definedName name="print_ad" localSheetId="86">#REF!</definedName>
    <definedName name="print_ad">#REF!</definedName>
    <definedName name="_xlnm.Print_Area" localSheetId="55">'10.1.15 2016 Summary Table B'!$B$1:$Y$77</definedName>
    <definedName name="_xlnm.Print_Area" localSheetId="57">'10.1.15 2017 Summary Table B'!$B$1:$Y$77</definedName>
    <definedName name="_xlnm.Print_Area" localSheetId="61">'10.1.15 2018 Summary Table B'!$B$1:$Y$77</definedName>
    <definedName name="_xlnm.Print_Area" localSheetId="64">'10.1.15 CNG Table C 2016'!$A$1:$I$75</definedName>
    <definedName name="_xlnm.Print_Area" localSheetId="73">'10.1.15 CNG Table C 2017'!$A$1:$I$75</definedName>
    <definedName name="_xlnm.Print_Area" localSheetId="81">'10.1.15 CNG Table C 2018'!$A$1:$I$75</definedName>
    <definedName name="_xlnm.Print_Area" localSheetId="84">'10.1.15 SCG Table C 2016'!$A$1:$K$75</definedName>
    <definedName name="_xlnm.Print_Area" localSheetId="91">'10.1.15 SCG Table C 2017'!$A$1:$K$75</definedName>
    <definedName name="_xlnm.Print_Area" localSheetId="94">'10.1.15 SCG Table C 2018'!$A$1:$K$75</definedName>
    <definedName name="_xlnm.Print_Area" localSheetId="4">'2012 Combined Table A1 -Inc.Fun'!$B$1:$J$53</definedName>
    <definedName name="_xlnm.Print_Area" localSheetId="0">'2012-2013 Combined Table A1 '!$B$1:$J$61</definedName>
    <definedName name="_xlnm.Print_Area" localSheetId="29">'2013 Summary Table B '!$B$1:$Q$72</definedName>
    <definedName name="_xlnm.Print_Area" localSheetId="3">'2013 Table A1 Pies'!$A$1:$E$48</definedName>
    <definedName name="_xlnm.Print_Area" localSheetId="1">'2013-2015 Combined Table A1'!$B$2:$N$67</definedName>
    <definedName name="_xlnm.Print_Area" localSheetId="32">'2014 Summary Table B '!$B$2:$Y$73</definedName>
    <definedName name="_xlnm.Print_Area" localSheetId="39">'2016 Summary Table B'!$B$1:$Z$77</definedName>
    <definedName name="_xlnm.Print_Area" localSheetId="56">'2017 Summary Table B'!$B$1:$Z$77</definedName>
    <definedName name="_xlnm.Print_Area" localSheetId="59">'2018 Summary Table B'!$B$1:$Z$77</definedName>
    <definedName name="_xlnm.Print_Area" localSheetId="52">'CNG 2012 Table C Pie Chart Incr'!$A$1:$E$41</definedName>
    <definedName name="_xlnm.Print_Area" localSheetId="113">'CNG 2013 Exhibit 4'!$A$1:$H$45</definedName>
    <definedName name="_xlnm.Print_Area" localSheetId="17">'CNG 2013 Table A Pie Charts'!$A$1:$E$42</definedName>
    <definedName name="_xlnm.Print_Area" localSheetId="50">'CNG 2013 Table C Pie Chart'!$A$1:$E$41</definedName>
    <definedName name="_xlnm.Print_Area" localSheetId="114">'CNG 2014 Exhibit 4'!$A$1:$H$58</definedName>
    <definedName name="_xlnm.Print_Area" localSheetId="54">'CNG 2014 Table C Pie Chart'!$A$1:$E$41</definedName>
    <definedName name="_xlnm.Print_Area" localSheetId="116">'CNG 2016 Exhibit 4'!$A$1:$H$60</definedName>
    <definedName name="_xlnm.Print_Area" localSheetId="19">'CNG 2016 Table A Pie Charts '!$A$1:$E$43</definedName>
    <definedName name="_xlnm.Print_Area" localSheetId="65">'CNG 2016 Table C Pie Chart'!$A$1:$E$41</definedName>
    <definedName name="_xlnm.Print_Area" localSheetId="128">'CNG 2017 Exhibit 4'!$A$1:$H$60</definedName>
    <definedName name="_xlnm.Print_Area" localSheetId="20">'CNG 2017 Table A Pie Charts'!$A$1:$E$43</definedName>
    <definedName name="_xlnm.Print_Area" localSheetId="75">'CNG 2017 Table C Pie Chart'!$A$1:$E$41</definedName>
    <definedName name="_xlnm.Print_Area" localSheetId="140">'CNG 2022 Exhibit 4'!$B$2:$K$63</definedName>
    <definedName name="_xlnm.Print_Area" localSheetId="21">'CNG 2022 Table A Pie Chart'!#REF!</definedName>
    <definedName name="_xlnm.Print_Area" localSheetId="141">'CNG 2023 Exhibit 4'!$B$2:$K$63</definedName>
    <definedName name="_xlnm.Print_Area" localSheetId="22">'CNG 2023 Table A Pie Chart'!#REF!</definedName>
    <definedName name="_xlnm.Print_Area" localSheetId="142">'CNG 2024 Exhibit 4'!$B$2:$K$63</definedName>
    <definedName name="_xlnm.Print_Area" localSheetId="23">'CNG 2024 Table A Pie Chart'!#REF!</definedName>
    <definedName name="_xlnm.Print_Area" localSheetId="172">'CNG CEC'!$A$1:$P$44</definedName>
    <definedName name="_xlnm.Print_Area" localSheetId="158">'CNG ECB'!$A$1:$M$61</definedName>
    <definedName name="_xlnm.Print_Area" localSheetId="168">'CNG ECC'!$A$1:$F$17</definedName>
    <definedName name="_xlnm.Print_Area" localSheetId="161">'CNG ENOPP'!$A$1:$M$62</definedName>
    <definedName name="_xlnm.Print_Area" localSheetId="153">'CNG HES'!$A$1:$O$66</definedName>
    <definedName name="_xlnm.Print_Area" localSheetId="148">'CNG Income Eligible'!$A$1:$O$65</definedName>
    <definedName name="_xlnm.Print_Area" localSheetId="170">'CNG K-12'!$A$1:$F$17</definedName>
    <definedName name="_xlnm.Print_Area" localSheetId="155">'CNG New Construction'!$A$1:$L$59</definedName>
    <definedName name="_xlnm.Print_Area" localSheetId="164">'CNG O&amp;M'!$A$1:$M$61</definedName>
    <definedName name="_xlnm.Print_Area" localSheetId="166">'CNG SBEA'!$A$1:$I$55</definedName>
    <definedName name="_xlnm.Print_Area" localSheetId="51">'CNG Table C 2012 INCREASED FUND'!$A$1:$I$41</definedName>
    <definedName name="_xlnm.Print_Area" localSheetId="49">'CNG Table C 2013'!$A$1:$I$50</definedName>
    <definedName name="_xlnm.Print_Area" localSheetId="53">'CNG Table C 2014'!$A$1:$I$62</definedName>
    <definedName name="_xlnm.Print_Area" localSheetId="63">'CNG Table C 2016'!$A$1:$I$75</definedName>
    <definedName name="_xlnm.Print_Area" localSheetId="72">'CNG Table C 2017'!$A$1:$I$75</definedName>
    <definedName name="_xlnm.Print_Area" localSheetId="79">'CNG Table C 2018'!$A$1:$I$75</definedName>
    <definedName name="_xlnm.Print_Area" localSheetId="151">'CNG Water Heating'!$A$1:$M$61</definedName>
    <definedName name="_xlnm.Print_Area" localSheetId="2">'Combined Table A2'!$A$2:$Q$15</definedName>
    <definedName name="_xlnm.Print_Area" localSheetId="9">'DN 10-10-03 Order 26i CNG'!$A$1:$H$50</definedName>
    <definedName name="_xlnm.Print_Area" localSheetId="10">'DN 10-10-03 Order 26i SCG'!$A$1:$H$50</definedName>
    <definedName name="_xlnm.Print_Area" localSheetId="8">'DN 10-10-03 Order 26i YGS '!$A$1:$H$48</definedName>
    <definedName name="_xlnm.Print_Area" localSheetId="58">'Mar 16 2017 Summary Table B'!$B$1:$Z$77</definedName>
    <definedName name="_xlnm.Print_Area" localSheetId="62">'Mar 16 2018 Summary Table B'!$B$1:$Z$77</definedName>
    <definedName name="_xlnm.Print_Area" localSheetId="74">'Mar 16 CNG Table C 2017'!$A$1:$I$75</definedName>
    <definedName name="_xlnm.Print_Area" localSheetId="82">'Mar 16 CNG Table C 2018'!$A$1:$I$75</definedName>
    <definedName name="_xlnm.Print_Area" localSheetId="92">'Mar 16 SCG Table C 2017'!$A$1:$K$75</definedName>
    <definedName name="_xlnm.Print_Area" localSheetId="95">'Mar 16 SCG Table C 2018'!$A$1:$K$75</definedName>
    <definedName name="_xlnm.Print_Area" localSheetId="115">'SCG 2013 Exhibit 4'!$A$1:$H$45</definedName>
    <definedName name="_xlnm.Print_Area" localSheetId="27">'SCG 2013 Table A Pie Charts'!$A$1:$E$42</definedName>
    <definedName name="_xlnm.Print_Area" localSheetId="67">'SCG 2013 Table C Pie Chart'!$A$1:$E$45</definedName>
    <definedName name="_xlnm.Print_Area" localSheetId="117">'SCG 2014 Exhibit 4'!$A$1:$H$59</definedName>
    <definedName name="_xlnm.Print_Area" localSheetId="28">'SCG 2014 Table A Pie Charts '!$A$1:$E$42</definedName>
    <definedName name="_xlnm.Print_Area" localSheetId="71">'SCG 2014 Table C Pie Chart'!$A$1:$E$45</definedName>
    <definedName name="_xlnm.Print_Area" localSheetId="146">'SCG 2016 Exhibit 4'!$A$1:$H$60</definedName>
    <definedName name="_xlnm.Print_Area" localSheetId="31">'SCG 2016 Table A Pie Charts'!$A$1:$E$43</definedName>
    <definedName name="_xlnm.Print_Area" localSheetId="85">'SCG 2016 Table C Pie Chart'!$A$1:$E$45</definedName>
    <definedName name="_xlnm.Print_Area" localSheetId="147">'SCG 2017 Exhibit 4'!$A$1:$H$60</definedName>
    <definedName name="_xlnm.Print_Area" localSheetId="33">'SCG 2017 Table A Pie Charts'!$A$1:$E$43</definedName>
    <definedName name="_xlnm.Print_Area" localSheetId="93">'SCG 2017 Table C Pie Chart'!$A$1:$E$45</definedName>
    <definedName name="_xlnm.Print_Area" localSheetId="143">'SCG 2022 Exhibit 4'!$B$2:$K$63</definedName>
    <definedName name="_xlnm.Print_Area" localSheetId="34">'SCG 2022 Table A Pie Chart'!#REF!</definedName>
    <definedName name="_xlnm.Print_Area" localSheetId="144">'SCG 2023 Exhibit 4'!$B$2:$K$63</definedName>
    <definedName name="_xlnm.Print_Area" localSheetId="35">'SCG 2023 Table A Pie Chart'!#REF!</definedName>
    <definedName name="_xlnm.Print_Area" localSheetId="145">'SCG 2024 Exhibit 4'!$B$2:$K$63</definedName>
    <definedName name="_xlnm.Print_Area" localSheetId="36">'SCG 2024 Table A Pie Chart'!#REF!</definedName>
    <definedName name="_xlnm.Print_Area" localSheetId="173">'SCG CEC'!$A$1:$F$17</definedName>
    <definedName name="_xlnm.Print_Area" localSheetId="159">'SCG ECB'!$A$1:$M$61</definedName>
    <definedName name="_xlnm.Print_Area" localSheetId="169">'SCG ECC'!$A$1:$F$17</definedName>
    <definedName name="_xlnm.Print_Area" localSheetId="162">'SCG ENOPP'!$A$1:$M$63</definedName>
    <definedName name="_xlnm.Print_Area" localSheetId="154">'SCG HES'!$A$1:$O$65</definedName>
    <definedName name="_xlnm.Print_Area" localSheetId="149">'SCG Income Eligible'!$A$1:$O$65</definedName>
    <definedName name="_xlnm.Print_Area" localSheetId="171">'SCG K-12'!$A$1:$O$17</definedName>
    <definedName name="_xlnm.Print_Area" localSheetId="156">'SCG New Construction'!$A$1:$L$59</definedName>
    <definedName name="_xlnm.Print_Area" localSheetId="165">'SCG O&amp;M'!$A$1:$M$63</definedName>
    <definedName name="_xlnm.Print_Area" localSheetId="157">'SCG Residential Behavior'!$A$1:$G$34</definedName>
    <definedName name="_xlnm.Print_Area" localSheetId="167">'SCG SBEA'!$A$1:$I$55</definedName>
    <definedName name="_xlnm.Print_Area" localSheetId="68">'SCG Table C 2012 Incr. Sav'!$B$1:$I$40</definedName>
    <definedName name="_xlnm.Print_Area" localSheetId="66">'SCG Table C 2013'!$A$1:$K$50</definedName>
    <definedName name="_xlnm.Print_Area" localSheetId="70">'SCG Table C 2014'!$A$1:$K$63</definedName>
    <definedName name="_xlnm.Print_Area" localSheetId="83">'SCG Table C 2016'!$A$1:$K$75</definedName>
    <definedName name="_xlnm.Print_Area" localSheetId="90">'SCG Table C 2017'!$A$1:$K$75</definedName>
    <definedName name="_xlnm.Print_Area" localSheetId="99">'SCG Table C 2018'!$A$1:$I$75</definedName>
    <definedName name="_xlnm.Print_Area" localSheetId="152">'SCG Water Heating'!$A$1:$M$61</definedName>
    <definedName name="_xlnm.Print_Area" localSheetId="7">'Summary DN10-10-03 Order 26i '!$A$1:$H$50</definedName>
    <definedName name="_xlnm.Print_Area" localSheetId="30">'Summary Table B  Incr. Sav'!$B$1:$Q$72</definedName>
    <definedName name="_xlnm.Print_Area" localSheetId="42">'YGS 2012 Tab C Pie Chart Inc Fu'!$A$1:$E$41</definedName>
    <definedName name="_xlnm.Print_Area" localSheetId="110">'YGS 2013 Exhibit 4'!$A$1:$H$41</definedName>
    <definedName name="_xlnm.Print_Area" localSheetId="44">'YGS 2013 Tab C Pie Chart '!$A$1:$E$41</definedName>
    <definedName name="_xlnm.Print_Area" localSheetId="12">'YGS 2013 Table A Pie Charts '!$A$1:$E$42</definedName>
    <definedName name="_xlnm.Print_Area" localSheetId="40">'YGS 2013 Table C Pie Chart '!$A$1:$E$41</definedName>
    <definedName name="_xlnm.Print_Area" localSheetId="111">'YGS 2014 Exhibit 4'!$A$1:$H$41</definedName>
    <definedName name="_xlnm.Print_Area" localSheetId="122">'YGS ECB  '!$A$1:$N$89</definedName>
    <definedName name="_xlnm.Print_Area" localSheetId="177">'YGS ECB   '!$A$1:$N$89</definedName>
    <definedName name="_xlnm.Print_Area" localSheetId="160">'YGS ENOPP'!$A$1:$N$84</definedName>
    <definedName name="_xlnm.Print_Area" localSheetId="123">'YGS ENOPP '!$A$1:$N$89</definedName>
    <definedName name="_xlnm.Print_Area" localSheetId="178">'YGS ENOPP  '!$A$1:$N$89</definedName>
    <definedName name="_xlnm.Print_Area" localSheetId="119">'YGS HES '!$A$1:$N$89</definedName>
    <definedName name="_xlnm.Print_Area" localSheetId="175">'YGS HES (2)'!$A$1:$N$89</definedName>
    <definedName name="_xlnm.Print_Area" localSheetId="118">'YGS Income Eligible '!$A$1:$N$91</definedName>
    <definedName name="_xlnm.Print_Area" localSheetId="174">'YGS Income Eligible  (2)'!$A$1:$N$91</definedName>
    <definedName name="_xlnm.Print_Area" localSheetId="120">'YGS New Construction'!$A$1:$M$89</definedName>
    <definedName name="_xlnm.Print_Area" localSheetId="163">'YGS O&amp;M'!$A$1:$N$86</definedName>
    <definedName name="_xlnm.Print_Area" localSheetId="124">'YGS O&amp;M '!$A$1:$K$91</definedName>
    <definedName name="_xlnm.Print_Area" localSheetId="179">'YGS O&amp;M   '!$A$1:$K$91</definedName>
    <definedName name="_xlnm.Print_Area" localSheetId="180">'YGS SBEA '!$A$1:$N$82</definedName>
    <definedName name="_xlnm.Print_Area" localSheetId="125">'YGS SBEA    '!$A$1:$N$82</definedName>
    <definedName name="_xlnm.Print_Area" localSheetId="11">'YGS Table A '!$B$2:$E$60</definedName>
    <definedName name="_xlnm.Print_Area" localSheetId="41">'YGS Table C 2012 Increased Fund'!$B$1:$I$40</definedName>
    <definedName name="_xlnm.Print_Area" localSheetId="43">'YGS Table C 2013'!$B$1:$I$50</definedName>
    <definedName name="_xlnm.Print_Area" localSheetId="45">'YGS Table C 2014'!$B$1:$I$50</definedName>
    <definedName name="_xlnm.Print_Area" localSheetId="47">'YGS Table C 2015'!$B$1:$I$50</definedName>
    <definedName name="_xlnm.Print_Area" localSheetId="86">'YGS Table D'!$C$2:$R$34</definedName>
    <definedName name="_xlnm.Print_Area" localSheetId="88">'YGS Table D1'!$B$1:$M$61</definedName>
    <definedName name="_xlnm.Print_Area" localSheetId="87">'YGS Table D1 '!$B$1:$M$61</definedName>
    <definedName name="_xlnm.Print_Area" localSheetId="89">'YGS Table D3'!$B$1:$M$43</definedName>
    <definedName name="_xlnm.Print_Area" localSheetId="150">'YGS Water Heating'!$A$1:$N$88</definedName>
    <definedName name="_xlnm.Print_Area" localSheetId="121">'YGS Water Heating '!$A$1:$N$95</definedName>
    <definedName name="_xlnm.Print_Area" localSheetId="176">'YGS Water Heating   '!$A$1:$N$95</definedName>
    <definedName name="_xlnm.Print_Titles" localSheetId="55">'10.1.15 2016 Summary Table B'!$B:$B</definedName>
    <definedName name="_xlnm.Print_Titles" localSheetId="57">'10.1.15 2017 Summary Table B'!$B:$B</definedName>
    <definedName name="_xlnm.Print_Titles" localSheetId="61">'10.1.15 2018 Summary Table B'!$B:$B</definedName>
    <definedName name="_xlnm.Print_Titles" localSheetId="32">'2014 Summary Table B '!$B:$B</definedName>
    <definedName name="_xlnm.Print_Titles" localSheetId="39">'2016 Summary Table B'!$B:$B</definedName>
    <definedName name="_xlnm.Print_Titles" localSheetId="56">'2017 Summary Table B'!$B:$B</definedName>
    <definedName name="_xlnm.Print_Titles" localSheetId="59">'2018 Summary Table B'!$B:$B</definedName>
    <definedName name="_xlnm.Print_Titles" localSheetId="113">'CNG 2013 Exhibit 4'!$24:$25</definedName>
    <definedName name="_xlnm.Print_Titles" localSheetId="114">'CNG 2014 Exhibit 4'!$24:$25</definedName>
    <definedName name="_xlnm.Print_Titles" localSheetId="116">'CNG 2016 Exhibit 4'!$26:$27</definedName>
    <definedName name="_xlnm.Print_Titles" localSheetId="128">'CNG 2017 Exhibit 4'!$26:$27</definedName>
    <definedName name="_xlnm.Print_Titles" localSheetId="140">'CNG 2022 Exhibit 4'!$23:$25</definedName>
    <definedName name="_xlnm.Print_Titles" localSheetId="141">'CNG 2023 Exhibit 4'!$23:$25</definedName>
    <definedName name="_xlnm.Print_Titles" localSheetId="142">'CNG 2024 Exhibit 4'!$23:$25</definedName>
    <definedName name="_xlnm.Print_Titles" localSheetId="172">'CNG CEC'!$1:$3</definedName>
    <definedName name="_xlnm.Print_Titles" localSheetId="158">'CNG ECB'!$1:$3</definedName>
    <definedName name="_xlnm.Print_Titles" localSheetId="168">'CNG ECC'!$1:$3</definedName>
    <definedName name="_xlnm.Print_Titles" localSheetId="161">'CNG ENOPP'!$1:$3</definedName>
    <definedName name="_xlnm.Print_Titles" localSheetId="153">'CNG HES'!$1:$3</definedName>
    <definedName name="_xlnm.Print_Titles" localSheetId="148">'CNG Income Eligible'!$1:$3</definedName>
    <definedName name="_xlnm.Print_Titles" localSheetId="170">'CNG K-12'!$1:$3</definedName>
    <definedName name="_xlnm.Print_Titles" localSheetId="155">'CNG New Construction'!$1:$3</definedName>
    <definedName name="_xlnm.Print_Titles" localSheetId="164">'CNG O&amp;M'!$1:$3</definedName>
    <definedName name="_xlnm.Print_Titles" localSheetId="166">'CNG SBEA'!$1:$3</definedName>
    <definedName name="_xlnm.Print_Titles" localSheetId="151">'CNG Water Heating'!$1:$3</definedName>
    <definedName name="_xlnm.Print_Titles" localSheetId="9">'DN 10-10-03 Order 26i CNG'!$1:$8</definedName>
    <definedName name="_xlnm.Print_Titles" localSheetId="10">'DN 10-10-03 Order 26i SCG'!$1:$8</definedName>
    <definedName name="_xlnm.Print_Titles" localSheetId="8">'DN 10-10-03 Order 26i YGS '!$1:$8</definedName>
    <definedName name="_xlnm.Print_Titles" localSheetId="58">'Mar 16 2017 Summary Table B'!$B:$B</definedName>
    <definedName name="_xlnm.Print_Titles" localSheetId="62">'Mar 16 2018 Summary Table B'!$B:$B</definedName>
    <definedName name="_xlnm.Print_Titles" localSheetId="115">'SCG 2013 Exhibit 4'!$24:$25</definedName>
    <definedName name="_xlnm.Print_Titles" localSheetId="117">'SCG 2014 Exhibit 4'!$24:$25</definedName>
    <definedName name="_xlnm.Print_Titles" localSheetId="146">'SCG 2016 Exhibit 4'!$26:$27</definedName>
    <definedName name="_xlnm.Print_Titles" localSheetId="147">'SCG 2017 Exhibit 4'!$26:$27</definedName>
    <definedName name="_xlnm.Print_Titles" localSheetId="143">'SCG 2022 Exhibit 4'!$23:$25</definedName>
    <definedName name="_xlnm.Print_Titles" localSheetId="144">'SCG 2023 Exhibit 4'!$23:$25</definedName>
    <definedName name="_xlnm.Print_Titles" localSheetId="145">'SCG 2024 Exhibit 4'!$23:$25</definedName>
    <definedName name="_xlnm.Print_Titles" localSheetId="173">'SCG CEC'!$1:$3</definedName>
    <definedName name="_xlnm.Print_Titles" localSheetId="159">'SCG ECB'!$1:$3</definedName>
    <definedName name="_xlnm.Print_Titles" localSheetId="169">'SCG ECC'!$1:$3</definedName>
    <definedName name="_xlnm.Print_Titles" localSheetId="162">'SCG ENOPP'!$1:$3</definedName>
    <definedName name="_xlnm.Print_Titles" localSheetId="154">'SCG HES'!$1:$3</definedName>
    <definedName name="_xlnm.Print_Titles" localSheetId="149">'SCG Income Eligible'!$1:$3</definedName>
    <definedName name="_xlnm.Print_Titles" localSheetId="171">'SCG K-12'!$1:$3</definedName>
    <definedName name="_xlnm.Print_Titles" localSheetId="156">'SCG New Construction'!$1:$3</definedName>
    <definedName name="_xlnm.Print_Titles" localSheetId="165">'SCG O&amp;M'!$1:$3</definedName>
    <definedName name="_xlnm.Print_Titles" localSheetId="157">'SCG Residential Behavior'!$1:$3</definedName>
    <definedName name="_xlnm.Print_Titles" localSheetId="167">'SCG SBEA'!$1:$3</definedName>
    <definedName name="_xlnm.Print_Titles" localSheetId="152">'SCG Water Heating'!$1:$3</definedName>
    <definedName name="_xlnm.Print_Titles" localSheetId="7">'Summary DN10-10-03 Order 26i '!$1:$8</definedName>
    <definedName name="_xlnm.Print_Titles" localSheetId="110">'YGS 2013 Exhibit 4'!$24:$25</definedName>
    <definedName name="pro_budget_2006" localSheetId="64">#REF!</definedName>
    <definedName name="pro_budget_2006" localSheetId="73">#REF!</definedName>
    <definedName name="pro_budget_2006" localSheetId="81">#REF!</definedName>
    <definedName name="pro_budget_2006" localSheetId="84">#REF!</definedName>
    <definedName name="pro_budget_2006" localSheetId="91">#REF!</definedName>
    <definedName name="pro_budget_2006" localSheetId="94">#REF!</definedName>
    <definedName name="pro_budget_2006" localSheetId="113">'[1]CLM Programs'!#REF!</definedName>
    <definedName name="pro_budget_2006" localSheetId="114">'[1]CLM Programs'!#REF!</definedName>
    <definedName name="pro_budget_2006" localSheetId="116">'[1]CLM Programs'!#REF!</definedName>
    <definedName name="pro_budget_2006" localSheetId="128">'[1]CLM Programs'!#REF!</definedName>
    <definedName name="pro_budget_2006" localSheetId="140">#REF!</definedName>
    <definedName name="pro_budget_2006" localSheetId="141">#REF!</definedName>
    <definedName name="pro_budget_2006" localSheetId="142">#REF!</definedName>
    <definedName name="pro_budget_2006" localSheetId="51">#REF!</definedName>
    <definedName name="pro_budget_2006" localSheetId="49">#REF!</definedName>
    <definedName name="pro_budget_2006" localSheetId="53">#REF!</definedName>
    <definedName name="pro_budget_2006" localSheetId="63">#REF!</definedName>
    <definedName name="pro_budget_2006" localSheetId="72">#REF!</definedName>
    <definedName name="pro_budget_2006" localSheetId="79">#REF!</definedName>
    <definedName name="pro_budget_2006" localSheetId="97">'[1]CLM Programs'!#REF!</definedName>
    <definedName name="pro_budget_2006" localSheetId="98">'[1]CLM Programs'!#REF!</definedName>
    <definedName name="pro_budget_2006" localSheetId="101">'[1]CLM Programs'!#REF!</definedName>
    <definedName name="pro_budget_2006" localSheetId="9">'[1]CLM Programs'!#REF!</definedName>
    <definedName name="pro_budget_2006" localSheetId="10">'[1]CLM Programs'!#REF!</definedName>
    <definedName name="pro_budget_2006" localSheetId="8">'[1]CLM Programs'!#REF!</definedName>
    <definedName name="pro_budget_2006" localSheetId="74">#REF!</definedName>
    <definedName name="pro_budget_2006" localSheetId="82">#REF!</definedName>
    <definedName name="pro_budget_2006" localSheetId="92">#REF!</definedName>
    <definedName name="pro_budget_2006" localSheetId="95">#REF!</definedName>
    <definedName name="pro_budget_2006" localSheetId="115">'[1]CLM Programs'!#REF!</definedName>
    <definedName name="pro_budget_2006" localSheetId="117">'[1]CLM Programs'!#REF!</definedName>
    <definedName name="pro_budget_2006" localSheetId="146">'[1]CLM Programs'!#REF!</definedName>
    <definedName name="pro_budget_2006" localSheetId="147">'[1]CLM Programs'!#REF!</definedName>
    <definedName name="pro_budget_2006" localSheetId="143">#REF!</definedName>
    <definedName name="pro_budget_2006" localSheetId="144">#REF!</definedName>
    <definedName name="pro_budget_2006" localSheetId="145">#REF!</definedName>
    <definedName name="pro_budget_2006" localSheetId="37">'[1]CLM Programs'!#REF!</definedName>
    <definedName name="pro_budget_2006" localSheetId="66">#REF!</definedName>
    <definedName name="pro_budget_2006" localSheetId="70">#REF!</definedName>
    <definedName name="pro_budget_2006" localSheetId="83">#REF!</definedName>
    <definedName name="pro_budget_2006" localSheetId="90">#REF!</definedName>
    <definedName name="pro_budget_2006" localSheetId="99">#REF!</definedName>
    <definedName name="pro_budget_2006" localSheetId="106">'[1]CLM Programs'!#REF!</definedName>
    <definedName name="pro_budget_2006" localSheetId="107">'[1]CLM Programs'!#REF!</definedName>
    <definedName name="pro_budget_2006" localSheetId="108">'[1]CLM Programs'!#REF!</definedName>
    <definedName name="pro_budget_2006" localSheetId="7">'[1]CLM Programs'!#REF!</definedName>
    <definedName name="pro_budget_2006" localSheetId="110">'[1]CLM Programs'!#REF!</definedName>
    <definedName name="pro_budget_2006" localSheetId="41">#REF!</definedName>
    <definedName name="pro_budget_2006" localSheetId="43">#REF!</definedName>
    <definedName name="pro_budget_2006" localSheetId="86">'[1]CLM Programs'!#REF!</definedName>
    <definedName name="pro_budget_2006">'[1]CLM Programs'!#REF!</definedName>
    <definedName name="program_name" localSheetId="3">'[6]Title Page'!$B$33</definedName>
    <definedName name="program_name" localSheetId="113">'[7]Title Page'!$B$33</definedName>
    <definedName name="program_name" localSheetId="17">'[6]Title Page'!$B$33</definedName>
    <definedName name="program_name" localSheetId="114">'[7]Title Page'!$B$33</definedName>
    <definedName name="program_name" localSheetId="116">'[7]Title Page'!$B$33</definedName>
    <definedName name="program_name" localSheetId="128">'[7]Title Page'!$B$33</definedName>
    <definedName name="program_name" localSheetId="140">'[8]Title Page'!$B$33</definedName>
    <definedName name="program_name" localSheetId="141">'[8]Title Page'!$B$33</definedName>
    <definedName name="program_name" localSheetId="142">'[8]Title Page'!$B$33</definedName>
    <definedName name="program_name" localSheetId="9">'[7]Title Page'!$B$33</definedName>
    <definedName name="program_name" localSheetId="10">'[7]Title Page'!$B$33</definedName>
    <definedName name="program_name" localSheetId="8">'[7]Title Page'!$B$33</definedName>
    <definedName name="program_name" localSheetId="115">'[7]Title Page'!$B$33</definedName>
    <definedName name="program_name" localSheetId="27">'[6]Title Page'!$B$33</definedName>
    <definedName name="program_name" localSheetId="117">'[7]Title Page'!$B$33</definedName>
    <definedName name="program_name" localSheetId="28">'[6]Title Page'!$B$33</definedName>
    <definedName name="program_name" localSheetId="146">'[7]Title Page'!$B$33</definedName>
    <definedName name="program_name" localSheetId="147">'[7]Title Page'!$B$33</definedName>
    <definedName name="program_name" localSheetId="143">'[8]Title Page'!$B$33</definedName>
    <definedName name="program_name" localSheetId="144">'[8]Title Page'!$B$33</definedName>
    <definedName name="program_name" localSheetId="145">'[8]Title Page'!$B$33</definedName>
    <definedName name="program_name" localSheetId="7">'[7]Title Page'!$B$33</definedName>
    <definedName name="program_name" localSheetId="110">'[7]Title Page'!$B$33</definedName>
    <definedName name="program_name" localSheetId="12">'[6]Title Page'!$B$33</definedName>
    <definedName name="program_name" localSheetId="86">'[7]Title Page'!$B$33</definedName>
    <definedName name="program_name">'[7]Title Page'!$B$33</definedName>
    <definedName name="public_relation" localSheetId="64">#REF!</definedName>
    <definedName name="public_relation" localSheetId="73">#REF!</definedName>
    <definedName name="public_relation" localSheetId="81">#REF!</definedName>
    <definedName name="public_relation" localSheetId="84">#REF!</definedName>
    <definedName name="public_relation" localSheetId="91">#REF!</definedName>
    <definedName name="public_relation" localSheetId="94">#REF!</definedName>
    <definedName name="public_relation" localSheetId="113">#REF!</definedName>
    <definedName name="public_relation" localSheetId="114">#REF!</definedName>
    <definedName name="public_relation" localSheetId="116">#REF!</definedName>
    <definedName name="public_relation" localSheetId="128">#REF!</definedName>
    <definedName name="public_relation" localSheetId="140">#REF!</definedName>
    <definedName name="public_relation" localSheetId="141">#REF!</definedName>
    <definedName name="public_relation" localSheetId="142">#REF!</definedName>
    <definedName name="public_relation" localSheetId="51">#REF!</definedName>
    <definedName name="public_relation" localSheetId="49">#REF!</definedName>
    <definedName name="public_relation" localSheetId="53">#REF!</definedName>
    <definedName name="public_relation" localSheetId="63">#REF!</definedName>
    <definedName name="public_relation" localSheetId="72">#REF!</definedName>
    <definedName name="public_relation" localSheetId="79">#REF!</definedName>
    <definedName name="public_relation" localSheetId="9">#REF!</definedName>
    <definedName name="public_relation" localSheetId="10">#REF!</definedName>
    <definedName name="public_relation" localSheetId="8">#REF!</definedName>
    <definedName name="public_relation" localSheetId="74">#REF!</definedName>
    <definedName name="public_relation" localSheetId="82">#REF!</definedName>
    <definedName name="public_relation" localSheetId="92">#REF!</definedName>
    <definedName name="public_relation" localSheetId="95">#REF!</definedName>
    <definedName name="public_relation" localSheetId="115">#REF!</definedName>
    <definedName name="public_relation" localSheetId="117">#REF!</definedName>
    <definedName name="public_relation" localSheetId="146">#REF!</definedName>
    <definedName name="public_relation" localSheetId="147">#REF!</definedName>
    <definedName name="public_relation" localSheetId="143">#REF!</definedName>
    <definedName name="public_relation" localSheetId="144">#REF!</definedName>
    <definedName name="public_relation" localSheetId="145">#REF!</definedName>
    <definedName name="public_relation" localSheetId="66">#REF!</definedName>
    <definedName name="public_relation" localSheetId="70">#REF!</definedName>
    <definedName name="public_relation" localSheetId="83">#REF!</definedName>
    <definedName name="public_relation" localSheetId="90">#REF!</definedName>
    <definedName name="public_relation" localSheetId="99">#REF!</definedName>
    <definedName name="public_relation" localSheetId="7">#REF!</definedName>
    <definedName name="public_relation" localSheetId="110">#REF!</definedName>
    <definedName name="public_relation" localSheetId="41">#REF!</definedName>
    <definedName name="public_relation" localSheetId="43">#REF!</definedName>
    <definedName name="public_relation" localSheetId="86">#REF!</definedName>
    <definedName name="public_relation">#REF!</definedName>
    <definedName name="Resi_Dollars_per_kW" localSheetId="140">'[4]EB $'!#REF!</definedName>
    <definedName name="Resi_Dollars_per_kW" localSheetId="141">'[4]EB $'!#REF!</definedName>
    <definedName name="Resi_Dollars_per_kW" localSheetId="142">'[4]EB $'!#REF!</definedName>
    <definedName name="Resi_Dollars_per_kW" localSheetId="143">'[4]EB $'!#REF!</definedName>
    <definedName name="Resi_Dollars_per_kW" localSheetId="144">'[4]EB $'!#REF!</definedName>
    <definedName name="Resi_Dollars_per_kW" localSheetId="145">'[4]EB $'!#REF!</definedName>
    <definedName name="Resi_Dollars_per_kW">'[4]EB $'!#REF!</definedName>
    <definedName name="Resi_Dollars_Per_kWh" localSheetId="140">'[4]EB $'!#REF!</definedName>
    <definedName name="Resi_Dollars_Per_kWh" localSheetId="141">'[4]EB $'!#REF!</definedName>
    <definedName name="Resi_Dollars_Per_kWh" localSheetId="142">'[4]EB $'!#REF!</definedName>
    <definedName name="Resi_Dollars_Per_kWh" localSheetId="143">'[4]EB $'!#REF!</definedName>
    <definedName name="Resi_Dollars_Per_kWh" localSheetId="144">'[4]EB $'!#REF!</definedName>
    <definedName name="Resi_Dollars_Per_kWh" localSheetId="145">'[4]EB $'!#REF!</definedName>
    <definedName name="Resi_Dollars_Per_kWh">'[4]EB $'!#REF!</definedName>
    <definedName name="rkwhIII">#REF!</definedName>
    <definedName name="RORD">[9]ROR!$A$2:$O$201</definedName>
    <definedName name="rpytdgoal" localSheetId="113">#REF!</definedName>
    <definedName name="rpytdgoal" localSheetId="114">#REF!</definedName>
    <definedName name="rpytdgoal" localSheetId="116">#REF!</definedName>
    <definedName name="rpytdgoal" localSheetId="128">#REF!</definedName>
    <definedName name="rpytdgoal" localSheetId="140">#REF!</definedName>
    <definedName name="rpytdgoal" localSheetId="141">#REF!</definedName>
    <definedName name="rpytdgoal" localSheetId="142">#REF!</definedName>
    <definedName name="rpytdgoal" localSheetId="51">#REF!</definedName>
    <definedName name="rpytdgoal" localSheetId="115">#REF!</definedName>
    <definedName name="rpytdgoal" localSheetId="117">#REF!</definedName>
    <definedName name="rpytdgoal" localSheetId="146">#REF!</definedName>
    <definedName name="rpytdgoal" localSheetId="147">#REF!</definedName>
    <definedName name="rpytdgoal" localSheetId="143">#REF!</definedName>
    <definedName name="rpytdgoal" localSheetId="144">#REF!</definedName>
    <definedName name="rpytdgoal" localSheetId="145">#REF!</definedName>
    <definedName name="rpytdgoal" localSheetId="110">#REF!</definedName>
    <definedName name="rpytdgoal" localSheetId="86">#REF!</definedName>
    <definedName name="rpytdgoal">#REF!</definedName>
    <definedName name="rrytd" localSheetId="55">#REF!</definedName>
    <definedName name="rrytd" localSheetId="57">#REF!</definedName>
    <definedName name="rrytd" localSheetId="61">#REF!</definedName>
    <definedName name="rrytd" localSheetId="64">#REF!</definedName>
    <definedName name="rrytd" localSheetId="73">#REF!</definedName>
    <definedName name="rrytd" localSheetId="81">#REF!</definedName>
    <definedName name="rrytd" localSheetId="84">#REF!</definedName>
    <definedName name="rrytd" localSheetId="91">#REF!</definedName>
    <definedName name="rrytd" localSheetId="94">#REF!</definedName>
    <definedName name="rrytd" localSheetId="1">#REF!</definedName>
    <definedName name="rrytd" localSheetId="32">#REF!</definedName>
    <definedName name="rrytd" localSheetId="39">#REF!</definedName>
    <definedName name="rrytd" localSheetId="56">#REF!</definedName>
    <definedName name="rrytd" localSheetId="59">#REF!</definedName>
    <definedName name="rrytd" localSheetId="113">#REF!</definedName>
    <definedName name="rrytd" localSheetId="114">#REF!</definedName>
    <definedName name="rrytd" localSheetId="54">#REF!</definedName>
    <definedName name="rrytd" localSheetId="116">#REF!</definedName>
    <definedName name="rrytd" localSheetId="19">#REF!</definedName>
    <definedName name="rrytd" localSheetId="65">#REF!</definedName>
    <definedName name="rrytd" localSheetId="128">#REF!</definedName>
    <definedName name="rrytd" localSheetId="20">#REF!</definedName>
    <definedName name="rrytd" localSheetId="75">#REF!</definedName>
    <definedName name="rrytd" localSheetId="140">#REF!</definedName>
    <definedName name="rrytd" localSheetId="141">#REF!</definedName>
    <definedName name="rrytd" localSheetId="142">#REF!</definedName>
    <definedName name="rrytd" localSheetId="51">#REF!</definedName>
    <definedName name="rrytd" localSheetId="53">#REF!</definedName>
    <definedName name="rrytd" localSheetId="63">#REF!</definedName>
    <definedName name="rrytd" localSheetId="72">#REF!</definedName>
    <definedName name="rrytd" localSheetId="79">#REF!</definedName>
    <definedName name="rrytd" localSheetId="97">#REF!</definedName>
    <definedName name="rrytd" localSheetId="98">#REF!</definedName>
    <definedName name="rrytd" localSheetId="101">#REF!</definedName>
    <definedName name="rrytd" localSheetId="58">#REF!</definedName>
    <definedName name="rrytd" localSheetId="62">#REF!</definedName>
    <definedName name="rrytd" localSheetId="74">#REF!</definedName>
    <definedName name="rrytd" localSheetId="82">#REF!</definedName>
    <definedName name="rrytd" localSheetId="92">#REF!</definedName>
    <definedName name="rrytd" localSheetId="95">#REF!</definedName>
    <definedName name="rrytd" localSheetId="115">#REF!</definedName>
    <definedName name="rrytd" localSheetId="117">#REF!</definedName>
    <definedName name="rrytd" localSheetId="28">#REF!</definedName>
    <definedName name="rrytd" localSheetId="71">#REF!</definedName>
    <definedName name="rrytd" localSheetId="146">#REF!</definedName>
    <definedName name="rrytd" localSheetId="31">#REF!</definedName>
    <definedName name="rrytd" localSheetId="85">#REF!</definedName>
    <definedName name="rrytd" localSheetId="147">#REF!</definedName>
    <definedName name="rrytd" localSheetId="33">#REF!</definedName>
    <definedName name="rrytd" localSheetId="93">#REF!</definedName>
    <definedName name="rrytd" localSheetId="143">#REF!</definedName>
    <definedName name="rrytd" localSheetId="144">#REF!</definedName>
    <definedName name="rrytd" localSheetId="145">#REF!</definedName>
    <definedName name="rrytd" localSheetId="157">#REF!</definedName>
    <definedName name="rrytd" localSheetId="37">#REF!</definedName>
    <definedName name="rrytd" localSheetId="70">#REF!</definedName>
    <definedName name="rrytd" localSheetId="83">#REF!</definedName>
    <definedName name="rrytd" localSheetId="90">#REF!</definedName>
    <definedName name="rrytd" localSheetId="99">#REF!</definedName>
    <definedName name="rrytd" localSheetId="106">#REF!</definedName>
    <definedName name="rrytd" localSheetId="107">#REF!</definedName>
    <definedName name="rrytd" localSheetId="108">#REF!</definedName>
    <definedName name="rrytd" localSheetId="7">#REF!</definedName>
    <definedName name="rrytd" localSheetId="110">#REF!</definedName>
    <definedName name="rrytd" localSheetId="86">#REF!</definedName>
    <definedName name="rrytd" localSheetId="88">#REF!</definedName>
    <definedName name="rrytd" localSheetId="87">#REF!</definedName>
    <definedName name="rrytd" localSheetId="89">#REF!</definedName>
    <definedName name="rrytd">#REF!</definedName>
    <definedName name="rrytdgoal" localSheetId="113">#REF!</definedName>
    <definedName name="rrytdgoal" localSheetId="114">#REF!</definedName>
    <definedName name="rrytdgoal" localSheetId="116">#REF!</definedName>
    <definedName name="rrytdgoal" localSheetId="128">#REF!</definedName>
    <definedName name="rrytdgoal" localSheetId="140">#REF!</definedName>
    <definedName name="rrytdgoal" localSheetId="141">#REF!</definedName>
    <definedName name="rrytdgoal" localSheetId="142">#REF!</definedName>
    <definedName name="rrytdgoal" localSheetId="51">#REF!</definedName>
    <definedName name="rrytdgoal" localSheetId="115">#REF!</definedName>
    <definedName name="rrytdgoal" localSheetId="117">#REF!</definedName>
    <definedName name="rrytdgoal" localSheetId="146">#REF!</definedName>
    <definedName name="rrytdgoal" localSheetId="147">#REF!</definedName>
    <definedName name="rrytdgoal" localSheetId="143">#REF!</definedName>
    <definedName name="rrytdgoal" localSheetId="144">#REF!</definedName>
    <definedName name="rrytdgoal" localSheetId="145">#REF!</definedName>
    <definedName name="rrytdgoal" localSheetId="110">#REF!</definedName>
    <definedName name="rrytdgoal" localSheetId="86">#REF!</definedName>
    <definedName name="rrytdgoal">#REF!</definedName>
    <definedName name="sbytd" localSheetId="55">#REF!</definedName>
    <definedName name="sbytd" localSheetId="57">#REF!</definedName>
    <definedName name="sbytd" localSheetId="61">#REF!</definedName>
    <definedName name="sbytd" localSheetId="64">#REF!</definedName>
    <definedName name="sbytd" localSheetId="73">#REF!</definedName>
    <definedName name="sbytd" localSheetId="81">#REF!</definedName>
    <definedName name="sbytd" localSheetId="84">#REF!</definedName>
    <definedName name="sbytd" localSheetId="91">#REF!</definedName>
    <definedName name="sbytd" localSheetId="94">#REF!</definedName>
    <definedName name="sbytd" localSheetId="1">#REF!</definedName>
    <definedName name="sbytd" localSheetId="32">#REF!</definedName>
    <definedName name="sbytd" localSheetId="39">#REF!</definedName>
    <definedName name="sbytd" localSheetId="56">#REF!</definedName>
    <definedName name="sbytd" localSheetId="59">#REF!</definedName>
    <definedName name="sbytd" localSheetId="113">#REF!</definedName>
    <definedName name="sbytd" localSheetId="114">#REF!</definedName>
    <definedName name="sbytd" localSheetId="54">#REF!</definedName>
    <definedName name="sbytd" localSheetId="116">#REF!</definedName>
    <definedName name="sbytd" localSheetId="19">#REF!</definedName>
    <definedName name="sbytd" localSheetId="65">#REF!</definedName>
    <definedName name="sbytd" localSheetId="128">#REF!</definedName>
    <definedName name="sbytd" localSheetId="20">#REF!</definedName>
    <definedName name="sbytd" localSheetId="75">#REF!</definedName>
    <definedName name="sbytd" localSheetId="140">#REF!</definedName>
    <definedName name="sbytd" localSheetId="141">#REF!</definedName>
    <definedName name="sbytd" localSheetId="142">#REF!</definedName>
    <definedName name="sbytd" localSheetId="51">#REF!</definedName>
    <definedName name="sbytd" localSheetId="53">#REF!</definedName>
    <definedName name="sbytd" localSheetId="63">#REF!</definedName>
    <definedName name="sbytd" localSheetId="72">#REF!</definedName>
    <definedName name="sbytd" localSheetId="79">#REF!</definedName>
    <definedName name="sbytd" localSheetId="97">#REF!</definedName>
    <definedName name="sbytd" localSheetId="98">#REF!</definedName>
    <definedName name="sbytd" localSheetId="101">#REF!</definedName>
    <definedName name="sbytd" localSheetId="58">#REF!</definedName>
    <definedName name="sbytd" localSheetId="62">#REF!</definedName>
    <definedName name="sbytd" localSheetId="74">#REF!</definedName>
    <definedName name="sbytd" localSheetId="82">#REF!</definedName>
    <definedName name="sbytd" localSheetId="92">#REF!</definedName>
    <definedName name="sbytd" localSheetId="95">#REF!</definedName>
    <definedName name="sbytd" localSheetId="115">#REF!</definedName>
    <definedName name="sbytd" localSheetId="117">#REF!</definedName>
    <definedName name="sbytd" localSheetId="28">#REF!</definedName>
    <definedName name="sbytd" localSheetId="71">#REF!</definedName>
    <definedName name="sbytd" localSheetId="146">#REF!</definedName>
    <definedName name="sbytd" localSheetId="31">#REF!</definedName>
    <definedName name="sbytd" localSheetId="85">#REF!</definedName>
    <definedName name="sbytd" localSheetId="147">#REF!</definedName>
    <definedName name="sbytd" localSheetId="33">#REF!</definedName>
    <definedName name="sbytd" localSheetId="93">#REF!</definedName>
    <definedName name="sbytd" localSheetId="143">#REF!</definedName>
    <definedName name="sbytd" localSheetId="144">#REF!</definedName>
    <definedName name="sbytd" localSheetId="145">#REF!</definedName>
    <definedName name="sbytd" localSheetId="157">#REF!</definedName>
    <definedName name="sbytd" localSheetId="37">#REF!</definedName>
    <definedName name="sbytd" localSheetId="70">#REF!</definedName>
    <definedName name="sbytd" localSheetId="83">#REF!</definedName>
    <definedName name="sbytd" localSheetId="90">#REF!</definedName>
    <definedName name="sbytd" localSheetId="99">#REF!</definedName>
    <definedName name="sbytd" localSheetId="106">#REF!</definedName>
    <definedName name="sbytd" localSheetId="107">#REF!</definedName>
    <definedName name="sbytd" localSheetId="108">#REF!</definedName>
    <definedName name="sbytd" localSheetId="7">#REF!</definedName>
    <definedName name="sbytd" localSheetId="110">#REF!</definedName>
    <definedName name="sbytd" localSheetId="86">#REF!</definedName>
    <definedName name="sbytd" localSheetId="88">#REF!</definedName>
    <definedName name="sbytd" localSheetId="87">#REF!</definedName>
    <definedName name="sbytd" localSheetId="89">#REF!</definedName>
    <definedName name="sbytd">#REF!</definedName>
    <definedName name="sbytdgoal" localSheetId="113">#REF!</definedName>
    <definedName name="sbytdgoal" localSheetId="114">#REF!</definedName>
    <definedName name="sbytdgoal" localSheetId="116">#REF!</definedName>
    <definedName name="sbytdgoal" localSheetId="128">#REF!</definedName>
    <definedName name="sbytdgoal" localSheetId="140">#REF!</definedName>
    <definedName name="sbytdgoal" localSheetId="141">#REF!</definedName>
    <definedName name="sbytdgoal" localSheetId="142">#REF!</definedName>
    <definedName name="sbytdgoal" localSheetId="51">#REF!</definedName>
    <definedName name="sbytdgoal" localSheetId="115">#REF!</definedName>
    <definedName name="sbytdgoal" localSheetId="117">#REF!</definedName>
    <definedName name="sbytdgoal" localSheetId="146">#REF!</definedName>
    <definedName name="sbytdgoal" localSheetId="147">#REF!</definedName>
    <definedName name="sbytdgoal" localSheetId="143">#REF!</definedName>
    <definedName name="sbytdgoal" localSheetId="144">#REF!</definedName>
    <definedName name="sbytdgoal" localSheetId="145">#REF!</definedName>
    <definedName name="sbytdgoal" localSheetId="110">#REF!</definedName>
    <definedName name="sbytdgoal" localSheetId="86">#REF!</definedName>
    <definedName name="sbytdgoal">#REF!</definedName>
    <definedName name="sckwh" localSheetId="55">'10.1.15 2016 Summary Table B'!$M$68</definedName>
    <definedName name="sckwhII" localSheetId="57">'10.1.15 2017 Summary Table B'!$M$68</definedName>
    <definedName name="sckwhII" localSheetId="58">'Mar 16 2017 Summary Table B'!$M$68</definedName>
    <definedName name="sckwhIII" localSheetId="61">'10.1.15 2018 Summary Table B'!$M$68</definedName>
    <definedName name="sckwhIII" localSheetId="62">'Mar 16 2018 Summary Table B'!$M$68</definedName>
    <definedName name="sckwhIII">'2018 Summary Table B'!$M$68</definedName>
    <definedName name="srkwh" localSheetId="55">'10.1.15 2016 Summary Table B'!$M$64</definedName>
    <definedName name="srkwhII" localSheetId="57">'10.1.15 2017 Summary Table B'!$M$64</definedName>
    <definedName name="srkwhII" localSheetId="58">'Mar 16 2017 Summary Table B'!$M$64</definedName>
    <definedName name="srkwhIII" localSheetId="61">'10.1.15 2018 Summary Table B'!$M$64</definedName>
    <definedName name="srkwhIII" localSheetId="62">'Mar 16 2018 Summary Table B'!$M$64</definedName>
    <definedName name="srkwhIII">'2018 Summary Table B'!$M$64</definedName>
    <definedName name="tableA_Budget_3_8_05" localSheetId="64">#REF!</definedName>
    <definedName name="tableA_Budget_3_8_05" localSheetId="73">#REF!</definedName>
    <definedName name="tableA_Budget_3_8_05" localSheetId="81">#REF!</definedName>
    <definedName name="tableA_Budget_3_8_05" localSheetId="84">#REF!</definedName>
    <definedName name="tableA_Budget_3_8_05" localSheetId="91">#REF!</definedName>
    <definedName name="tableA_Budget_3_8_05" localSheetId="94">#REF!</definedName>
    <definedName name="tableA_Budget_3_8_05" localSheetId="113">'[1]CLM Programs'!#REF!</definedName>
    <definedName name="tableA_Budget_3_8_05" localSheetId="114">'[1]CLM Programs'!#REF!</definedName>
    <definedName name="tableA_Budget_3_8_05" localSheetId="116">'[1]CLM Programs'!#REF!</definedName>
    <definedName name="tableA_Budget_3_8_05" localSheetId="128">'[1]CLM Programs'!#REF!</definedName>
    <definedName name="tableA_Budget_3_8_05" localSheetId="140">#REF!</definedName>
    <definedName name="tableA_Budget_3_8_05" localSheetId="141">#REF!</definedName>
    <definedName name="tableA_Budget_3_8_05" localSheetId="142">#REF!</definedName>
    <definedName name="tableA_Budget_3_8_05" localSheetId="51">#REF!</definedName>
    <definedName name="tableA_Budget_3_8_05" localSheetId="49">#REF!</definedName>
    <definedName name="tableA_Budget_3_8_05" localSheetId="53">#REF!</definedName>
    <definedName name="tableA_Budget_3_8_05" localSheetId="63">#REF!</definedName>
    <definedName name="tableA_Budget_3_8_05" localSheetId="72">#REF!</definedName>
    <definedName name="tableA_Budget_3_8_05" localSheetId="79">#REF!</definedName>
    <definedName name="tableA_Budget_3_8_05" localSheetId="97">'[1]CLM Programs'!#REF!</definedName>
    <definedName name="tableA_Budget_3_8_05" localSheetId="98">'[1]CLM Programs'!#REF!</definedName>
    <definedName name="tableA_Budget_3_8_05" localSheetId="101">'[1]CLM Programs'!#REF!</definedName>
    <definedName name="tableA_Budget_3_8_05" localSheetId="9">'[1]CLM Programs'!#REF!</definedName>
    <definedName name="tableA_Budget_3_8_05" localSheetId="10">'[1]CLM Programs'!#REF!</definedName>
    <definedName name="tableA_Budget_3_8_05" localSheetId="8">'[1]CLM Programs'!#REF!</definedName>
    <definedName name="tableA_Budget_3_8_05" localSheetId="74">#REF!</definedName>
    <definedName name="tableA_Budget_3_8_05" localSheetId="82">#REF!</definedName>
    <definedName name="tableA_Budget_3_8_05" localSheetId="92">#REF!</definedName>
    <definedName name="tableA_Budget_3_8_05" localSheetId="95">#REF!</definedName>
    <definedName name="tableA_Budget_3_8_05" localSheetId="115">'[1]CLM Programs'!#REF!</definedName>
    <definedName name="tableA_Budget_3_8_05" localSheetId="117">'[1]CLM Programs'!#REF!</definedName>
    <definedName name="tableA_Budget_3_8_05" localSheetId="146">'[1]CLM Programs'!#REF!</definedName>
    <definedName name="tableA_Budget_3_8_05" localSheetId="147">'[1]CLM Programs'!#REF!</definedName>
    <definedName name="tableA_Budget_3_8_05" localSheetId="143">#REF!</definedName>
    <definedName name="tableA_Budget_3_8_05" localSheetId="144">#REF!</definedName>
    <definedName name="tableA_Budget_3_8_05" localSheetId="145">#REF!</definedName>
    <definedName name="tableA_Budget_3_8_05" localSheetId="37">'[1]CLM Programs'!#REF!</definedName>
    <definedName name="tableA_Budget_3_8_05" localSheetId="66">#REF!</definedName>
    <definedName name="tableA_Budget_3_8_05" localSheetId="70">#REF!</definedName>
    <definedName name="tableA_Budget_3_8_05" localSheetId="83">#REF!</definedName>
    <definedName name="tableA_Budget_3_8_05" localSheetId="90">#REF!</definedName>
    <definedName name="tableA_Budget_3_8_05" localSheetId="99">#REF!</definedName>
    <definedName name="tableA_Budget_3_8_05" localSheetId="106">'[1]CLM Programs'!#REF!</definedName>
    <definedName name="tableA_Budget_3_8_05" localSheetId="107">'[1]CLM Programs'!#REF!</definedName>
    <definedName name="tableA_Budget_3_8_05" localSheetId="108">'[1]CLM Programs'!#REF!</definedName>
    <definedName name="tableA_Budget_3_8_05" localSheetId="7">'[1]CLM Programs'!#REF!</definedName>
    <definedName name="tableA_Budget_3_8_05" localSheetId="110">'[1]CLM Programs'!#REF!</definedName>
    <definedName name="tableA_Budget_3_8_05" localSheetId="41">#REF!</definedName>
    <definedName name="tableA_Budget_3_8_05" localSheetId="43">#REF!</definedName>
    <definedName name="tableA_Budget_3_8_05" localSheetId="86">'[1]CLM Programs'!#REF!</definedName>
    <definedName name="tableA_Budget_3_8_05">'[1]CLM Programs'!#REF!</definedName>
    <definedName name="TableA_DPUC_changes" localSheetId="64">#REF!</definedName>
    <definedName name="TableA_DPUC_changes" localSheetId="73">#REF!</definedName>
    <definedName name="TableA_DPUC_changes" localSheetId="81">#REF!</definedName>
    <definedName name="TableA_DPUC_changes" localSheetId="84">#REF!</definedName>
    <definedName name="TableA_DPUC_changes" localSheetId="91">#REF!</definedName>
    <definedName name="TableA_DPUC_changes" localSheetId="94">#REF!</definedName>
    <definedName name="TableA_DPUC_changes" localSheetId="113">'[1]CLM Programs'!#REF!</definedName>
    <definedName name="TableA_DPUC_changes" localSheetId="114">'[1]CLM Programs'!#REF!</definedName>
    <definedName name="TableA_DPUC_changes" localSheetId="116">'[1]CLM Programs'!#REF!</definedName>
    <definedName name="TableA_DPUC_changes" localSheetId="128">'[1]CLM Programs'!#REF!</definedName>
    <definedName name="TableA_DPUC_changes" localSheetId="140">#REF!</definedName>
    <definedName name="TableA_DPUC_changes" localSheetId="141">#REF!</definedName>
    <definedName name="TableA_DPUC_changes" localSheetId="142">#REF!</definedName>
    <definedName name="TableA_DPUC_changes" localSheetId="51">#REF!</definedName>
    <definedName name="TableA_DPUC_changes" localSheetId="49">#REF!</definedName>
    <definedName name="TableA_DPUC_changes" localSheetId="53">#REF!</definedName>
    <definedName name="TableA_DPUC_changes" localSheetId="63">#REF!</definedName>
    <definedName name="TableA_DPUC_changes" localSheetId="72">#REF!</definedName>
    <definedName name="TableA_DPUC_changes" localSheetId="79">#REF!</definedName>
    <definedName name="TableA_DPUC_changes" localSheetId="97">'[1]CLM Programs'!#REF!</definedName>
    <definedName name="TableA_DPUC_changes" localSheetId="98">'[1]CLM Programs'!#REF!</definedName>
    <definedName name="TableA_DPUC_changes" localSheetId="101">'[1]CLM Programs'!#REF!</definedName>
    <definedName name="TableA_DPUC_changes" localSheetId="9">'[1]CLM Programs'!#REF!</definedName>
    <definedName name="TableA_DPUC_changes" localSheetId="10">'[1]CLM Programs'!#REF!</definedName>
    <definedName name="TableA_DPUC_changes" localSheetId="8">'[1]CLM Programs'!#REF!</definedName>
    <definedName name="TableA_DPUC_changes" localSheetId="74">#REF!</definedName>
    <definedName name="TableA_DPUC_changes" localSheetId="82">#REF!</definedName>
    <definedName name="TableA_DPUC_changes" localSheetId="92">#REF!</definedName>
    <definedName name="TableA_DPUC_changes" localSheetId="95">#REF!</definedName>
    <definedName name="TableA_DPUC_changes" localSheetId="115">'[1]CLM Programs'!#REF!</definedName>
    <definedName name="TableA_DPUC_changes" localSheetId="117">'[1]CLM Programs'!#REF!</definedName>
    <definedName name="TableA_DPUC_changes" localSheetId="146">'[1]CLM Programs'!#REF!</definedName>
    <definedName name="TableA_DPUC_changes" localSheetId="147">'[1]CLM Programs'!#REF!</definedName>
    <definedName name="TableA_DPUC_changes" localSheetId="143">#REF!</definedName>
    <definedName name="TableA_DPUC_changes" localSheetId="144">#REF!</definedName>
    <definedName name="TableA_DPUC_changes" localSheetId="145">#REF!</definedName>
    <definedName name="TableA_DPUC_changes" localSheetId="37">'[1]CLM Programs'!#REF!</definedName>
    <definedName name="TableA_DPUC_changes" localSheetId="66">#REF!</definedName>
    <definedName name="TableA_DPUC_changes" localSheetId="70">#REF!</definedName>
    <definedName name="TableA_DPUC_changes" localSheetId="83">#REF!</definedName>
    <definedName name="TableA_DPUC_changes" localSheetId="90">#REF!</definedName>
    <definedName name="TableA_DPUC_changes" localSheetId="99">#REF!</definedName>
    <definedName name="TableA_DPUC_changes" localSheetId="106">'[1]CLM Programs'!#REF!</definedName>
    <definedName name="TableA_DPUC_changes" localSheetId="107">'[1]CLM Programs'!#REF!</definedName>
    <definedName name="TableA_DPUC_changes" localSheetId="108">'[1]CLM Programs'!#REF!</definedName>
    <definedName name="TableA_DPUC_changes" localSheetId="7">'[1]CLM Programs'!#REF!</definedName>
    <definedName name="TableA_DPUC_changes" localSheetId="110">'[1]CLM Programs'!#REF!</definedName>
    <definedName name="TableA_DPUC_changes" localSheetId="41">#REF!</definedName>
    <definedName name="TableA_DPUC_changes" localSheetId="43">#REF!</definedName>
    <definedName name="TableA_DPUC_changes" localSheetId="86">'[1]CLM Programs'!#REF!</definedName>
    <definedName name="TableA_DPUC_changes">'[1]CLM Programs'!#REF!</definedName>
    <definedName name="TableA_DPUC_market_adj" localSheetId="64">#REF!</definedName>
    <definedName name="TableA_DPUC_market_adj" localSheetId="73">#REF!</definedName>
    <definedName name="TableA_DPUC_market_adj" localSheetId="81">#REF!</definedName>
    <definedName name="TableA_DPUC_market_adj" localSheetId="84">#REF!</definedName>
    <definedName name="TableA_DPUC_market_adj" localSheetId="91">#REF!</definedName>
    <definedName name="TableA_DPUC_market_adj" localSheetId="94">#REF!</definedName>
    <definedName name="TableA_DPUC_market_adj" localSheetId="113">'[1]CLM Programs'!#REF!</definedName>
    <definedName name="TableA_DPUC_market_adj" localSheetId="114">'[1]CLM Programs'!#REF!</definedName>
    <definedName name="TableA_DPUC_market_adj" localSheetId="116">'[1]CLM Programs'!#REF!</definedName>
    <definedName name="TableA_DPUC_market_adj" localSheetId="128">'[1]CLM Programs'!#REF!</definedName>
    <definedName name="TableA_DPUC_market_adj" localSheetId="140">#REF!</definedName>
    <definedName name="TableA_DPUC_market_adj" localSheetId="141">#REF!</definedName>
    <definedName name="TableA_DPUC_market_adj" localSheetId="142">#REF!</definedName>
    <definedName name="TableA_DPUC_market_adj" localSheetId="51">#REF!</definedName>
    <definedName name="TableA_DPUC_market_adj" localSheetId="49">#REF!</definedName>
    <definedName name="TableA_DPUC_market_adj" localSheetId="53">#REF!</definedName>
    <definedName name="TableA_DPUC_market_adj" localSheetId="63">#REF!</definedName>
    <definedName name="TableA_DPUC_market_adj" localSheetId="72">#REF!</definedName>
    <definedName name="TableA_DPUC_market_adj" localSheetId="79">#REF!</definedName>
    <definedName name="TableA_DPUC_market_adj" localSheetId="97">'[1]CLM Programs'!#REF!</definedName>
    <definedName name="TableA_DPUC_market_adj" localSheetId="98">'[1]CLM Programs'!#REF!</definedName>
    <definedName name="TableA_DPUC_market_adj" localSheetId="101">'[1]CLM Programs'!#REF!</definedName>
    <definedName name="TableA_DPUC_market_adj" localSheetId="9">'[1]CLM Programs'!#REF!</definedName>
    <definedName name="TableA_DPUC_market_adj" localSheetId="10">'[1]CLM Programs'!#REF!</definedName>
    <definedName name="TableA_DPUC_market_adj" localSheetId="8">'[1]CLM Programs'!#REF!</definedName>
    <definedName name="TableA_DPUC_market_adj" localSheetId="74">#REF!</definedName>
    <definedName name="TableA_DPUC_market_adj" localSheetId="82">#REF!</definedName>
    <definedName name="TableA_DPUC_market_adj" localSheetId="92">#REF!</definedName>
    <definedName name="TableA_DPUC_market_adj" localSheetId="95">#REF!</definedName>
    <definedName name="TableA_DPUC_market_adj" localSheetId="115">'[1]CLM Programs'!#REF!</definedName>
    <definedName name="TableA_DPUC_market_adj" localSheetId="117">'[1]CLM Programs'!#REF!</definedName>
    <definedName name="TableA_DPUC_market_adj" localSheetId="146">'[1]CLM Programs'!#REF!</definedName>
    <definedName name="TableA_DPUC_market_adj" localSheetId="147">'[1]CLM Programs'!#REF!</definedName>
    <definedName name="TableA_DPUC_market_adj" localSheetId="143">#REF!</definedName>
    <definedName name="TableA_DPUC_market_adj" localSheetId="144">#REF!</definedName>
    <definedName name="TableA_DPUC_market_adj" localSheetId="145">#REF!</definedName>
    <definedName name="TableA_DPUC_market_adj" localSheetId="37">'[1]CLM Programs'!#REF!</definedName>
    <definedName name="TableA_DPUC_market_adj" localSheetId="66">#REF!</definedName>
    <definedName name="TableA_DPUC_market_adj" localSheetId="70">#REF!</definedName>
    <definedName name="TableA_DPUC_market_adj" localSheetId="83">#REF!</definedName>
    <definedName name="TableA_DPUC_market_adj" localSheetId="90">#REF!</definedName>
    <definedName name="TableA_DPUC_market_adj" localSheetId="99">#REF!</definedName>
    <definedName name="TableA_DPUC_market_adj" localSheetId="106">'[1]CLM Programs'!#REF!</definedName>
    <definedName name="TableA_DPUC_market_adj" localSheetId="107">'[1]CLM Programs'!#REF!</definedName>
    <definedName name="TableA_DPUC_market_adj" localSheetId="108">'[1]CLM Programs'!#REF!</definedName>
    <definedName name="TableA_DPUC_market_adj" localSheetId="7">'[1]CLM Programs'!#REF!</definedName>
    <definedName name="TableA_DPUC_market_adj" localSheetId="110">'[1]CLM Programs'!#REF!</definedName>
    <definedName name="TableA_DPUC_market_adj" localSheetId="41">#REF!</definedName>
    <definedName name="TableA_DPUC_market_adj" localSheetId="43">#REF!</definedName>
    <definedName name="TableA_DPUC_market_adj" localSheetId="86">'[1]CLM Programs'!#REF!</definedName>
    <definedName name="TableA_DPUC_market_adj">'[1]CLM Programs'!#REF!</definedName>
    <definedName name="tableA_Note2Alloc1mil" localSheetId="64">#REF!</definedName>
    <definedName name="tableA_Note2Alloc1mil" localSheetId="73">#REF!</definedName>
    <definedName name="tableA_Note2Alloc1mil" localSheetId="81">#REF!</definedName>
    <definedName name="tableA_Note2Alloc1mil" localSheetId="84">#REF!</definedName>
    <definedName name="tableA_Note2Alloc1mil" localSheetId="91">#REF!</definedName>
    <definedName name="tableA_Note2Alloc1mil" localSheetId="94">#REF!</definedName>
    <definedName name="tableA_Note2Alloc1mil" localSheetId="113">'[1]CLM Programs'!#REF!</definedName>
    <definedName name="tableA_Note2Alloc1mil" localSheetId="114">'[1]CLM Programs'!#REF!</definedName>
    <definedName name="tableA_Note2Alloc1mil" localSheetId="116">'[1]CLM Programs'!#REF!</definedName>
    <definedName name="tableA_Note2Alloc1mil" localSheetId="128">'[1]CLM Programs'!#REF!</definedName>
    <definedName name="tableA_Note2Alloc1mil" localSheetId="140">#REF!</definedName>
    <definedName name="tableA_Note2Alloc1mil" localSheetId="141">#REF!</definedName>
    <definedName name="tableA_Note2Alloc1mil" localSheetId="142">#REF!</definedName>
    <definedName name="tableA_Note2Alloc1mil" localSheetId="51">#REF!</definedName>
    <definedName name="tableA_Note2Alloc1mil" localSheetId="49">#REF!</definedName>
    <definedName name="tableA_Note2Alloc1mil" localSheetId="53">#REF!</definedName>
    <definedName name="tableA_Note2Alloc1mil" localSheetId="63">#REF!</definedName>
    <definedName name="tableA_Note2Alloc1mil" localSheetId="72">#REF!</definedName>
    <definedName name="tableA_Note2Alloc1mil" localSheetId="79">#REF!</definedName>
    <definedName name="tableA_Note2Alloc1mil" localSheetId="97">'[1]CLM Programs'!#REF!</definedName>
    <definedName name="tableA_Note2Alloc1mil" localSheetId="98">'[1]CLM Programs'!#REF!</definedName>
    <definedName name="tableA_Note2Alloc1mil" localSheetId="101">'[1]CLM Programs'!#REF!</definedName>
    <definedName name="tableA_Note2Alloc1mil" localSheetId="9">'[1]CLM Programs'!#REF!</definedName>
    <definedName name="tableA_Note2Alloc1mil" localSheetId="10">'[1]CLM Programs'!#REF!</definedName>
    <definedName name="tableA_Note2Alloc1mil" localSheetId="8">'[1]CLM Programs'!#REF!</definedName>
    <definedName name="tableA_Note2Alloc1mil" localSheetId="74">#REF!</definedName>
    <definedName name="tableA_Note2Alloc1mil" localSheetId="82">#REF!</definedName>
    <definedName name="tableA_Note2Alloc1mil" localSheetId="92">#REF!</definedName>
    <definedName name="tableA_Note2Alloc1mil" localSheetId="95">#REF!</definedName>
    <definedName name="tableA_Note2Alloc1mil" localSheetId="115">'[1]CLM Programs'!#REF!</definedName>
    <definedName name="tableA_Note2Alloc1mil" localSheetId="117">'[1]CLM Programs'!#REF!</definedName>
    <definedName name="tableA_Note2Alloc1mil" localSheetId="146">'[1]CLM Programs'!#REF!</definedName>
    <definedName name="tableA_Note2Alloc1mil" localSheetId="147">'[1]CLM Programs'!#REF!</definedName>
    <definedName name="tableA_Note2Alloc1mil" localSheetId="143">#REF!</definedName>
    <definedName name="tableA_Note2Alloc1mil" localSheetId="144">#REF!</definedName>
    <definedName name="tableA_Note2Alloc1mil" localSheetId="145">#REF!</definedName>
    <definedName name="tableA_Note2Alloc1mil" localSheetId="37">'[1]CLM Programs'!#REF!</definedName>
    <definedName name="tableA_Note2Alloc1mil" localSheetId="66">#REF!</definedName>
    <definedName name="tableA_Note2Alloc1mil" localSheetId="70">#REF!</definedName>
    <definedName name="tableA_Note2Alloc1mil" localSheetId="83">#REF!</definedName>
    <definedName name="tableA_Note2Alloc1mil" localSheetId="90">#REF!</definedName>
    <definedName name="tableA_Note2Alloc1mil" localSheetId="99">#REF!</definedName>
    <definedName name="tableA_Note2Alloc1mil" localSheetId="106">'[1]CLM Programs'!#REF!</definedName>
    <definedName name="tableA_Note2Alloc1mil" localSheetId="107">'[1]CLM Programs'!#REF!</definedName>
    <definedName name="tableA_Note2Alloc1mil" localSheetId="108">'[1]CLM Programs'!#REF!</definedName>
    <definedName name="tableA_Note2Alloc1mil" localSheetId="7">'[1]CLM Programs'!#REF!</definedName>
    <definedName name="tableA_Note2Alloc1mil" localSheetId="110">'[1]CLM Programs'!#REF!</definedName>
    <definedName name="tableA_Note2Alloc1mil" localSheetId="41">#REF!</definedName>
    <definedName name="tableA_Note2Alloc1mil" localSheetId="43">#REF!</definedName>
    <definedName name="tableA_Note2Alloc1mil" localSheetId="86">'[1]CLM Programs'!#REF!</definedName>
    <definedName name="tableA_Note2Alloc1mil">'[1]CLM Programs'!#REF!</definedName>
    <definedName name="tableA1CLP2005" localSheetId="64">#REF!</definedName>
    <definedName name="tableA1CLP2005" localSheetId="73">#REF!</definedName>
    <definedName name="tableA1CLP2005" localSheetId="81">#REF!</definedName>
    <definedName name="tableA1CLP2005" localSheetId="84">#REF!</definedName>
    <definedName name="tableA1CLP2005" localSheetId="91">#REF!</definedName>
    <definedName name="tableA1CLP2005" localSheetId="94">#REF!</definedName>
    <definedName name="tableA1CLP2005" localSheetId="4">'2012 Combined Table A1 -Inc.Fun'!#REF!</definedName>
    <definedName name="tableA1CLP2005" localSheetId="0">'2012-2013 Combined Table A1 '!#REF!</definedName>
    <definedName name="tableA1CLP2005" localSheetId="1">'2013-2015 Combined Table A1'!#REF!</definedName>
    <definedName name="tableA1CLP2005" localSheetId="113">#REF!</definedName>
    <definedName name="tableA1CLP2005" localSheetId="114">#REF!</definedName>
    <definedName name="tableA1CLP2005" localSheetId="116">#REF!</definedName>
    <definedName name="tableA1CLP2005" localSheetId="128">#REF!</definedName>
    <definedName name="tableA1CLP2005" localSheetId="140">#REF!</definedName>
    <definedName name="tableA1CLP2005" localSheetId="141">#REF!</definedName>
    <definedName name="tableA1CLP2005" localSheetId="142">#REF!</definedName>
    <definedName name="tableA1CLP2005" localSheetId="51">#REF!</definedName>
    <definedName name="tableA1CLP2005" localSheetId="49">#REF!</definedName>
    <definedName name="tableA1CLP2005" localSheetId="53">#REF!</definedName>
    <definedName name="tableA1CLP2005" localSheetId="63">#REF!</definedName>
    <definedName name="tableA1CLP2005" localSheetId="72">#REF!</definedName>
    <definedName name="tableA1CLP2005" localSheetId="79">#REF!</definedName>
    <definedName name="tableA1CLP2005" localSheetId="2">'Combined Table A2'!#REF!</definedName>
    <definedName name="tableA1CLP2005" localSheetId="9">#REF!</definedName>
    <definedName name="tableA1CLP2005" localSheetId="10">#REF!</definedName>
    <definedName name="tableA1CLP2005" localSheetId="8">#REF!</definedName>
    <definedName name="tableA1CLP2005" localSheetId="74">#REF!</definedName>
    <definedName name="tableA1CLP2005" localSheetId="82">#REF!</definedName>
    <definedName name="tableA1CLP2005" localSheetId="92">#REF!</definedName>
    <definedName name="tableA1CLP2005" localSheetId="95">#REF!</definedName>
    <definedName name="tableA1CLP2005" localSheetId="115">#REF!</definedName>
    <definedName name="tableA1CLP2005" localSheetId="117">#REF!</definedName>
    <definedName name="tableA1CLP2005" localSheetId="146">#REF!</definedName>
    <definedName name="tableA1CLP2005" localSheetId="147">#REF!</definedName>
    <definedName name="tableA1CLP2005" localSheetId="143">#REF!</definedName>
    <definedName name="tableA1CLP2005" localSheetId="144">#REF!</definedName>
    <definedName name="tableA1CLP2005" localSheetId="145">#REF!</definedName>
    <definedName name="tableA1CLP2005" localSheetId="66">#REF!</definedName>
    <definedName name="tableA1CLP2005" localSheetId="70">#REF!</definedName>
    <definedName name="tableA1CLP2005" localSheetId="83">#REF!</definedName>
    <definedName name="tableA1CLP2005" localSheetId="90">#REF!</definedName>
    <definedName name="tableA1CLP2005" localSheetId="99">#REF!</definedName>
    <definedName name="tableA1CLP2005" localSheetId="7">#REF!</definedName>
    <definedName name="tableA1CLP2005" localSheetId="110">#REF!</definedName>
    <definedName name="tableA1CLP2005" localSheetId="11">'YGS Table A '!#REF!</definedName>
    <definedName name="tableA1CLP2005" localSheetId="41">#REF!</definedName>
    <definedName name="tableA1CLP2005" localSheetId="43">#REF!</definedName>
    <definedName name="tableA1CLP2005" localSheetId="86">#REF!</definedName>
    <definedName name="tableA1CLP2005" localSheetId="88">'YGS Table D1'!#REF!</definedName>
    <definedName name="tableA1CLP2005" localSheetId="87">'YGS Table D1 '!#REF!</definedName>
    <definedName name="tableA1CLP2005" localSheetId="89">'YGS Table D3'!#REF!</definedName>
    <definedName name="tableA1CLP2005">#REF!</definedName>
    <definedName name="tableA1type_of_service" localSheetId="64">#REF!</definedName>
    <definedName name="tableA1type_of_service" localSheetId="73">#REF!</definedName>
    <definedName name="tableA1type_of_service" localSheetId="81">#REF!</definedName>
    <definedName name="tableA1type_of_service" localSheetId="84">#REF!</definedName>
    <definedName name="tableA1type_of_service" localSheetId="91">#REF!</definedName>
    <definedName name="tableA1type_of_service" localSheetId="94">#REF!</definedName>
    <definedName name="tableA1type_of_service" localSheetId="4">'2012 Combined Table A1 -Inc.Fun'!$A$12:$A$29</definedName>
    <definedName name="tableA1type_of_service" localSheetId="0">'2012-2013 Combined Table A1 '!$A$12:$A$27</definedName>
    <definedName name="tableA1type_of_service" localSheetId="1">'2013-2015 Combined Table A1'!$A$12:$A$28</definedName>
    <definedName name="tableA1type_of_service" localSheetId="113">#REF!</definedName>
    <definedName name="tableA1type_of_service" localSheetId="114">#REF!</definedName>
    <definedName name="tableA1type_of_service" localSheetId="116">#REF!</definedName>
    <definedName name="tableA1type_of_service" localSheetId="128">#REF!</definedName>
    <definedName name="tableA1type_of_service" localSheetId="140">#REF!</definedName>
    <definedName name="tableA1type_of_service" localSheetId="141">#REF!</definedName>
    <definedName name="tableA1type_of_service" localSheetId="142">#REF!</definedName>
    <definedName name="tableA1type_of_service" localSheetId="51">#REF!</definedName>
    <definedName name="tableA1type_of_service" localSheetId="49">#REF!</definedName>
    <definedName name="tableA1type_of_service" localSheetId="53">#REF!</definedName>
    <definedName name="tableA1type_of_service" localSheetId="63">#REF!</definedName>
    <definedName name="tableA1type_of_service" localSheetId="72">#REF!</definedName>
    <definedName name="tableA1type_of_service" localSheetId="79">#REF!</definedName>
    <definedName name="tableA1type_of_service" localSheetId="2">'Combined Table A2'!#REF!</definedName>
    <definedName name="tableA1type_of_service" localSheetId="9">#REF!</definedName>
    <definedName name="tableA1type_of_service" localSheetId="10">#REF!</definedName>
    <definedName name="tableA1type_of_service" localSheetId="8">#REF!</definedName>
    <definedName name="tableA1type_of_service" localSheetId="74">#REF!</definedName>
    <definedName name="tableA1type_of_service" localSheetId="82">#REF!</definedName>
    <definedName name="tableA1type_of_service" localSheetId="92">#REF!</definedName>
    <definedName name="tableA1type_of_service" localSheetId="95">#REF!</definedName>
    <definedName name="tableA1type_of_service" localSheetId="115">#REF!</definedName>
    <definedName name="tableA1type_of_service" localSheetId="117">#REF!</definedName>
    <definedName name="tableA1type_of_service" localSheetId="146">#REF!</definedName>
    <definedName name="tableA1type_of_service" localSheetId="147">#REF!</definedName>
    <definedName name="tableA1type_of_service" localSheetId="143">#REF!</definedName>
    <definedName name="tableA1type_of_service" localSheetId="144">#REF!</definedName>
    <definedName name="tableA1type_of_service" localSheetId="145">#REF!</definedName>
    <definedName name="tableA1type_of_service" localSheetId="66">#REF!</definedName>
    <definedName name="tableA1type_of_service" localSheetId="70">#REF!</definedName>
    <definedName name="tableA1type_of_service" localSheetId="83">#REF!</definedName>
    <definedName name="tableA1type_of_service" localSheetId="90">#REF!</definedName>
    <definedName name="tableA1type_of_service" localSheetId="99">#REF!</definedName>
    <definedName name="tableA1type_of_service" localSheetId="7">#REF!</definedName>
    <definedName name="tableA1type_of_service" localSheetId="110">#REF!</definedName>
    <definedName name="tableA1type_of_service" localSheetId="11">'YGS Table A '!$A$12:$A$27</definedName>
    <definedName name="tableA1type_of_service" localSheetId="41">#REF!</definedName>
    <definedName name="tableA1type_of_service" localSheetId="43">#REF!</definedName>
    <definedName name="tableA1type_of_service" localSheetId="86">#REF!</definedName>
    <definedName name="tableA1type_of_service" localSheetId="88">'YGS Table D1'!$A$11:$A$26</definedName>
    <definedName name="tableA1type_of_service" localSheetId="87">'YGS Table D1 '!$A$11:$A$26</definedName>
    <definedName name="tableA1type_of_service" localSheetId="89">'YGS Table D3'!$A$11:$A$31</definedName>
    <definedName name="tableA1type_of_service">#REF!</definedName>
    <definedName name="tableA1UI2005" localSheetId="64">#REF!</definedName>
    <definedName name="tableA1UI2005" localSheetId="73">#REF!</definedName>
    <definedName name="tableA1UI2005" localSheetId="81">#REF!</definedName>
    <definedName name="tableA1UI2005" localSheetId="84">#REF!</definedName>
    <definedName name="tableA1UI2005" localSheetId="91">#REF!</definedName>
    <definedName name="tableA1UI2005" localSheetId="94">#REF!</definedName>
    <definedName name="tableA1UI2005" localSheetId="4">'2012 Combined Table A1 -Inc.Fun'!$C$12:$C$29</definedName>
    <definedName name="tableA1UI2005" localSheetId="0">'2012-2013 Combined Table A1 '!$C$12:$C$27</definedName>
    <definedName name="tableA1UI2005" localSheetId="1">'2013-2015 Combined Table A1'!#REF!</definedName>
    <definedName name="tableA1UI2005" localSheetId="113">#REF!</definedName>
    <definedName name="tableA1UI2005" localSheetId="114">#REF!</definedName>
    <definedName name="tableA1UI2005" localSheetId="116">#REF!</definedName>
    <definedName name="tableA1UI2005" localSheetId="128">#REF!</definedName>
    <definedName name="tableA1UI2005" localSheetId="140">#REF!</definedName>
    <definedName name="tableA1UI2005" localSheetId="141">#REF!</definedName>
    <definedName name="tableA1UI2005" localSheetId="142">#REF!</definedName>
    <definedName name="tableA1UI2005" localSheetId="51">#REF!</definedName>
    <definedName name="tableA1UI2005" localSheetId="49">#REF!</definedName>
    <definedName name="tableA1UI2005" localSheetId="53">#REF!</definedName>
    <definedName name="tableA1UI2005" localSheetId="63">#REF!</definedName>
    <definedName name="tableA1UI2005" localSheetId="72">#REF!</definedName>
    <definedName name="tableA1UI2005" localSheetId="79">#REF!</definedName>
    <definedName name="tableA1UI2005" localSheetId="2">'Combined Table A2'!#REF!</definedName>
    <definedName name="tableA1UI2005" localSheetId="9">#REF!</definedName>
    <definedName name="tableA1UI2005" localSheetId="10">#REF!</definedName>
    <definedName name="tableA1UI2005" localSheetId="8">#REF!</definedName>
    <definedName name="tableA1UI2005" localSheetId="74">#REF!</definedName>
    <definedName name="tableA1UI2005" localSheetId="82">#REF!</definedName>
    <definedName name="tableA1UI2005" localSheetId="92">#REF!</definedName>
    <definedName name="tableA1UI2005" localSheetId="95">#REF!</definedName>
    <definedName name="tableA1UI2005" localSheetId="115">#REF!</definedName>
    <definedName name="tableA1UI2005" localSheetId="117">#REF!</definedName>
    <definedName name="tableA1UI2005" localSheetId="146">#REF!</definedName>
    <definedName name="tableA1UI2005" localSheetId="147">#REF!</definedName>
    <definedName name="tableA1UI2005" localSheetId="143">#REF!</definedName>
    <definedName name="tableA1UI2005" localSheetId="144">#REF!</definedName>
    <definedName name="tableA1UI2005" localSheetId="145">#REF!</definedName>
    <definedName name="tableA1UI2005" localSheetId="66">#REF!</definedName>
    <definedName name="tableA1UI2005" localSheetId="70">#REF!</definedName>
    <definedName name="tableA1UI2005" localSheetId="83">#REF!</definedName>
    <definedName name="tableA1UI2005" localSheetId="90">#REF!</definedName>
    <definedName name="tableA1UI2005" localSheetId="99">#REF!</definedName>
    <definedName name="tableA1UI2005" localSheetId="7">#REF!</definedName>
    <definedName name="tableA1UI2005" localSheetId="110">#REF!</definedName>
    <definedName name="tableA1UI2005" localSheetId="11">'YGS Table A '!#REF!</definedName>
    <definedName name="tableA1UI2005" localSheetId="41">#REF!</definedName>
    <definedName name="tableA1UI2005" localSheetId="43">#REF!</definedName>
    <definedName name="tableA1UI2005" localSheetId="86">#REF!</definedName>
    <definedName name="tableA1UI2005" localSheetId="88">'YGS Table D1'!$H$11:$H$26</definedName>
    <definedName name="tableA1UI2005" localSheetId="87">'YGS Table D1 '!$H$11:$H$26</definedName>
    <definedName name="tableA1UI2005" localSheetId="89">'YGS Table D3'!$H$11:$H$31</definedName>
    <definedName name="tableA1UI2005">#REF!</definedName>
    <definedName name="tableACLP2003" localSheetId="113">#REF!</definedName>
    <definedName name="tableACLP2003" localSheetId="114">#REF!</definedName>
    <definedName name="tableACLP2003" localSheetId="116">#REF!</definedName>
    <definedName name="tableACLP2003" localSheetId="128">#REF!</definedName>
    <definedName name="tableACLP2003" localSheetId="140">#REF!</definedName>
    <definedName name="tableACLP2003" localSheetId="141">#REF!</definedName>
    <definedName name="tableACLP2003" localSheetId="142">#REF!</definedName>
    <definedName name="tableACLP2003" localSheetId="9">#REF!</definedName>
    <definedName name="tableACLP2003" localSheetId="10">#REF!</definedName>
    <definedName name="tableACLP2003" localSheetId="8">#REF!</definedName>
    <definedName name="tableACLP2003" localSheetId="115">#REF!</definedName>
    <definedName name="tableACLP2003" localSheetId="117">#REF!</definedName>
    <definedName name="tableACLP2003" localSheetId="146">#REF!</definedName>
    <definedName name="tableACLP2003" localSheetId="147">#REF!</definedName>
    <definedName name="tableACLP2003" localSheetId="143">#REF!</definedName>
    <definedName name="tableACLP2003" localSheetId="144">#REF!</definedName>
    <definedName name="tableACLP2003" localSheetId="145">#REF!</definedName>
    <definedName name="tableACLP2003" localSheetId="7">#REF!</definedName>
    <definedName name="tableACLP2003" localSheetId="110">#REF!</definedName>
    <definedName name="tableACLP2003" localSheetId="86">#REF!</definedName>
    <definedName name="tableACLP2003">#REF!</definedName>
    <definedName name="tableACLP2005" localSheetId="113">#REF!</definedName>
    <definedName name="tableACLP2005" localSheetId="114">#REF!</definedName>
    <definedName name="tableACLP2005" localSheetId="116">#REF!</definedName>
    <definedName name="tableACLP2005" localSheetId="128">#REF!</definedName>
    <definedName name="tableACLP2005" localSheetId="140">#REF!</definedName>
    <definedName name="tableACLP2005" localSheetId="141">#REF!</definedName>
    <definedName name="tableACLP2005" localSheetId="142">#REF!</definedName>
    <definedName name="tableACLP2005" localSheetId="9">#REF!</definedName>
    <definedName name="tableACLP2005" localSheetId="10">#REF!</definedName>
    <definedName name="tableACLP2005" localSheetId="8">#REF!</definedName>
    <definedName name="tableACLP2005" localSheetId="115">#REF!</definedName>
    <definedName name="tableACLP2005" localSheetId="117">#REF!</definedName>
    <definedName name="tableACLP2005" localSheetId="146">#REF!</definedName>
    <definedName name="tableACLP2005" localSheetId="147">#REF!</definedName>
    <definedName name="tableACLP2005" localSheetId="143">#REF!</definedName>
    <definedName name="tableACLP2005" localSheetId="144">#REF!</definedName>
    <definedName name="tableACLP2005" localSheetId="145">#REF!</definedName>
    <definedName name="tableACLP2005" localSheetId="7">#REF!</definedName>
    <definedName name="tableACLP2005" localSheetId="110">#REF!</definedName>
    <definedName name="tableACLP2005" localSheetId="86">#REF!</definedName>
    <definedName name="tableACLP2005">#REF!</definedName>
    <definedName name="tableACLPor2004" localSheetId="113">#REF!</definedName>
    <definedName name="tableACLPor2004" localSheetId="114">#REF!</definedName>
    <definedName name="tableACLPor2004" localSheetId="116">#REF!</definedName>
    <definedName name="tableACLPor2004" localSheetId="128">#REF!</definedName>
    <definedName name="tableACLPor2004" localSheetId="140">#REF!</definedName>
    <definedName name="tableACLPor2004" localSheetId="141">#REF!</definedName>
    <definedName name="tableACLPor2004" localSheetId="142">#REF!</definedName>
    <definedName name="tableACLPor2004" localSheetId="9">#REF!</definedName>
    <definedName name="tableACLPor2004" localSheetId="10">#REF!</definedName>
    <definedName name="tableACLPor2004" localSheetId="8">#REF!</definedName>
    <definedName name="tableACLPor2004" localSheetId="115">#REF!</definedName>
    <definedName name="tableACLPor2004" localSheetId="117">#REF!</definedName>
    <definedName name="tableACLPor2004" localSheetId="146">#REF!</definedName>
    <definedName name="tableACLPor2004" localSheetId="147">#REF!</definedName>
    <definedName name="tableACLPor2004" localSheetId="143">#REF!</definedName>
    <definedName name="tableACLPor2004" localSheetId="144">#REF!</definedName>
    <definedName name="tableACLPor2004" localSheetId="145">#REF!</definedName>
    <definedName name="tableACLPor2004" localSheetId="7">#REF!</definedName>
    <definedName name="tableACLPor2004" localSheetId="110">#REF!</definedName>
    <definedName name="tableACLPor2004" localSheetId="86">#REF!</definedName>
    <definedName name="tableACLPor2004">#REF!</definedName>
    <definedName name="tableACLPrev2004" localSheetId="113">#REF!</definedName>
    <definedName name="tableACLPrev2004" localSheetId="114">#REF!</definedName>
    <definedName name="tableACLPrev2004" localSheetId="116">#REF!</definedName>
    <definedName name="tableACLPrev2004" localSheetId="128">#REF!</definedName>
    <definedName name="tableACLPrev2004" localSheetId="140">#REF!</definedName>
    <definedName name="tableACLPrev2004" localSheetId="141">#REF!</definedName>
    <definedName name="tableACLPrev2004" localSheetId="142">#REF!</definedName>
    <definedName name="tableACLPrev2004" localSheetId="9">#REF!</definedName>
    <definedName name="tableACLPrev2004" localSheetId="10">#REF!</definedName>
    <definedName name="tableACLPrev2004" localSheetId="8">#REF!</definedName>
    <definedName name="tableACLPrev2004" localSheetId="115">#REF!</definedName>
    <definedName name="tableACLPrev2004" localSheetId="117">#REF!</definedName>
    <definedName name="tableACLPrev2004" localSheetId="146">#REF!</definedName>
    <definedName name="tableACLPrev2004" localSheetId="147">#REF!</definedName>
    <definedName name="tableACLPrev2004" localSheetId="143">#REF!</definedName>
    <definedName name="tableACLPrev2004" localSheetId="144">#REF!</definedName>
    <definedName name="tableACLPrev2004" localSheetId="145">#REF!</definedName>
    <definedName name="tableACLPrev2004" localSheetId="7">#REF!</definedName>
    <definedName name="tableACLPrev2004" localSheetId="110">#REF!</definedName>
    <definedName name="tableACLPrev2004" localSheetId="86">#REF!</definedName>
    <definedName name="tableACLPrev2004">#REF!</definedName>
    <definedName name="tableAtype_of_service" localSheetId="113">#REF!</definedName>
    <definedName name="tableAtype_of_service" localSheetId="114">#REF!</definedName>
    <definedName name="tableAtype_of_service" localSheetId="116">#REF!</definedName>
    <definedName name="tableAtype_of_service" localSheetId="128">#REF!</definedName>
    <definedName name="tableAtype_of_service" localSheetId="140">#REF!</definedName>
    <definedName name="tableAtype_of_service" localSheetId="141">#REF!</definedName>
    <definedName name="tableAtype_of_service" localSheetId="142">#REF!</definedName>
    <definedName name="tableAtype_of_service" localSheetId="9">#REF!</definedName>
    <definedName name="tableAtype_of_service" localSheetId="10">#REF!</definedName>
    <definedName name="tableAtype_of_service" localSheetId="8">#REF!</definedName>
    <definedName name="tableAtype_of_service" localSheetId="115">#REF!</definedName>
    <definedName name="tableAtype_of_service" localSheetId="117">#REF!</definedName>
    <definedName name="tableAtype_of_service" localSheetId="146">#REF!</definedName>
    <definedName name="tableAtype_of_service" localSheetId="147">#REF!</definedName>
    <definedName name="tableAtype_of_service" localSheetId="143">#REF!</definedName>
    <definedName name="tableAtype_of_service" localSheetId="144">#REF!</definedName>
    <definedName name="tableAtype_of_service" localSheetId="145">#REF!</definedName>
    <definedName name="tableAtype_of_service" localSheetId="7">#REF!</definedName>
    <definedName name="tableAtype_of_service" localSheetId="110">#REF!</definedName>
    <definedName name="tableAtype_of_service" localSheetId="86">#REF!</definedName>
    <definedName name="tableAtype_of_service">#REF!</definedName>
    <definedName name="tableb_annual_saving" localSheetId="64">#REF!</definedName>
    <definedName name="tableb_annual_saving" localSheetId="73">#REF!</definedName>
    <definedName name="tableb_annual_saving" localSheetId="81">#REF!</definedName>
    <definedName name="tableb_annual_saving" localSheetId="84">#REF!</definedName>
    <definedName name="tableb_annual_saving" localSheetId="91">#REF!</definedName>
    <definedName name="tableb_annual_saving" localSheetId="94">#REF!</definedName>
    <definedName name="tableb_annual_saving" localSheetId="140">#REF!</definedName>
    <definedName name="tableb_annual_saving" localSheetId="141">#REF!</definedName>
    <definedName name="tableb_annual_saving" localSheetId="142">#REF!</definedName>
    <definedName name="tableb_annual_saving" localSheetId="51">#REF!</definedName>
    <definedName name="tableb_annual_saving" localSheetId="49">#REF!</definedName>
    <definedName name="tableb_annual_saving" localSheetId="53">#REF!</definedName>
    <definedName name="tableb_annual_saving" localSheetId="63">#REF!</definedName>
    <definedName name="tableb_annual_saving" localSheetId="72">#REF!</definedName>
    <definedName name="tableb_annual_saving" localSheetId="79">#REF!</definedName>
    <definedName name="tableb_annual_saving" localSheetId="74">#REF!</definedName>
    <definedName name="tableb_annual_saving" localSheetId="82">#REF!</definedName>
    <definedName name="tableb_annual_saving" localSheetId="92">#REF!</definedName>
    <definedName name="tableb_annual_saving" localSheetId="95">#REF!</definedName>
    <definedName name="tableb_annual_saving" localSheetId="143">#REF!</definedName>
    <definedName name="tableb_annual_saving" localSheetId="144">#REF!</definedName>
    <definedName name="tableb_annual_saving" localSheetId="145">#REF!</definedName>
    <definedName name="tableb_annual_saving" localSheetId="66">#REF!</definedName>
    <definedName name="tableb_annual_saving" localSheetId="70">#REF!</definedName>
    <definedName name="tableb_annual_saving" localSheetId="83">#REF!</definedName>
    <definedName name="tableb_annual_saving" localSheetId="90">#REF!</definedName>
    <definedName name="tableb_annual_saving" localSheetId="99">#REF!</definedName>
    <definedName name="tableb_annual_saving" localSheetId="41">#REF!</definedName>
    <definedName name="tableb_annual_saving" localSheetId="43">#REF!</definedName>
    <definedName name="tableb_annual_saving">#REF!</definedName>
    <definedName name="tableb_life_saving" localSheetId="64">#REF!</definedName>
    <definedName name="tableb_life_saving" localSheetId="73">#REF!</definedName>
    <definedName name="tableb_life_saving" localSheetId="81">#REF!</definedName>
    <definedName name="tableb_life_saving" localSheetId="84">#REF!</definedName>
    <definedName name="tableb_life_saving" localSheetId="91">#REF!</definedName>
    <definedName name="tableb_life_saving" localSheetId="94">#REF!</definedName>
    <definedName name="tableb_life_saving" localSheetId="140">#REF!</definedName>
    <definedName name="tableb_life_saving" localSheetId="141">#REF!</definedName>
    <definedName name="tableb_life_saving" localSheetId="142">#REF!</definedName>
    <definedName name="tableb_life_saving" localSheetId="51">#REF!</definedName>
    <definedName name="tableb_life_saving" localSheetId="49">#REF!</definedName>
    <definedName name="tableb_life_saving" localSheetId="53">#REF!</definedName>
    <definedName name="tableb_life_saving" localSheetId="63">#REF!</definedName>
    <definedName name="tableb_life_saving" localSheetId="72">#REF!</definedName>
    <definedName name="tableb_life_saving" localSheetId="79">#REF!</definedName>
    <definedName name="tableb_life_saving" localSheetId="74">#REF!</definedName>
    <definedName name="tableb_life_saving" localSheetId="82">#REF!</definedName>
    <definedName name="tableb_life_saving" localSheetId="92">#REF!</definedName>
    <definedName name="tableb_life_saving" localSheetId="95">#REF!</definedName>
    <definedName name="tableb_life_saving" localSheetId="143">#REF!</definedName>
    <definedName name="tableb_life_saving" localSheetId="144">#REF!</definedName>
    <definedName name="tableb_life_saving" localSheetId="145">#REF!</definedName>
    <definedName name="tableb_life_saving" localSheetId="66">#REF!</definedName>
    <definedName name="tableb_life_saving" localSheetId="70">#REF!</definedName>
    <definedName name="tableb_life_saving" localSheetId="83">#REF!</definedName>
    <definedName name="tableb_life_saving" localSheetId="90">#REF!</definedName>
    <definedName name="tableb_life_saving" localSheetId="99">#REF!</definedName>
    <definedName name="tableb_life_saving" localSheetId="41">#REF!</definedName>
    <definedName name="tableb_life_saving" localSheetId="43">#REF!</definedName>
    <definedName name="tableb_life_saving">#REF!</definedName>
    <definedName name="tableb_utility_costs" localSheetId="55">#REF!</definedName>
    <definedName name="tableb_utility_costs" localSheetId="57">#REF!</definedName>
    <definedName name="tableb_utility_costs" localSheetId="61">#REF!</definedName>
    <definedName name="tableb_utility_costs" localSheetId="64">#REF!</definedName>
    <definedName name="tableb_utility_costs" localSheetId="73">#REF!</definedName>
    <definedName name="tableb_utility_costs" localSheetId="81">#REF!</definedName>
    <definedName name="tableb_utility_costs" localSheetId="84">#REF!</definedName>
    <definedName name="tableb_utility_costs" localSheetId="91">#REF!</definedName>
    <definedName name="tableb_utility_costs" localSheetId="94">#REF!</definedName>
    <definedName name="tableb_utility_costs" localSheetId="1">#REF!</definedName>
    <definedName name="tableb_utility_costs" localSheetId="32">#REF!</definedName>
    <definedName name="tableb_utility_costs" localSheetId="39">#REF!</definedName>
    <definedName name="tableb_utility_costs" localSheetId="56">#REF!</definedName>
    <definedName name="tableb_utility_costs" localSheetId="59">#REF!</definedName>
    <definedName name="tableb_utility_costs" localSheetId="113">'[10]CLP Table B - 2009 Comparison'!#REF!</definedName>
    <definedName name="tableb_utility_costs" localSheetId="114">'[10]CLP Table B - 2009 Comparison'!#REF!</definedName>
    <definedName name="tableb_utility_costs" localSheetId="54">#REF!</definedName>
    <definedName name="tableb_utility_costs" localSheetId="116">'[10]CLP Table B - 2009 Comparison'!#REF!</definedName>
    <definedName name="tableb_utility_costs" localSheetId="19">#REF!</definedName>
    <definedName name="tableb_utility_costs" localSheetId="65">#REF!</definedName>
    <definedName name="tableb_utility_costs" localSheetId="128">'[10]CLP Table B - 2009 Comparison'!#REF!</definedName>
    <definedName name="tableb_utility_costs" localSheetId="20">#REF!</definedName>
    <definedName name="tableb_utility_costs" localSheetId="75">#REF!</definedName>
    <definedName name="tableb_utility_costs" localSheetId="140">#REF!</definedName>
    <definedName name="tableb_utility_costs" localSheetId="141">#REF!</definedName>
    <definedName name="tableb_utility_costs" localSheetId="142">#REF!</definedName>
    <definedName name="tableb_utility_costs" localSheetId="51">#REF!</definedName>
    <definedName name="tableb_utility_costs" localSheetId="49">#REF!</definedName>
    <definedName name="tableb_utility_costs" localSheetId="53">#REF!</definedName>
    <definedName name="tableb_utility_costs" localSheetId="63">#REF!</definedName>
    <definedName name="tableb_utility_costs" localSheetId="72">#REF!</definedName>
    <definedName name="tableb_utility_costs" localSheetId="79">#REF!</definedName>
    <definedName name="tableb_utility_costs" localSheetId="97">'[10]CLP Table B - 2009 Comparison'!#REF!</definedName>
    <definedName name="tableb_utility_costs" localSheetId="98">'[10]CLP Table B - 2009 Comparison'!#REF!</definedName>
    <definedName name="tableb_utility_costs" localSheetId="101">'[10]CLP Table B - 2009 Comparison'!#REF!</definedName>
    <definedName name="tableb_utility_costs" localSheetId="9">'[10]CLP Table B - 2009 Comparison'!#REF!</definedName>
    <definedName name="tableb_utility_costs" localSheetId="10">'[10]CLP Table B - 2009 Comparison'!#REF!</definedName>
    <definedName name="tableb_utility_costs" localSheetId="8">'[10]CLP Table B - 2009 Comparison'!#REF!</definedName>
    <definedName name="tableb_utility_costs" localSheetId="58">#REF!</definedName>
    <definedName name="tableb_utility_costs" localSheetId="62">#REF!</definedName>
    <definedName name="tableb_utility_costs" localSheetId="74">#REF!</definedName>
    <definedName name="tableb_utility_costs" localSheetId="82">#REF!</definedName>
    <definedName name="tableb_utility_costs" localSheetId="92">#REF!</definedName>
    <definedName name="tableb_utility_costs" localSheetId="95">#REF!</definedName>
    <definedName name="tableb_utility_costs" localSheetId="115">'[10]CLP Table B - 2009 Comparison'!#REF!</definedName>
    <definedName name="tableb_utility_costs" localSheetId="117">'[10]CLP Table B - 2009 Comparison'!#REF!</definedName>
    <definedName name="tableb_utility_costs" localSheetId="28">#REF!</definedName>
    <definedName name="tableb_utility_costs" localSheetId="71">#REF!</definedName>
    <definedName name="tableb_utility_costs" localSheetId="146">'[10]CLP Table B - 2009 Comparison'!#REF!</definedName>
    <definedName name="tableb_utility_costs" localSheetId="31">#REF!</definedName>
    <definedName name="tableb_utility_costs" localSheetId="85">#REF!</definedName>
    <definedName name="tableb_utility_costs" localSheetId="147">'[10]CLP Table B - 2009 Comparison'!#REF!</definedName>
    <definedName name="tableb_utility_costs" localSheetId="33">#REF!</definedName>
    <definedName name="tableb_utility_costs" localSheetId="93">#REF!</definedName>
    <definedName name="tableb_utility_costs" localSheetId="143">#REF!</definedName>
    <definedName name="tableb_utility_costs" localSheetId="144">#REF!</definedName>
    <definedName name="tableb_utility_costs" localSheetId="145">#REF!</definedName>
    <definedName name="tableb_utility_costs" localSheetId="157">#REF!</definedName>
    <definedName name="tableb_utility_costs" localSheetId="37">'[10]CLP Table B - 2009 Comparison'!#REF!</definedName>
    <definedName name="tableb_utility_costs" localSheetId="66">#REF!</definedName>
    <definedName name="tableb_utility_costs" localSheetId="70">#REF!</definedName>
    <definedName name="tableb_utility_costs" localSheetId="83">#REF!</definedName>
    <definedName name="tableb_utility_costs" localSheetId="90">#REF!</definedName>
    <definedName name="tableb_utility_costs" localSheetId="99">#REF!</definedName>
    <definedName name="tableb_utility_costs" localSheetId="106">'[10]CLP Table B - 2009 Comparison'!#REF!</definedName>
    <definedName name="tableb_utility_costs" localSheetId="107">'[10]CLP Table B - 2009 Comparison'!#REF!</definedName>
    <definedName name="tableb_utility_costs" localSheetId="108">'[10]CLP Table B - 2009 Comparison'!#REF!</definedName>
    <definedName name="tableb_utility_costs" localSheetId="7">'[10]CLP Table B - 2009 Comparison'!#REF!</definedName>
    <definedName name="tableb_utility_costs" localSheetId="110">'[10]CLP Table B - 2009 Comparison'!#REF!</definedName>
    <definedName name="tableb_utility_costs" localSheetId="41">#REF!</definedName>
    <definedName name="tableb_utility_costs" localSheetId="43">#REF!</definedName>
    <definedName name="tableb_utility_costs" localSheetId="86">'[10]CLP Table B - 2009 Comparison'!#REF!</definedName>
    <definedName name="tableb_utility_costs" localSheetId="88">#REF!</definedName>
    <definedName name="tableb_utility_costs" localSheetId="87">#REF!</definedName>
    <definedName name="tableb_utility_costs" localSheetId="89">#REF!</definedName>
    <definedName name="tableb_utility_costs">'[10]CLP Table B - 2009 Comparison'!#REF!</definedName>
    <definedName name="tableBkw_inpact" localSheetId="64">#REF!</definedName>
    <definedName name="tableBkw_inpact" localSheetId="73">#REF!</definedName>
    <definedName name="tableBkw_inpact" localSheetId="81">#REF!</definedName>
    <definedName name="tableBkw_inpact" localSheetId="84">#REF!</definedName>
    <definedName name="tableBkw_inpact" localSheetId="91">#REF!</definedName>
    <definedName name="tableBkw_inpact" localSheetId="94">#REF!</definedName>
    <definedName name="tableBkw_inpact" localSheetId="140">#REF!</definedName>
    <definedName name="tableBkw_inpact" localSheetId="141">#REF!</definedName>
    <definedName name="tableBkw_inpact" localSheetId="142">#REF!</definedName>
    <definedName name="tableBkw_inpact" localSheetId="51">#REF!</definedName>
    <definedName name="tableBkw_inpact" localSheetId="49">#REF!</definedName>
    <definedName name="tableBkw_inpact" localSheetId="53">#REF!</definedName>
    <definedName name="tableBkw_inpact" localSheetId="63">#REF!</definedName>
    <definedName name="tableBkw_inpact" localSheetId="72">#REF!</definedName>
    <definedName name="tableBkw_inpact" localSheetId="79">#REF!</definedName>
    <definedName name="tableBkw_inpact" localSheetId="74">#REF!</definedName>
    <definedName name="tableBkw_inpact" localSheetId="82">#REF!</definedName>
    <definedName name="tableBkw_inpact" localSheetId="92">#REF!</definedName>
    <definedName name="tableBkw_inpact" localSheetId="95">#REF!</definedName>
    <definedName name="tableBkw_inpact" localSheetId="143">#REF!</definedName>
    <definedName name="tableBkw_inpact" localSheetId="144">#REF!</definedName>
    <definedName name="tableBkw_inpact" localSheetId="145">#REF!</definedName>
    <definedName name="tableBkw_inpact" localSheetId="66">#REF!</definedName>
    <definedName name="tableBkw_inpact" localSheetId="70">#REF!</definedName>
    <definedName name="tableBkw_inpact" localSheetId="83">#REF!</definedName>
    <definedName name="tableBkw_inpact" localSheetId="90">#REF!</definedName>
    <definedName name="tableBkw_inpact" localSheetId="99">#REF!</definedName>
    <definedName name="tableBkw_inpact" localSheetId="41">#REF!</definedName>
    <definedName name="tableBkw_inpact" localSheetId="43">#REF!</definedName>
    <definedName name="tableBkw_inpact">#REF!</definedName>
    <definedName name="tableBtype_of_service" localSheetId="64">#REF!</definedName>
    <definedName name="tableBtype_of_service" localSheetId="73">#REF!</definedName>
    <definedName name="tableBtype_of_service" localSheetId="81">#REF!</definedName>
    <definedName name="tableBtype_of_service" localSheetId="84">#REF!</definedName>
    <definedName name="tableBtype_of_service" localSheetId="91">#REF!</definedName>
    <definedName name="tableBtype_of_service" localSheetId="94">#REF!</definedName>
    <definedName name="tableBtype_of_service" localSheetId="140">#REF!</definedName>
    <definedName name="tableBtype_of_service" localSheetId="141">#REF!</definedName>
    <definedName name="tableBtype_of_service" localSheetId="142">#REF!</definedName>
    <definedName name="tableBtype_of_service" localSheetId="51">#REF!</definedName>
    <definedName name="tableBtype_of_service" localSheetId="49">#REF!</definedName>
    <definedName name="tableBtype_of_service" localSheetId="53">#REF!</definedName>
    <definedName name="tableBtype_of_service" localSheetId="63">#REF!</definedName>
    <definedName name="tableBtype_of_service" localSheetId="72">#REF!</definedName>
    <definedName name="tableBtype_of_service" localSheetId="79">#REF!</definedName>
    <definedName name="tableBtype_of_service" localSheetId="74">#REF!</definedName>
    <definedName name="tableBtype_of_service" localSheetId="82">#REF!</definedName>
    <definedName name="tableBtype_of_service" localSheetId="92">#REF!</definedName>
    <definedName name="tableBtype_of_service" localSheetId="95">#REF!</definedName>
    <definedName name="tableBtype_of_service" localSheetId="143">#REF!</definedName>
    <definedName name="tableBtype_of_service" localSheetId="144">#REF!</definedName>
    <definedName name="tableBtype_of_service" localSheetId="145">#REF!</definedName>
    <definedName name="tableBtype_of_service" localSheetId="66">#REF!</definedName>
    <definedName name="tableBtype_of_service" localSheetId="70">#REF!</definedName>
    <definedName name="tableBtype_of_service" localSheetId="83">#REF!</definedName>
    <definedName name="tableBtype_of_service" localSheetId="90">#REF!</definedName>
    <definedName name="tableBtype_of_service" localSheetId="99">#REF!</definedName>
    <definedName name="tableBtype_of_service" localSheetId="41">#REF!</definedName>
    <definedName name="tableBtype_of_service" localSheetId="43">#REF!</definedName>
    <definedName name="tableBtype_of_service">#REF!</definedName>
    <definedName name="tableCadmin_expences" localSheetId="64">'10.1.15 CNG Table C 2016'!$H$13:$H$26</definedName>
    <definedName name="tableCadmin_expences" localSheetId="73">'10.1.15 CNG Table C 2017'!$H$13:$H$26</definedName>
    <definedName name="tableCadmin_expences" localSheetId="81">'10.1.15 CNG Table C 2018'!$H$13:$H$26</definedName>
    <definedName name="tableCadmin_expences" localSheetId="84">'10.1.15 SCG Table C 2016'!$J$12:$J$25</definedName>
    <definedName name="tableCadmin_expences" localSheetId="91">'10.1.15 SCG Table C 2017'!$J$12:$J$25</definedName>
    <definedName name="tableCadmin_expences" localSheetId="94">'10.1.15 SCG Table C 2018'!$J$12:$J$25</definedName>
    <definedName name="tableCadmin_expences" localSheetId="113">#REF!</definedName>
    <definedName name="tableCadmin_expences" localSheetId="114">#REF!</definedName>
    <definedName name="tableCadmin_expences" localSheetId="116">#REF!</definedName>
    <definedName name="tableCadmin_expences" localSheetId="128">#REF!</definedName>
    <definedName name="tableCadmin_expences" localSheetId="140">#REF!</definedName>
    <definedName name="tableCadmin_expences" localSheetId="141">#REF!</definedName>
    <definedName name="tableCadmin_expences" localSheetId="142">#REF!</definedName>
    <definedName name="tableCadmin_expences" localSheetId="51">'CNG Table C 2012 INCREASED FUND'!$H$7:$H$21</definedName>
    <definedName name="tableCadmin_expences" localSheetId="49">'CNG Table C 2013'!$H$7:$H$19</definedName>
    <definedName name="tableCadmin_expences" localSheetId="53">'CNG Table C 2014'!$H$12:$H$24</definedName>
    <definedName name="tableCadmin_expences" localSheetId="63">'CNG Table C 2016'!$H$13:$H$26</definedName>
    <definedName name="tableCadmin_expences" localSheetId="72">'CNG Table C 2017'!$H$13:$H$26</definedName>
    <definedName name="tableCadmin_expences" localSheetId="79">'CNG Table C 2018'!$H$13:$H$26</definedName>
    <definedName name="tableCadmin_expences" localSheetId="9">#REF!</definedName>
    <definedName name="tableCadmin_expences" localSheetId="10">#REF!</definedName>
    <definedName name="tableCadmin_expences" localSheetId="8">#REF!</definedName>
    <definedName name="tableCadmin_expences" localSheetId="74">'Mar 16 CNG Table C 2017'!$H$13:$H$26</definedName>
    <definedName name="tableCadmin_expences" localSheetId="82">'Mar 16 CNG Table C 2018'!$H$13:$H$26</definedName>
    <definedName name="tableCadmin_expences" localSheetId="92">'Mar 16 SCG Table C 2017'!$J$12:$J$25</definedName>
    <definedName name="tableCadmin_expences" localSheetId="95">'Mar 16 SCG Table C 2018'!$J$12:$J$25</definedName>
    <definedName name="tableCadmin_expences" localSheetId="115">#REF!</definedName>
    <definedName name="tableCadmin_expences" localSheetId="117">#REF!</definedName>
    <definedName name="tableCadmin_expences" localSheetId="146">#REF!</definedName>
    <definedName name="tableCadmin_expences" localSheetId="147">#REF!</definedName>
    <definedName name="tableCadmin_expences" localSheetId="143">#REF!</definedName>
    <definedName name="tableCadmin_expences" localSheetId="144">#REF!</definedName>
    <definedName name="tableCadmin_expences" localSheetId="145">#REF!</definedName>
    <definedName name="tableCadmin_expences" localSheetId="66">'SCG Table C 2013'!$J$7:$J$18</definedName>
    <definedName name="tableCadmin_expences" localSheetId="70">'SCG Table C 2014'!$J$12:$J$24</definedName>
    <definedName name="tableCadmin_expences" localSheetId="83">'SCG Table C 2016'!$J$12:$J$25</definedName>
    <definedName name="tableCadmin_expences" localSheetId="90">'SCG Table C 2017'!$J$12:$J$25</definedName>
    <definedName name="tableCadmin_expences" localSheetId="99">'SCG Table C 2018'!#REF!</definedName>
    <definedName name="tableCadmin_expences" localSheetId="7">#REF!</definedName>
    <definedName name="tableCadmin_expences" localSheetId="110">#REF!</definedName>
    <definedName name="tableCadmin_expences" localSheetId="41">'YGS Table C 2012 Increased Fund'!$H$7:$H$36</definedName>
    <definedName name="tableCadmin_expences" localSheetId="43">'YGS Table C 2013'!$H$7:$H$46</definedName>
    <definedName name="tableCadmin_expences" localSheetId="86">#REF!</definedName>
    <definedName name="tableCadmin_expences">#REF!</definedName>
    <definedName name="tableCCLP_labor" localSheetId="64">'10.1.15 CNG Table C 2016'!$C$13:$C$24</definedName>
    <definedName name="tableCCLP_labor" localSheetId="73">'10.1.15 CNG Table C 2017'!$C$13:$C$24</definedName>
    <definedName name="tableCCLP_labor" localSheetId="81">'10.1.15 CNG Table C 2018'!$C$13:$C$24</definedName>
    <definedName name="tableCCLP_labor" localSheetId="84">'10.1.15 SCG Table C 2016'!$C$13:$C$24</definedName>
    <definedName name="tableCCLP_labor" localSheetId="91">'10.1.15 SCG Table C 2017'!$C$13:$C$24</definedName>
    <definedName name="tableCCLP_labor" localSheetId="94">'10.1.15 SCG Table C 2018'!$C$13:$C$24</definedName>
    <definedName name="tableCCLP_labor" localSheetId="113">#REF!</definedName>
    <definedName name="tableCCLP_labor" localSheetId="114">#REF!</definedName>
    <definedName name="tableCCLP_labor" localSheetId="116">#REF!</definedName>
    <definedName name="tableCCLP_labor" localSheetId="128">#REF!</definedName>
    <definedName name="tableCCLP_labor" localSheetId="140">#REF!</definedName>
    <definedName name="tableCCLP_labor" localSheetId="141">#REF!</definedName>
    <definedName name="tableCCLP_labor" localSheetId="142">#REF!</definedName>
    <definedName name="tableCCLP_labor" localSheetId="51">'CNG Table C 2012 INCREASED FUND'!$C$7:$C$19</definedName>
    <definedName name="tableCCLP_labor" localSheetId="49">'CNG Table C 2013'!$C$7:$C$17</definedName>
    <definedName name="tableCCLP_labor" localSheetId="53">'CNG Table C 2014'!$C$12:$C$22</definedName>
    <definedName name="tableCCLP_labor" localSheetId="63">'CNG Table C 2016'!$C$13:$C$24</definedName>
    <definedName name="tableCCLP_labor" localSheetId="72">'CNG Table C 2017'!$C$13:$C$24</definedName>
    <definedName name="tableCCLP_labor" localSheetId="79">'CNG Table C 2018'!$C$13:$C$24</definedName>
    <definedName name="tableCCLP_labor" localSheetId="9">#REF!</definedName>
    <definedName name="tableCCLP_labor" localSheetId="10">#REF!</definedName>
    <definedName name="tableCCLP_labor" localSheetId="8">#REF!</definedName>
    <definedName name="tableCCLP_labor" localSheetId="74">'Mar 16 CNG Table C 2017'!$C$13:$C$24</definedName>
    <definedName name="tableCCLP_labor" localSheetId="82">'Mar 16 CNG Table C 2018'!$C$13:$C$24</definedName>
    <definedName name="tableCCLP_labor" localSheetId="92">'Mar 16 SCG Table C 2017'!$C$13:$C$24</definedName>
    <definedName name="tableCCLP_labor" localSheetId="95">'Mar 16 SCG Table C 2018'!$C$13:$C$24</definedName>
    <definedName name="tableCCLP_labor" localSheetId="115">#REF!</definedName>
    <definedName name="tableCCLP_labor" localSheetId="117">#REF!</definedName>
    <definedName name="tableCCLP_labor" localSheetId="146">#REF!</definedName>
    <definedName name="tableCCLP_labor" localSheetId="147">#REF!</definedName>
    <definedName name="tableCCLP_labor" localSheetId="143">#REF!</definedName>
    <definedName name="tableCCLP_labor" localSheetId="144">#REF!</definedName>
    <definedName name="tableCCLP_labor" localSheetId="145">#REF!</definedName>
    <definedName name="tableCCLP_labor" localSheetId="66">'SCG Table C 2013'!$C$7:$C$17</definedName>
    <definedName name="tableCCLP_labor" localSheetId="70">'SCG Table C 2014'!$C$12:$C$23</definedName>
    <definedName name="tableCCLP_labor" localSheetId="83">'SCG Table C 2016'!$C$13:$C$24</definedName>
    <definedName name="tableCCLP_labor" localSheetId="90">'SCG Table C 2017'!$C$13:$C$24</definedName>
    <definedName name="tableCCLP_labor" localSheetId="99">'SCG Table C 2018'!$C$13:$C$24</definedName>
    <definedName name="tableCCLP_labor" localSheetId="7">#REF!</definedName>
    <definedName name="tableCCLP_labor" localSheetId="110">#REF!</definedName>
    <definedName name="tableCCLP_labor" localSheetId="41">'YGS Table C 2012 Increased Fund'!$C$7:$C$34</definedName>
    <definedName name="tableCCLP_labor" localSheetId="43">'YGS Table C 2013'!$C$7:$C$44</definedName>
    <definedName name="tableCCLP_labor" localSheetId="86">#REF!</definedName>
    <definedName name="tableCCLP_labor">#REF!</definedName>
    <definedName name="tableCincentives" localSheetId="64">'10.1.15 CNG Table C 2016'!$F$13:$F$24</definedName>
    <definedName name="tableCincentives" localSheetId="73">'10.1.15 CNG Table C 2017'!$F$13:$F$24</definedName>
    <definedName name="tableCincentives" localSheetId="81">'10.1.15 CNG Table C 2018'!$F$13:$F$24</definedName>
    <definedName name="tableCincentives" localSheetId="84">'10.1.15 SCG Table C 2016'!$G$13:$G$24</definedName>
    <definedName name="tableCincentives" localSheetId="91">'10.1.15 SCG Table C 2017'!$G$13:$G$24</definedName>
    <definedName name="tableCincentives" localSheetId="94">'10.1.15 SCG Table C 2018'!$G$13:$G$24</definedName>
    <definedName name="tableCincentives" localSheetId="113">#REF!</definedName>
    <definedName name="tableCincentives" localSheetId="114">#REF!</definedName>
    <definedName name="tableCincentives" localSheetId="116">#REF!</definedName>
    <definedName name="tableCincentives" localSheetId="128">#REF!</definedName>
    <definedName name="tableCincentives" localSheetId="140">#REF!</definedName>
    <definedName name="tableCincentives" localSheetId="141">#REF!</definedName>
    <definedName name="tableCincentives" localSheetId="142">#REF!</definedName>
    <definedName name="tableCincentives" localSheetId="51">'CNG Table C 2012 INCREASED FUND'!$F$7:$F$19</definedName>
    <definedName name="tableCincentives" localSheetId="49">'CNG Table C 2013'!$F$7:$F$17</definedName>
    <definedName name="tableCincentives" localSheetId="53">'CNG Table C 2014'!$F$12:$F$22</definedName>
    <definedName name="tableCincentives" localSheetId="63">'CNG Table C 2016'!$F$13:$F$24</definedName>
    <definedName name="tableCincentives" localSheetId="72">'CNG Table C 2017'!$F$13:$F$24</definedName>
    <definedName name="tableCincentives" localSheetId="79">'CNG Table C 2018'!$F$13:$F$24</definedName>
    <definedName name="tableCincentives" localSheetId="9">#REF!</definedName>
    <definedName name="tableCincentives" localSheetId="10">#REF!</definedName>
    <definedName name="tableCincentives" localSheetId="8">#REF!</definedName>
    <definedName name="tableCincentives" localSheetId="74">'Mar 16 CNG Table C 2017'!$F$13:$F$24</definedName>
    <definedName name="tableCincentives" localSheetId="82">'Mar 16 CNG Table C 2018'!$F$13:$F$24</definedName>
    <definedName name="tableCincentives" localSheetId="92">'Mar 16 SCG Table C 2017'!$G$13:$G$24</definedName>
    <definedName name="tableCincentives" localSheetId="95">'Mar 16 SCG Table C 2018'!$G$13:$G$24</definedName>
    <definedName name="tableCincentives" localSheetId="115">#REF!</definedName>
    <definedName name="tableCincentives" localSheetId="117">#REF!</definedName>
    <definedName name="tableCincentives" localSheetId="146">#REF!</definedName>
    <definedName name="tableCincentives" localSheetId="147">#REF!</definedName>
    <definedName name="tableCincentives" localSheetId="143">#REF!</definedName>
    <definedName name="tableCincentives" localSheetId="144">#REF!</definedName>
    <definedName name="tableCincentives" localSheetId="145">#REF!</definedName>
    <definedName name="tableCincentives" localSheetId="66">'SCG Table C 2013'!$G$7:$G$17</definedName>
    <definedName name="tableCincentives" localSheetId="70">'SCG Table C 2014'!$G$12:$G$23</definedName>
    <definedName name="tableCincentives" localSheetId="83">'SCG Table C 2016'!$G$13:$G$24</definedName>
    <definedName name="tableCincentives" localSheetId="90">'SCG Table C 2017'!$G$13:$G$24</definedName>
    <definedName name="tableCincentives" localSheetId="99">'SCG Table C 2018'!$G$13:$G$24</definedName>
    <definedName name="tableCincentives" localSheetId="7">#REF!</definedName>
    <definedName name="tableCincentives" localSheetId="110">#REF!</definedName>
    <definedName name="tableCincentives" localSheetId="41">'YGS Table C 2012 Increased Fund'!$F$7:$F$34</definedName>
    <definedName name="tableCincentives" localSheetId="43">'YGS Table C 2013'!$F$7:$F$44</definedName>
    <definedName name="tableCincentives" localSheetId="86">#REF!</definedName>
    <definedName name="tableCincentives">#REF!</definedName>
    <definedName name="tableCmarketing" localSheetId="64">'10.1.15 CNG Table C 2016'!$G$13:$G$24</definedName>
    <definedName name="tableCmarketing" localSheetId="73">'10.1.15 CNG Table C 2017'!$G$13:$G$24</definedName>
    <definedName name="tableCmarketing" localSheetId="81">'10.1.15 CNG Table C 2018'!$G$13:$G$24</definedName>
    <definedName name="tableCmarketing" localSheetId="84">'10.1.15 SCG Table C 2016'!$H$13:$H$24</definedName>
    <definedName name="tableCmarketing" localSheetId="91">'10.1.15 SCG Table C 2017'!$H$13:$H$24</definedName>
    <definedName name="tableCmarketing" localSheetId="94">'10.1.15 SCG Table C 2018'!$H$13:$H$24</definedName>
    <definedName name="tableCmarketing" localSheetId="113">#REF!</definedName>
    <definedName name="tableCmarketing" localSheetId="114">#REF!</definedName>
    <definedName name="tableCmarketing" localSheetId="116">#REF!</definedName>
    <definedName name="tableCmarketing" localSheetId="128">#REF!</definedName>
    <definedName name="tableCmarketing" localSheetId="140">#REF!</definedName>
    <definedName name="tableCmarketing" localSheetId="141">#REF!</definedName>
    <definedName name="tableCmarketing" localSheetId="142">#REF!</definedName>
    <definedName name="tableCmarketing" localSheetId="51">'CNG Table C 2012 INCREASED FUND'!$G$7:$G$19</definedName>
    <definedName name="tableCmarketing" localSheetId="49">'CNG Table C 2013'!$G$7:$G$17</definedName>
    <definedName name="tableCmarketing" localSheetId="53">'CNG Table C 2014'!$G$12:$G$22</definedName>
    <definedName name="tableCmarketing" localSheetId="63">'CNG Table C 2016'!$G$13:$G$24</definedName>
    <definedName name="tableCmarketing" localSheetId="72">'CNG Table C 2017'!$G$13:$G$24</definedName>
    <definedName name="tableCmarketing" localSheetId="79">'CNG Table C 2018'!$G$13:$G$24</definedName>
    <definedName name="tableCmarketing" localSheetId="9">#REF!</definedName>
    <definedName name="tableCmarketing" localSheetId="10">#REF!</definedName>
    <definedName name="tableCmarketing" localSheetId="8">#REF!</definedName>
    <definedName name="tableCmarketing" localSheetId="74">'Mar 16 CNG Table C 2017'!$G$13:$G$24</definedName>
    <definedName name="tableCmarketing" localSheetId="82">'Mar 16 CNG Table C 2018'!$G$13:$G$24</definedName>
    <definedName name="tableCmarketing" localSheetId="92">'Mar 16 SCG Table C 2017'!$H$13:$H$24</definedName>
    <definedName name="tableCmarketing" localSheetId="95">'Mar 16 SCG Table C 2018'!$H$13:$H$24</definedName>
    <definedName name="tableCmarketing" localSheetId="115">#REF!</definedName>
    <definedName name="tableCmarketing" localSheetId="117">#REF!</definedName>
    <definedName name="tableCmarketing" localSheetId="146">#REF!</definedName>
    <definedName name="tableCmarketing" localSheetId="147">#REF!</definedName>
    <definedName name="tableCmarketing" localSheetId="143">#REF!</definedName>
    <definedName name="tableCmarketing" localSheetId="144">#REF!</definedName>
    <definedName name="tableCmarketing" localSheetId="145">#REF!</definedName>
    <definedName name="tableCmarketing" localSheetId="66">'SCG Table C 2013'!$H$7:$H$17</definedName>
    <definedName name="tableCmarketing" localSheetId="70">'SCG Table C 2014'!$H$12:$H$23</definedName>
    <definedName name="tableCmarketing" localSheetId="83">'SCG Table C 2016'!$H$13:$H$24</definedName>
    <definedName name="tableCmarketing" localSheetId="90">'SCG Table C 2017'!$H$13:$H$24</definedName>
    <definedName name="tableCmarketing" localSheetId="99">'SCG Table C 2018'!$H$13:$H$24</definedName>
    <definedName name="tableCmarketing" localSheetId="7">#REF!</definedName>
    <definedName name="tableCmarketing" localSheetId="110">#REF!</definedName>
    <definedName name="tableCmarketing" localSheetId="41">'YGS Table C 2012 Increased Fund'!$G$7:$G$34</definedName>
    <definedName name="tableCmarketing" localSheetId="43">'YGS Table C 2013'!$G$7:$G$44</definedName>
    <definedName name="tableCmarketing" localSheetId="86">#REF!</definedName>
    <definedName name="tableCmarketing">#REF!</definedName>
    <definedName name="tableCmaterial_supplies" localSheetId="64">'10.1.15 CNG Table C 2016'!$D$13:$D$24</definedName>
    <definedName name="tableCmaterial_supplies" localSheetId="73">'10.1.15 CNG Table C 2017'!$D$13:$D$24</definedName>
    <definedName name="tableCmaterial_supplies" localSheetId="81">'10.1.15 CNG Table C 2018'!$D$13:$D$24</definedName>
    <definedName name="tableCmaterial_supplies" localSheetId="84">'10.1.15 SCG Table C 2016'!$D$13:$D$24</definedName>
    <definedName name="tableCmaterial_supplies" localSheetId="91">'10.1.15 SCG Table C 2017'!$D$13:$D$24</definedName>
    <definedName name="tableCmaterial_supplies" localSheetId="94">'10.1.15 SCG Table C 2018'!$D$13:$D$24</definedName>
    <definedName name="tableCmaterial_supplies" localSheetId="113">#REF!</definedName>
    <definedName name="tableCmaterial_supplies" localSheetId="114">#REF!</definedName>
    <definedName name="tableCmaterial_supplies" localSheetId="116">#REF!</definedName>
    <definedName name="tableCmaterial_supplies" localSheetId="128">#REF!</definedName>
    <definedName name="tableCmaterial_supplies" localSheetId="140">#REF!</definedName>
    <definedName name="tableCmaterial_supplies" localSheetId="141">#REF!</definedName>
    <definedName name="tableCmaterial_supplies" localSheetId="142">#REF!</definedName>
    <definedName name="tableCmaterial_supplies" localSheetId="51">'CNG Table C 2012 INCREASED FUND'!$D$7:$D$19</definedName>
    <definedName name="tableCmaterial_supplies" localSheetId="49">'CNG Table C 2013'!$D$7:$D$17</definedName>
    <definedName name="tableCmaterial_supplies" localSheetId="53">'CNG Table C 2014'!$D$12:$D$22</definedName>
    <definedName name="tableCmaterial_supplies" localSheetId="63">'CNG Table C 2016'!$D$13:$D$24</definedName>
    <definedName name="tableCmaterial_supplies" localSheetId="72">'CNG Table C 2017'!$D$13:$D$24</definedName>
    <definedName name="tableCmaterial_supplies" localSheetId="79">'CNG Table C 2018'!$D$13:$D$24</definedName>
    <definedName name="tableCmaterial_supplies" localSheetId="9">#REF!</definedName>
    <definedName name="tableCmaterial_supplies" localSheetId="10">#REF!</definedName>
    <definedName name="tableCmaterial_supplies" localSheetId="8">#REF!</definedName>
    <definedName name="tableCmaterial_supplies" localSheetId="74">'Mar 16 CNG Table C 2017'!$D$13:$D$24</definedName>
    <definedName name="tableCmaterial_supplies" localSheetId="82">'Mar 16 CNG Table C 2018'!$D$13:$D$24</definedName>
    <definedName name="tableCmaterial_supplies" localSheetId="92">'Mar 16 SCG Table C 2017'!$D$13:$D$24</definedName>
    <definedName name="tableCmaterial_supplies" localSheetId="95">'Mar 16 SCG Table C 2018'!$D$13:$D$24</definedName>
    <definedName name="tableCmaterial_supplies" localSheetId="115">#REF!</definedName>
    <definedName name="tableCmaterial_supplies" localSheetId="117">#REF!</definedName>
    <definedName name="tableCmaterial_supplies" localSheetId="146">#REF!</definedName>
    <definedName name="tableCmaterial_supplies" localSheetId="147">#REF!</definedName>
    <definedName name="tableCmaterial_supplies" localSheetId="143">#REF!</definedName>
    <definedName name="tableCmaterial_supplies" localSheetId="144">#REF!</definedName>
    <definedName name="tableCmaterial_supplies" localSheetId="145">#REF!</definedName>
    <definedName name="tableCmaterial_supplies" localSheetId="66">'SCG Table C 2013'!$D$7:$D$17</definedName>
    <definedName name="tableCmaterial_supplies" localSheetId="70">'SCG Table C 2014'!$D$12:$D$23</definedName>
    <definedName name="tableCmaterial_supplies" localSheetId="83">'SCG Table C 2016'!$D$13:$D$24</definedName>
    <definedName name="tableCmaterial_supplies" localSheetId="90">'SCG Table C 2017'!$D$13:$D$24</definedName>
    <definedName name="tableCmaterial_supplies" localSheetId="99">'SCG Table C 2018'!$D$13:$D$24</definedName>
    <definedName name="tableCmaterial_supplies" localSheetId="7">#REF!</definedName>
    <definedName name="tableCmaterial_supplies" localSheetId="110">#REF!</definedName>
    <definedName name="tableCmaterial_supplies" localSheetId="41">'YGS Table C 2012 Increased Fund'!$D$7:$D$34</definedName>
    <definedName name="tableCmaterial_supplies" localSheetId="43">'YGS Table C 2013'!$D$7:$D$44</definedName>
    <definedName name="tableCmaterial_supplies" localSheetId="86">#REF!</definedName>
    <definedName name="tableCmaterial_supplies">#REF!</definedName>
    <definedName name="tableCother" localSheetId="64">'10.1.15 CNG Table C 2016'!#REF!</definedName>
    <definedName name="tableCother" localSheetId="73">'10.1.15 CNG Table C 2017'!#REF!</definedName>
    <definedName name="tableCother" localSheetId="81">'10.1.15 CNG Table C 2018'!#REF!</definedName>
    <definedName name="tableCother" localSheetId="84">'10.1.15 SCG Table C 2016'!$I$13:$I$24</definedName>
    <definedName name="tableCother" localSheetId="91">'10.1.15 SCG Table C 2017'!$I$13:$I$24</definedName>
    <definedName name="tableCother" localSheetId="94">'10.1.15 SCG Table C 2018'!$I$13:$I$24</definedName>
    <definedName name="tableCother" localSheetId="113">#REF!</definedName>
    <definedName name="tableCother" localSheetId="114">#REF!</definedName>
    <definedName name="tableCother" localSheetId="116">#REF!</definedName>
    <definedName name="tableCother" localSheetId="128">#REF!</definedName>
    <definedName name="tableCother" localSheetId="140">#REF!</definedName>
    <definedName name="tableCother" localSheetId="141">#REF!</definedName>
    <definedName name="tableCother" localSheetId="142">#REF!</definedName>
    <definedName name="tableCother" localSheetId="51">'CNG Table C 2012 INCREASED FUND'!#REF!</definedName>
    <definedName name="tableCother" localSheetId="49">'CNG Table C 2013'!#REF!</definedName>
    <definedName name="tableCother" localSheetId="53">'CNG Table C 2014'!#REF!</definedName>
    <definedName name="tableCother" localSheetId="63">'CNG Table C 2016'!#REF!</definedName>
    <definedName name="tableCother" localSheetId="72">'CNG Table C 2017'!#REF!</definedName>
    <definedName name="tableCother" localSheetId="79">'CNG Table C 2018'!#REF!</definedName>
    <definedName name="tableCother" localSheetId="9">#REF!</definedName>
    <definedName name="tableCother" localSheetId="10">#REF!</definedName>
    <definedName name="tableCother" localSheetId="8">#REF!</definedName>
    <definedName name="tableCother" localSheetId="74">'Mar 16 CNG Table C 2017'!#REF!</definedName>
    <definedName name="tableCother" localSheetId="82">'Mar 16 CNG Table C 2018'!#REF!</definedName>
    <definedName name="tableCother" localSheetId="92">'Mar 16 SCG Table C 2017'!$I$13:$I$24</definedName>
    <definedName name="tableCother" localSheetId="95">'Mar 16 SCG Table C 2018'!$I$13:$I$24</definedName>
    <definedName name="tableCother" localSheetId="115">#REF!</definedName>
    <definedName name="tableCother" localSheetId="117">#REF!</definedName>
    <definedName name="tableCother" localSheetId="146">#REF!</definedName>
    <definedName name="tableCother" localSheetId="147">#REF!</definedName>
    <definedName name="tableCother" localSheetId="143">#REF!</definedName>
    <definedName name="tableCother" localSheetId="144">#REF!</definedName>
    <definedName name="tableCother" localSheetId="145">#REF!</definedName>
    <definedName name="tableCother" localSheetId="66">'SCG Table C 2013'!$I$7:$I$17</definedName>
    <definedName name="tableCother" localSheetId="70">'SCG Table C 2014'!$I$12:$I$23</definedName>
    <definedName name="tableCother" localSheetId="83">'SCG Table C 2016'!$I$13:$I$24</definedName>
    <definedName name="tableCother" localSheetId="90">'SCG Table C 2017'!$I$13:$I$24</definedName>
    <definedName name="tableCother" localSheetId="99">'SCG Table C 2018'!$I$13:$I$24</definedName>
    <definedName name="tableCother" localSheetId="7">#REF!</definedName>
    <definedName name="tableCother" localSheetId="110">#REF!</definedName>
    <definedName name="tableCother" localSheetId="41">'YGS Table C 2012 Increased Fund'!#REF!</definedName>
    <definedName name="tableCother" localSheetId="43">'YGS Table C 2013'!#REF!</definedName>
    <definedName name="tableCother" localSheetId="86">#REF!</definedName>
    <definedName name="tableCother">#REF!</definedName>
    <definedName name="tableCother_labor" localSheetId="64">'10.1.15 CNG Table C 2016'!#REF!</definedName>
    <definedName name="tableCother_labor" localSheetId="73">'10.1.15 CNG Table C 2017'!#REF!</definedName>
    <definedName name="tableCother_labor" localSheetId="81">'10.1.15 CNG Table C 2018'!#REF!</definedName>
    <definedName name="tableCother_labor" localSheetId="84">'10.1.15 SCG Table C 2016'!$F$13:$F$24</definedName>
    <definedName name="tableCother_labor" localSheetId="91">'10.1.15 SCG Table C 2017'!$F$13:$F$24</definedName>
    <definedName name="tableCother_labor" localSheetId="94">'10.1.15 SCG Table C 2018'!$F$13:$F$24</definedName>
    <definedName name="tableCother_labor" localSheetId="113">#REF!</definedName>
    <definedName name="tableCother_labor" localSheetId="114">#REF!</definedName>
    <definedName name="tableCother_labor" localSheetId="116">#REF!</definedName>
    <definedName name="tableCother_labor" localSheetId="128">#REF!</definedName>
    <definedName name="tableCother_labor" localSheetId="140">#REF!</definedName>
    <definedName name="tableCother_labor" localSheetId="141">#REF!</definedName>
    <definedName name="tableCother_labor" localSheetId="142">#REF!</definedName>
    <definedName name="tableCother_labor" localSheetId="51">'CNG Table C 2012 INCREASED FUND'!#REF!</definedName>
    <definedName name="tableCother_labor" localSheetId="49">'CNG Table C 2013'!#REF!</definedName>
    <definedName name="tableCother_labor" localSheetId="53">'CNG Table C 2014'!#REF!</definedName>
    <definedName name="tableCother_labor" localSheetId="63">'CNG Table C 2016'!#REF!</definedName>
    <definedName name="tableCother_labor" localSheetId="72">'CNG Table C 2017'!#REF!</definedName>
    <definedName name="tableCother_labor" localSheetId="79">'CNG Table C 2018'!#REF!</definedName>
    <definedName name="tableCother_labor" localSheetId="9">#REF!</definedName>
    <definedName name="tableCother_labor" localSheetId="10">#REF!</definedName>
    <definedName name="tableCother_labor" localSheetId="8">#REF!</definedName>
    <definedName name="tableCother_labor" localSheetId="74">'Mar 16 CNG Table C 2017'!#REF!</definedName>
    <definedName name="tableCother_labor" localSheetId="82">'Mar 16 CNG Table C 2018'!#REF!</definedName>
    <definedName name="tableCother_labor" localSheetId="92">'Mar 16 SCG Table C 2017'!$F$13:$F$24</definedName>
    <definedName name="tableCother_labor" localSheetId="95">'Mar 16 SCG Table C 2018'!$F$13:$F$24</definedName>
    <definedName name="tableCother_labor" localSheetId="115">#REF!</definedName>
    <definedName name="tableCother_labor" localSheetId="117">#REF!</definedName>
    <definedName name="tableCother_labor" localSheetId="146">#REF!</definedName>
    <definedName name="tableCother_labor" localSheetId="147">#REF!</definedName>
    <definedName name="tableCother_labor" localSheetId="143">#REF!</definedName>
    <definedName name="tableCother_labor" localSheetId="144">#REF!</definedName>
    <definedName name="tableCother_labor" localSheetId="145">#REF!</definedName>
    <definedName name="tableCother_labor" localSheetId="66">'SCG Table C 2013'!$F$7:$F$17</definedName>
    <definedName name="tableCother_labor" localSheetId="70">'SCG Table C 2014'!$F$12:$F$23</definedName>
    <definedName name="tableCother_labor" localSheetId="83">'SCG Table C 2016'!$F$13:$F$24</definedName>
    <definedName name="tableCother_labor" localSheetId="90">'SCG Table C 2017'!$F$13:$F$24</definedName>
    <definedName name="tableCother_labor" localSheetId="99">'SCG Table C 2018'!$F$13:$F$24</definedName>
    <definedName name="tableCother_labor" localSheetId="7">#REF!</definedName>
    <definedName name="tableCother_labor" localSheetId="110">#REF!</definedName>
    <definedName name="tableCother_labor" localSheetId="41">'YGS Table C 2012 Increased Fund'!#REF!</definedName>
    <definedName name="tableCother_labor" localSheetId="43">'YGS Table C 2013'!#REF!</definedName>
    <definedName name="tableCother_labor" localSheetId="86">#REF!</definedName>
    <definedName name="tableCother_labor">#REF!</definedName>
    <definedName name="tableCoutside_services" localSheetId="64">'10.1.15 CNG Table C 2016'!$E$13:$E$24</definedName>
    <definedName name="tableCoutside_services" localSheetId="73">'10.1.15 CNG Table C 2017'!$E$13:$E$24</definedName>
    <definedName name="tableCoutside_services" localSheetId="81">'10.1.15 CNG Table C 2018'!$E$13:$E$24</definedName>
    <definedName name="tableCoutside_services" localSheetId="84">'10.1.15 SCG Table C 2016'!$E$13:$E$24</definedName>
    <definedName name="tableCoutside_services" localSheetId="91">'10.1.15 SCG Table C 2017'!$E$13:$E$24</definedName>
    <definedName name="tableCoutside_services" localSheetId="94">'10.1.15 SCG Table C 2018'!$E$13:$E$24</definedName>
    <definedName name="tableCoutside_services" localSheetId="113">#REF!</definedName>
    <definedName name="tableCoutside_services" localSheetId="114">#REF!</definedName>
    <definedName name="tableCoutside_services" localSheetId="116">#REF!</definedName>
    <definedName name="tableCoutside_services" localSheetId="128">#REF!</definedName>
    <definedName name="tableCoutside_services" localSheetId="140">#REF!</definedName>
    <definedName name="tableCoutside_services" localSheetId="141">#REF!</definedName>
    <definedName name="tableCoutside_services" localSheetId="142">#REF!</definedName>
    <definedName name="tableCoutside_services" localSheetId="51">'CNG Table C 2012 INCREASED FUND'!$E$7:$E$19</definedName>
    <definedName name="tableCoutside_services" localSheetId="49">'CNG Table C 2013'!$E$7:$E$17</definedName>
    <definedName name="tableCoutside_services" localSheetId="53">'CNG Table C 2014'!$E$12:$E$22</definedName>
    <definedName name="tableCoutside_services" localSheetId="63">'CNG Table C 2016'!$E$13:$E$24</definedName>
    <definedName name="tableCoutside_services" localSheetId="72">'CNG Table C 2017'!$E$13:$E$24</definedName>
    <definedName name="tableCoutside_services" localSheetId="79">'CNG Table C 2018'!$E$13:$E$24</definedName>
    <definedName name="tableCoutside_services" localSheetId="9">#REF!</definedName>
    <definedName name="tableCoutside_services" localSheetId="10">#REF!</definedName>
    <definedName name="tableCoutside_services" localSheetId="8">#REF!</definedName>
    <definedName name="tableCoutside_services" localSheetId="74">'Mar 16 CNG Table C 2017'!$E$13:$E$24</definedName>
    <definedName name="tableCoutside_services" localSheetId="82">'Mar 16 CNG Table C 2018'!$E$13:$E$24</definedName>
    <definedName name="tableCoutside_services" localSheetId="92">'Mar 16 SCG Table C 2017'!$E$13:$E$24</definedName>
    <definedName name="tableCoutside_services" localSheetId="95">'Mar 16 SCG Table C 2018'!$E$13:$E$24</definedName>
    <definedName name="tableCoutside_services" localSheetId="115">#REF!</definedName>
    <definedName name="tableCoutside_services" localSheetId="117">#REF!</definedName>
    <definedName name="tableCoutside_services" localSheetId="146">#REF!</definedName>
    <definedName name="tableCoutside_services" localSheetId="147">#REF!</definedName>
    <definedName name="tableCoutside_services" localSheetId="143">#REF!</definedName>
    <definedName name="tableCoutside_services" localSheetId="144">#REF!</definedName>
    <definedName name="tableCoutside_services" localSheetId="145">#REF!</definedName>
    <definedName name="tableCoutside_services" localSheetId="66">'SCG Table C 2013'!$E$7:$E$17</definedName>
    <definedName name="tableCoutside_services" localSheetId="70">'SCG Table C 2014'!$E$12:$E$23</definedName>
    <definedName name="tableCoutside_services" localSheetId="83">'SCG Table C 2016'!$E$13:$E$24</definedName>
    <definedName name="tableCoutside_services" localSheetId="90">'SCG Table C 2017'!$E$13:$E$24</definedName>
    <definedName name="tableCoutside_services" localSheetId="99">'SCG Table C 2018'!$E$13:$E$24</definedName>
    <definedName name="tableCoutside_services" localSheetId="7">#REF!</definedName>
    <definedName name="tableCoutside_services" localSheetId="110">#REF!</definedName>
    <definedName name="tableCoutside_services" localSheetId="41">'YGS Table C 2012 Increased Fund'!$E$7:$E$34</definedName>
    <definedName name="tableCoutside_services" localSheetId="43">'YGS Table C 2013'!$E$7:$E$44</definedName>
    <definedName name="tableCoutside_services" localSheetId="86">#REF!</definedName>
    <definedName name="tableCoutside_services">#REF!</definedName>
    <definedName name="tableCtype_of_service" localSheetId="64">'10.1.15 CNG Table C 2016'!$A$12:$A$24</definedName>
    <definedName name="tableCtype_of_service" localSheetId="73">'10.1.15 CNG Table C 2017'!$A$12:$A$24</definedName>
    <definedName name="tableCtype_of_service" localSheetId="81">'10.1.15 CNG Table C 2018'!$A$12:$A$24</definedName>
    <definedName name="tableCtype_of_service" localSheetId="84">'10.1.15 SCG Table C 2016'!$A$12:$A$24</definedName>
    <definedName name="tableCtype_of_service" localSheetId="91">'10.1.15 SCG Table C 2017'!$A$12:$A$24</definedName>
    <definedName name="tableCtype_of_service" localSheetId="94">'10.1.15 SCG Table C 2018'!$A$12:$A$24</definedName>
    <definedName name="tableCtype_of_service" localSheetId="113">#REF!</definedName>
    <definedName name="tableCtype_of_service" localSheetId="114">#REF!</definedName>
    <definedName name="tableCtype_of_service" localSheetId="116">#REF!</definedName>
    <definedName name="tableCtype_of_service" localSheetId="128">#REF!</definedName>
    <definedName name="tableCtype_of_service" localSheetId="140">#REF!</definedName>
    <definedName name="tableCtype_of_service" localSheetId="141">#REF!</definedName>
    <definedName name="tableCtype_of_service" localSheetId="142">#REF!</definedName>
    <definedName name="tableCtype_of_service" localSheetId="51">'CNG Table C 2012 INCREASED FUND'!$A$7:$A$19</definedName>
    <definedName name="tableCtype_of_service" localSheetId="49">'CNG Table C 2013'!$A$7:$A$17</definedName>
    <definedName name="tableCtype_of_service" localSheetId="53">'CNG Table C 2014'!$A$12:$A$22</definedName>
    <definedName name="tableCtype_of_service" localSheetId="63">'CNG Table C 2016'!$A$12:$A$24</definedName>
    <definedName name="tableCtype_of_service" localSheetId="72">'CNG Table C 2017'!$A$12:$A$24</definedName>
    <definedName name="tableCtype_of_service" localSheetId="79">'CNG Table C 2018'!$A$12:$A$24</definedName>
    <definedName name="tableCtype_of_service" localSheetId="9">#REF!</definedName>
    <definedName name="tableCtype_of_service" localSheetId="10">#REF!</definedName>
    <definedName name="tableCtype_of_service" localSheetId="8">#REF!</definedName>
    <definedName name="tableCtype_of_service" localSheetId="74">'Mar 16 CNG Table C 2017'!$A$12:$A$24</definedName>
    <definedName name="tableCtype_of_service" localSheetId="82">'Mar 16 CNG Table C 2018'!$A$12:$A$24</definedName>
    <definedName name="tableCtype_of_service" localSheetId="92">'Mar 16 SCG Table C 2017'!$A$12:$A$24</definedName>
    <definedName name="tableCtype_of_service" localSheetId="95">'Mar 16 SCG Table C 2018'!$A$12:$A$24</definedName>
    <definedName name="tableCtype_of_service" localSheetId="115">#REF!</definedName>
    <definedName name="tableCtype_of_service" localSheetId="117">#REF!</definedName>
    <definedName name="tableCtype_of_service" localSheetId="146">#REF!</definedName>
    <definedName name="tableCtype_of_service" localSheetId="147">#REF!</definedName>
    <definedName name="tableCtype_of_service" localSheetId="143">#REF!</definedName>
    <definedName name="tableCtype_of_service" localSheetId="144">#REF!</definedName>
    <definedName name="tableCtype_of_service" localSheetId="145">#REF!</definedName>
    <definedName name="tableCtype_of_service" localSheetId="66">'SCG Table C 2013'!$A$7:$A$17</definedName>
    <definedName name="tableCtype_of_service" localSheetId="70">'SCG Table C 2014'!$A$12:$A$23</definedName>
    <definedName name="tableCtype_of_service" localSheetId="83">'SCG Table C 2016'!$A$12:$A$24</definedName>
    <definedName name="tableCtype_of_service" localSheetId="90">'SCG Table C 2017'!$A$12:$A$24</definedName>
    <definedName name="tableCtype_of_service" localSheetId="99">'SCG Table C 2018'!$A$12:$A$24</definedName>
    <definedName name="tableCtype_of_service" localSheetId="7">#REF!</definedName>
    <definedName name="tableCtype_of_service" localSheetId="110">#REF!</definedName>
    <definedName name="tableCtype_of_service" localSheetId="41">'YGS Table C 2012 Increased Fund'!$A$7:$A$34</definedName>
    <definedName name="tableCtype_of_service" localSheetId="43">'YGS Table C 2013'!$A$7:$A$44</definedName>
    <definedName name="tableCtype_of_service" localSheetId="86">#REF!</definedName>
    <definedName name="tableCtype_of_service">#REF!</definedName>
    <definedName name="TableENorstamdollar" localSheetId="64">#REF!</definedName>
    <definedName name="TableENorstamdollar" localSheetId="73">#REF!</definedName>
    <definedName name="TableENorstamdollar" localSheetId="81">#REF!</definedName>
    <definedName name="TableENorstamdollar" localSheetId="84">#REF!</definedName>
    <definedName name="TableENorstamdollar" localSheetId="91">#REF!</definedName>
    <definedName name="TableENorstamdollar" localSheetId="94">#REF!</definedName>
    <definedName name="TableENorstamdollar" localSheetId="113">#REF!</definedName>
    <definedName name="TableENorstamdollar" localSheetId="114">#REF!</definedName>
    <definedName name="TableENorstamdollar" localSheetId="116">#REF!</definedName>
    <definedName name="TableENorstamdollar" localSheetId="128">#REF!</definedName>
    <definedName name="TableENorstamdollar" localSheetId="140">#REF!</definedName>
    <definedName name="TableENorstamdollar" localSheetId="141">#REF!</definedName>
    <definedName name="TableENorstamdollar" localSheetId="142">#REF!</definedName>
    <definedName name="TableENorstamdollar" localSheetId="51">#REF!</definedName>
    <definedName name="TableENorstamdollar" localSheetId="49">#REF!</definedName>
    <definedName name="TableENorstamdollar" localSheetId="53">#REF!</definedName>
    <definedName name="TableENorstamdollar" localSheetId="63">#REF!</definedName>
    <definedName name="TableENorstamdollar" localSheetId="72">#REF!</definedName>
    <definedName name="TableENorstamdollar" localSheetId="79">#REF!</definedName>
    <definedName name="TableENorstamdollar" localSheetId="9">#REF!</definedName>
    <definedName name="TableENorstamdollar" localSheetId="10">#REF!</definedName>
    <definedName name="TableENorstamdollar" localSheetId="8">#REF!</definedName>
    <definedName name="TableENorstamdollar" localSheetId="74">#REF!</definedName>
    <definedName name="TableENorstamdollar" localSheetId="82">#REF!</definedName>
    <definedName name="TableENorstamdollar" localSheetId="92">#REF!</definedName>
    <definedName name="TableENorstamdollar" localSheetId="95">#REF!</definedName>
    <definedName name="TableENorstamdollar" localSheetId="115">#REF!</definedName>
    <definedName name="TableENorstamdollar" localSheetId="117">#REF!</definedName>
    <definedName name="TableENorstamdollar" localSheetId="146">#REF!</definedName>
    <definedName name="TableENorstamdollar" localSheetId="147">#REF!</definedName>
    <definedName name="TableENorstamdollar" localSheetId="143">#REF!</definedName>
    <definedName name="TableENorstamdollar" localSheetId="144">#REF!</definedName>
    <definedName name="TableENorstamdollar" localSheetId="145">#REF!</definedName>
    <definedName name="TableENorstamdollar" localSheetId="66">#REF!</definedName>
    <definedName name="TableENorstamdollar" localSheetId="70">#REF!</definedName>
    <definedName name="TableENorstamdollar" localSheetId="83">#REF!</definedName>
    <definedName name="TableENorstamdollar" localSheetId="90">#REF!</definedName>
    <definedName name="TableENorstamdollar" localSheetId="99">#REF!</definedName>
    <definedName name="TableENorstamdollar" localSheetId="7">#REF!</definedName>
    <definedName name="TableENorstamdollar" localSheetId="110">#REF!</definedName>
    <definedName name="TableENorstamdollar" localSheetId="41">#REF!</definedName>
    <definedName name="TableENorstamdollar" localSheetId="43">#REF!</definedName>
    <definedName name="TableENorstamdollar" localSheetId="86">#REF!</definedName>
    <definedName name="TableENorstamdollar">#REF!</definedName>
    <definedName name="tableEnorstamkw" localSheetId="64">#REF!</definedName>
    <definedName name="tableEnorstamkw" localSheetId="73">#REF!</definedName>
    <definedName name="tableEnorstamkw" localSheetId="81">#REF!</definedName>
    <definedName name="tableEnorstamkw" localSheetId="84">#REF!</definedName>
    <definedName name="tableEnorstamkw" localSheetId="91">#REF!</definedName>
    <definedName name="tableEnorstamkw" localSheetId="94">#REF!</definedName>
    <definedName name="tableEnorstamkw" localSheetId="113">#REF!</definedName>
    <definedName name="tableEnorstamkw" localSheetId="114">#REF!</definedName>
    <definedName name="tableEnorstamkw" localSheetId="116">#REF!</definedName>
    <definedName name="tableEnorstamkw" localSheetId="128">#REF!</definedName>
    <definedName name="tableEnorstamkw" localSheetId="140">#REF!</definedName>
    <definedName name="tableEnorstamkw" localSheetId="141">#REF!</definedName>
    <definedName name="tableEnorstamkw" localSheetId="142">#REF!</definedName>
    <definedName name="tableEnorstamkw" localSheetId="51">#REF!</definedName>
    <definedName name="tableEnorstamkw" localSheetId="49">#REF!</definedName>
    <definedName name="tableEnorstamkw" localSheetId="53">#REF!</definedName>
    <definedName name="tableEnorstamkw" localSheetId="63">#REF!</definedName>
    <definedName name="tableEnorstamkw" localSheetId="72">#REF!</definedName>
    <definedName name="tableEnorstamkw" localSheetId="79">#REF!</definedName>
    <definedName name="tableEnorstamkw" localSheetId="9">#REF!</definedName>
    <definedName name="tableEnorstamkw" localSheetId="10">#REF!</definedName>
    <definedName name="tableEnorstamkw" localSheetId="8">#REF!</definedName>
    <definedName name="tableEnorstamkw" localSheetId="74">#REF!</definedName>
    <definedName name="tableEnorstamkw" localSheetId="82">#REF!</definedName>
    <definedName name="tableEnorstamkw" localSheetId="92">#REF!</definedName>
    <definedName name="tableEnorstamkw" localSheetId="95">#REF!</definedName>
    <definedName name="tableEnorstamkw" localSheetId="115">#REF!</definedName>
    <definedName name="tableEnorstamkw" localSheetId="117">#REF!</definedName>
    <definedName name="tableEnorstamkw" localSheetId="146">#REF!</definedName>
    <definedName name="tableEnorstamkw" localSheetId="147">#REF!</definedName>
    <definedName name="tableEnorstamkw" localSheetId="143">#REF!</definedName>
    <definedName name="tableEnorstamkw" localSheetId="144">#REF!</definedName>
    <definedName name="tableEnorstamkw" localSheetId="145">#REF!</definedName>
    <definedName name="tableEnorstamkw" localSheetId="66">#REF!</definedName>
    <definedName name="tableEnorstamkw" localSheetId="70">#REF!</definedName>
    <definedName name="tableEnorstamkw" localSheetId="83">#REF!</definedName>
    <definedName name="tableEnorstamkw" localSheetId="90">#REF!</definedName>
    <definedName name="tableEnorstamkw" localSheetId="99">#REF!</definedName>
    <definedName name="tableEnorstamkw" localSheetId="7">#REF!</definedName>
    <definedName name="tableEnorstamkw" localSheetId="110">#REF!</definedName>
    <definedName name="tableEnorstamkw" localSheetId="41">#REF!</definedName>
    <definedName name="tableEnorstamkw" localSheetId="43">#REF!</definedName>
    <definedName name="tableEnorstamkw" localSheetId="86">#REF!</definedName>
    <definedName name="tableEnorstamkw">#REF!</definedName>
    <definedName name="tableESWCTDollar" localSheetId="64">#REF!</definedName>
    <definedName name="tableESWCTDollar" localSheetId="73">#REF!</definedName>
    <definedName name="tableESWCTDollar" localSheetId="81">#REF!</definedName>
    <definedName name="tableESWCTDollar" localSheetId="84">#REF!</definedName>
    <definedName name="tableESWCTDollar" localSheetId="91">#REF!</definedName>
    <definedName name="tableESWCTDollar" localSheetId="94">#REF!</definedName>
    <definedName name="tableESWCTDollar" localSheetId="113">#REF!</definedName>
    <definedName name="tableESWCTDollar" localSheetId="114">#REF!</definedName>
    <definedName name="tableESWCTDollar" localSheetId="116">#REF!</definedName>
    <definedName name="tableESWCTDollar" localSheetId="128">#REF!</definedName>
    <definedName name="tableESWCTDollar" localSheetId="140">#REF!</definedName>
    <definedName name="tableESWCTDollar" localSheetId="141">#REF!</definedName>
    <definedName name="tableESWCTDollar" localSheetId="142">#REF!</definedName>
    <definedName name="tableESWCTDollar" localSheetId="51">#REF!</definedName>
    <definedName name="tableESWCTDollar" localSheetId="49">#REF!</definedName>
    <definedName name="tableESWCTDollar" localSheetId="53">#REF!</definedName>
    <definedName name="tableESWCTDollar" localSheetId="63">#REF!</definedName>
    <definedName name="tableESWCTDollar" localSheetId="72">#REF!</definedName>
    <definedName name="tableESWCTDollar" localSheetId="79">#REF!</definedName>
    <definedName name="tableESWCTDollar" localSheetId="9">#REF!</definedName>
    <definedName name="tableESWCTDollar" localSheetId="10">#REF!</definedName>
    <definedName name="tableESWCTDollar" localSheetId="8">#REF!</definedName>
    <definedName name="tableESWCTDollar" localSheetId="74">#REF!</definedName>
    <definedName name="tableESWCTDollar" localSheetId="82">#REF!</definedName>
    <definedName name="tableESWCTDollar" localSheetId="92">#REF!</definedName>
    <definedName name="tableESWCTDollar" localSheetId="95">#REF!</definedName>
    <definedName name="tableESWCTDollar" localSheetId="115">#REF!</definedName>
    <definedName name="tableESWCTDollar" localSheetId="117">#REF!</definedName>
    <definedName name="tableESWCTDollar" localSheetId="146">#REF!</definedName>
    <definedName name="tableESWCTDollar" localSheetId="147">#REF!</definedName>
    <definedName name="tableESWCTDollar" localSheetId="143">#REF!</definedName>
    <definedName name="tableESWCTDollar" localSheetId="144">#REF!</definedName>
    <definedName name="tableESWCTDollar" localSheetId="145">#REF!</definedName>
    <definedName name="tableESWCTDollar" localSheetId="66">#REF!</definedName>
    <definedName name="tableESWCTDollar" localSheetId="70">#REF!</definedName>
    <definedName name="tableESWCTDollar" localSheetId="83">#REF!</definedName>
    <definedName name="tableESWCTDollar" localSheetId="90">#REF!</definedName>
    <definedName name="tableESWCTDollar" localSheetId="99">#REF!</definedName>
    <definedName name="tableESWCTDollar" localSheetId="7">#REF!</definedName>
    <definedName name="tableESWCTDollar" localSheetId="110">#REF!</definedName>
    <definedName name="tableESWCTDollar" localSheetId="41">#REF!</definedName>
    <definedName name="tableESWCTDollar" localSheetId="43">#REF!</definedName>
    <definedName name="tableESWCTDollar" localSheetId="86">#REF!</definedName>
    <definedName name="tableESWCTDollar">#REF!</definedName>
    <definedName name="TableESWCTkw" localSheetId="64">#REF!</definedName>
    <definedName name="TableESWCTkw" localSheetId="73">#REF!</definedName>
    <definedName name="TableESWCTkw" localSheetId="81">#REF!</definedName>
    <definedName name="TableESWCTkw" localSheetId="84">#REF!</definedName>
    <definedName name="TableESWCTkw" localSheetId="91">#REF!</definedName>
    <definedName name="TableESWCTkw" localSheetId="94">#REF!</definedName>
    <definedName name="TableESWCTkw" localSheetId="113">#REF!</definedName>
    <definedName name="TableESWCTkw" localSheetId="114">#REF!</definedName>
    <definedName name="TableESWCTkw" localSheetId="116">#REF!</definedName>
    <definedName name="TableESWCTkw" localSheetId="128">#REF!</definedName>
    <definedName name="TableESWCTkw" localSheetId="140">#REF!</definedName>
    <definedName name="TableESWCTkw" localSheetId="141">#REF!</definedName>
    <definedName name="TableESWCTkw" localSheetId="142">#REF!</definedName>
    <definedName name="TableESWCTkw" localSheetId="51">#REF!</definedName>
    <definedName name="TableESWCTkw" localSheetId="49">#REF!</definedName>
    <definedName name="TableESWCTkw" localSheetId="53">#REF!</definedName>
    <definedName name="TableESWCTkw" localSheetId="63">#REF!</definedName>
    <definedName name="TableESWCTkw" localSheetId="72">#REF!</definedName>
    <definedName name="TableESWCTkw" localSheetId="79">#REF!</definedName>
    <definedName name="TableESWCTkw" localSheetId="9">#REF!</definedName>
    <definedName name="TableESWCTkw" localSheetId="10">#REF!</definedName>
    <definedName name="TableESWCTkw" localSheetId="8">#REF!</definedName>
    <definedName name="TableESWCTkw" localSheetId="74">#REF!</definedName>
    <definedName name="TableESWCTkw" localSheetId="82">#REF!</definedName>
    <definedName name="TableESWCTkw" localSheetId="92">#REF!</definedName>
    <definedName name="TableESWCTkw" localSheetId="95">#REF!</definedName>
    <definedName name="TableESWCTkw" localSheetId="115">#REF!</definedName>
    <definedName name="TableESWCTkw" localSheetId="117">#REF!</definedName>
    <definedName name="TableESWCTkw" localSheetId="146">#REF!</definedName>
    <definedName name="TableESWCTkw" localSheetId="147">#REF!</definedName>
    <definedName name="TableESWCTkw" localSheetId="143">#REF!</definedName>
    <definedName name="TableESWCTkw" localSheetId="144">#REF!</definedName>
    <definedName name="TableESWCTkw" localSheetId="145">#REF!</definedName>
    <definedName name="TableESWCTkw" localSheetId="66">#REF!</definedName>
    <definedName name="TableESWCTkw" localSheetId="70">#REF!</definedName>
    <definedName name="TableESWCTkw" localSheetId="83">#REF!</definedName>
    <definedName name="TableESWCTkw" localSheetId="90">#REF!</definedName>
    <definedName name="TableESWCTkw" localSheetId="99">#REF!</definedName>
    <definedName name="TableESWCTkw" localSheetId="7">#REF!</definedName>
    <definedName name="TableESWCTkw" localSheetId="110">#REF!</definedName>
    <definedName name="TableESWCTkw" localSheetId="41">#REF!</definedName>
    <definedName name="TableESWCTkw" localSheetId="43">#REF!</definedName>
    <definedName name="TableESWCTkw" localSheetId="86">#REF!</definedName>
    <definedName name="TableESWCTkw">#REF!</definedName>
    <definedName name="tableEtype_of_service" localSheetId="64">#REF!</definedName>
    <definedName name="tableEtype_of_service" localSheetId="73">#REF!</definedName>
    <definedName name="tableEtype_of_service" localSheetId="81">#REF!</definedName>
    <definedName name="tableEtype_of_service" localSheetId="84">#REF!</definedName>
    <definedName name="tableEtype_of_service" localSheetId="91">#REF!</definedName>
    <definedName name="tableEtype_of_service" localSheetId="94">#REF!</definedName>
    <definedName name="tableEtype_of_service" localSheetId="113">#REF!</definedName>
    <definedName name="tableEtype_of_service" localSheetId="114">#REF!</definedName>
    <definedName name="tableEtype_of_service" localSheetId="116">#REF!</definedName>
    <definedName name="tableEtype_of_service" localSheetId="128">#REF!</definedName>
    <definedName name="tableEtype_of_service" localSheetId="140">#REF!</definedName>
    <definedName name="tableEtype_of_service" localSheetId="141">#REF!</definedName>
    <definedName name="tableEtype_of_service" localSheetId="142">#REF!</definedName>
    <definedName name="tableEtype_of_service" localSheetId="51">#REF!</definedName>
    <definedName name="tableEtype_of_service" localSheetId="49">#REF!</definedName>
    <definedName name="tableEtype_of_service" localSheetId="53">#REF!</definedName>
    <definedName name="tableEtype_of_service" localSheetId="63">#REF!</definedName>
    <definedName name="tableEtype_of_service" localSheetId="72">#REF!</definedName>
    <definedName name="tableEtype_of_service" localSheetId="79">#REF!</definedName>
    <definedName name="tableEtype_of_service" localSheetId="9">#REF!</definedName>
    <definedName name="tableEtype_of_service" localSheetId="10">#REF!</definedName>
    <definedName name="tableEtype_of_service" localSheetId="8">#REF!</definedName>
    <definedName name="tableEtype_of_service" localSheetId="74">#REF!</definedName>
    <definedName name="tableEtype_of_service" localSheetId="82">#REF!</definedName>
    <definedName name="tableEtype_of_service" localSheetId="92">#REF!</definedName>
    <definedName name="tableEtype_of_service" localSheetId="95">#REF!</definedName>
    <definedName name="tableEtype_of_service" localSheetId="115">#REF!</definedName>
    <definedName name="tableEtype_of_service" localSheetId="117">#REF!</definedName>
    <definedName name="tableEtype_of_service" localSheetId="146">#REF!</definedName>
    <definedName name="tableEtype_of_service" localSheetId="147">#REF!</definedName>
    <definedName name="tableEtype_of_service" localSheetId="143">#REF!</definedName>
    <definedName name="tableEtype_of_service" localSheetId="144">#REF!</definedName>
    <definedName name="tableEtype_of_service" localSheetId="145">#REF!</definedName>
    <definedName name="tableEtype_of_service" localSheetId="66">#REF!</definedName>
    <definedName name="tableEtype_of_service" localSheetId="70">#REF!</definedName>
    <definedName name="tableEtype_of_service" localSheetId="83">#REF!</definedName>
    <definedName name="tableEtype_of_service" localSheetId="90">#REF!</definedName>
    <definedName name="tableEtype_of_service" localSheetId="99">#REF!</definedName>
    <definedName name="tableEtype_of_service" localSheetId="7">#REF!</definedName>
    <definedName name="tableEtype_of_service" localSheetId="110">#REF!</definedName>
    <definedName name="tableEtype_of_service" localSheetId="41">#REF!</definedName>
    <definedName name="tableEtype_of_service" localSheetId="43">#REF!</definedName>
    <definedName name="tableEtype_of_service" localSheetId="86">#REF!</definedName>
    <definedName name="tableEtype_of_service">#REF!</definedName>
    <definedName name="tavleACLP2005" localSheetId="113">#REF!</definedName>
    <definedName name="tavleACLP2005" localSheetId="114">#REF!</definedName>
    <definedName name="tavleACLP2005" localSheetId="116">#REF!</definedName>
    <definedName name="tavleACLP2005" localSheetId="128">#REF!</definedName>
    <definedName name="tavleACLP2005" localSheetId="140">#REF!</definedName>
    <definedName name="tavleACLP2005" localSheetId="141">#REF!</definedName>
    <definedName name="tavleACLP2005" localSheetId="142">#REF!</definedName>
    <definedName name="tavleACLP2005" localSheetId="9">#REF!</definedName>
    <definedName name="tavleACLP2005" localSheetId="10">#REF!</definedName>
    <definedName name="tavleACLP2005" localSheetId="8">#REF!</definedName>
    <definedName name="tavleACLP2005" localSheetId="115">#REF!</definedName>
    <definedName name="tavleACLP2005" localSheetId="117">#REF!</definedName>
    <definedName name="tavleACLP2005" localSheetId="146">#REF!</definedName>
    <definedName name="tavleACLP2005" localSheetId="147">#REF!</definedName>
    <definedName name="tavleACLP2005" localSheetId="143">#REF!</definedName>
    <definedName name="tavleACLP2005" localSheetId="144">#REF!</definedName>
    <definedName name="tavleACLP2005" localSheetId="145">#REF!</definedName>
    <definedName name="tavleACLP2005" localSheetId="7">#REF!</definedName>
    <definedName name="tavleACLP2005" localSheetId="110">#REF!</definedName>
    <definedName name="tavleACLP2005" localSheetId="86">#REF!</definedName>
    <definedName name="tavleACLP2005">#REF!</definedName>
    <definedName name="TM1REBUILDOPTION">1</definedName>
    <definedName name="type_of_service" localSheetId="64">#REF!</definedName>
    <definedName name="type_of_service" localSheetId="73">#REF!</definedName>
    <definedName name="type_of_service" localSheetId="81">#REF!</definedName>
    <definedName name="type_of_service" localSheetId="84">#REF!</definedName>
    <definedName name="type_of_service" localSheetId="91">#REF!</definedName>
    <definedName name="type_of_service" localSheetId="94">#REF!</definedName>
    <definedName name="type_of_service" localSheetId="113">#REF!</definedName>
    <definedName name="type_of_service" localSheetId="114">#REF!</definedName>
    <definedName name="type_of_service" localSheetId="116">#REF!</definedName>
    <definedName name="type_of_service" localSheetId="128">#REF!</definedName>
    <definedName name="type_of_service" localSheetId="140">#REF!</definedName>
    <definedName name="type_of_service" localSheetId="141">#REF!</definedName>
    <definedName name="type_of_service" localSheetId="142">#REF!</definedName>
    <definedName name="type_of_service" localSheetId="51">#REF!</definedName>
    <definedName name="type_of_service" localSheetId="49">#REF!</definedName>
    <definedName name="type_of_service" localSheetId="53">#REF!</definedName>
    <definedName name="type_of_service" localSheetId="63">#REF!</definedName>
    <definedName name="type_of_service" localSheetId="72">#REF!</definedName>
    <definedName name="type_of_service" localSheetId="79">#REF!</definedName>
    <definedName name="type_of_service" localSheetId="9">#REF!</definedName>
    <definedName name="type_of_service" localSheetId="10">#REF!</definedName>
    <definedName name="type_of_service" localSheetId="8">#REF!</definedName>
    <definedName name="type_of_service" localSheetId="74">#REF!</definedName>
    <definedName name="type_of_service" localSheetId="82">#REF!</definedName>
    <definedName name="type_of_service" localSheetId="92">#REF!</definedName>
    <definedName name="type_of_service" localSheetId="95">#REF!</definedName>
    <definedName name="type_of_service" localSheetId="115">#REF!</definedName>
    <definedName name="type_of_service" localSheetId="117">#REF!</definedName>
    <definedName name="type_of_service" localSheetId="146">#REF!</definedName>
    <definedName name="type_of_service" localSheetId="147">#REF!</definedName>
    <definedName name="type_of_service" localSheetId="143">#REF!</definedName>
    <definedName name="type_of_service" localSheetId="144">#REF!</definedName>
    <definedName name="type_of_service" localSheetId="145">#REF!</definedName>
    <definedName name="type_of_service" localSheetId="66">#REF!</definedName>
    <definedName name="type_of_service" localSheetId="70">#REF!</definedName>
    <definedName name="type_of_service" localSheetId="83">#REF!</definedName>
    <definedName name="type_of_service" localSheetId="90">#REF!</definedName>
    <definedName name="type_of_service" localSheetId="99">#REF!</definedName>
    <definedName name="type_of_service" localSheetId="7">#REF!</definedName>
    <definedName name="type_of_service" localSheetId="110">#REF!</definedName>
    <definedName name="type_of_service" localSheetId="41">#REF!</definedName>
    <definedName name="type_of_service" localSheetId="43">#REF!</definedName>
    <definedName name="type_of_service" localSheetId="86">#REF!</definedName>
    <definedName name="type_of_service">#REF!</definedName>
    <definedName name="wgl" hidden="1">{#N/A,#N/A,FALSE,"GLDwnLoad"}</definedName>
    <definedName name="win" hidden="1">{#N/A,#N/A,FALSE,"OTHERINPUTS";#N/A,#N/A,FALSE,"DITRATEINPUTS";#N/A,#N/A,FALSE,"SUPPLIEDADJINPUT";#N/A,#N/A,FALSE,"TIMINGDIFFINPUTS";#N/A,#N/A,FALSE,"BR&amp;SUPADJ."}</definedName>
    <definedName name="wp"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 hidden="1">{#N/A,#N/A,FALSE,"RORMEMO";#N/A,#N/A,FALSE,"RORSUMMARY";#N/A,#N/A,FALSE,"RORDETAIL"}</definedName>
    <definedName name="wrn.CLP_GL." hidden="1">{#N/A,#N/A,FALSE,"GLDwnLoad"}</definedName>
    <definedName name="wrn.CLP_INPUTS." hidden="1">{#N/A,#N/A,FALSE,"OTHERINPUTS";#N/A,#N/A,FALSE,"DITRATEINPUTS";#N/A,#N/A,FALSE,"SUPPLIEDADJINPUT";#N/A,#N/A,FALSE,"TIMINGDIFFINPUTS";#N/A,#N/A,FALSE,"BR&amp;SUPADJ."}</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ROR_MEMO." hidden="1">{#N/A,#N/A,FALSE,"RORMEMO";#N/A,#N/A,FALSE,"RORSUMMARY";#N/A,#N/A,FALSE,"RORDETAIL"}</definedName>
    <definedName name="wrn.WMECO_GL." hidden="1">{#N/A,#N/A,FALSE,"GLDwnLoad"}</definedName>
    <definedName name="wrn.WMECO_INPUTS." hidden="1">{#N/A,#N/A,FALSE,"OTHERINPUTS";#N/A,#N/A,FALSE,"DITRATEINPUTS";#N/A,#N/A,FALSE,"SUPPLIEDADJINPUT";#N/A,#N/A,FALSE,"TIMINGDIFFINPUTS";#N/A,#N/A,FALSE,"BR&amp;SUPADJ."}</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YTDActual" localSheetId="140">#REF!</definedName>
    <definedName name="YTDActual" localSheetId="141">#REF!</definedName>
    <definedName name="YTDActual" localSheetId="142">#REF!</definedName>
    <definedName name="YTDActual" localSheetId="143">#REF!</definedName>
    <definedName name="YTDActual" localSheetId="144">#REF!</definedName>
    <definedName name="YTDActual" localSheetId="145">#REF!</definedName>
    <definedName name="YTDActual">#REF!</definedName>
    <definedName name="ytdcc" localSheetId="113">#REF!</definedName>
    <definedName name="ytdcc" localSheetId="114">#REF!</definedName>
    <definedName name="ytdcc" localSheetId="116">#REF!</definedName>
    <definedName name="ytdcc" localSheetId="128">#REF!</definedName>
    <definedName name="ytdcc" localSheetId="140">#REF!</definedName>
    <definedName name="ytdcc" localSheetId="141">#REF!</definedName>
    <definedName name="ytdcc" localSheetId="142">#REF!</definedName>
    <definedName name="ytdcc" localSheetId="51">#REF!</definedName>
    <definedName name="ytdcc" localSheetId="115">#REF!</definedName>
    <definedName name="ytdcc" localSheetId="117">#REF!</definedName>
    <definedName name="ytdcc" localSheetId="146">#REF!</definedName>
    <definedName name="ytdcc" localSheetId="147">#REF!</definedName>
    <definedName name="ytdcc" localSheetId="143">#REF!</definedName>
    <definedName name="ytdcc" localSheetId="144">#REF!</definedName>
    <definedName name="ytdcc" localSheetId="145">#REF!</definedName>
    <definedName name="ytdcc" localSheetId="110">#REF!</definedName>
    <definedName name="ytdcc" localSheetId="86">#REF!</definedName>
    <definedName name="ytdcc">#REF!</definedName>
    <definedName name="Z_D2F95F47_E6D4_11D4_AE5C_97D8D8C33B07_.wvu.Cols" localSheetId="4" hidden="1">'2012 Combined Table A1 -Inc.Fun'!#REF!</definedName>
    <definedName name="Z_D2F95F47_E6D4_11D4_AE5C_97D8D8C33B07_.wvu.Cols" localSheetId="0" hidden="1">'2012-2013 Combined Table A1 '!#REF!</definedName>
    <definedName name="Z_D2F95F47_E6D4_11D4_AE5C_97D8D8C33B07_.wvu.Cols" localSheetId="1" hidden="1">'2013-2015 Combined Table A1'!#REF!</definedName>
    <definedName name="Z_D2F95F47_E6D4_11D4_AE5C_97D8D8C33B07_.wvu.Cols" localSheetId="24" hidden="1">'CNG Table A2'!#REF!</definedName>
    <definedName name="Z_D2F95F47_E6D4_11D4_AE5C_97D8D8C33B07_.wvu.Cols" localSheetId="2" hidden="1">'Combined Table A2'!#REF!</definedName>
    <definedName name="Z_D2F95F47_E6D4_11D4_AE5C_97D8D8C33B07_.wvu.Cols" localSheetId="26" hidden="1">'SCG Table A'!#REF!</definedName>
    <definedName name="Z_D2F95F47_E6D4_11D4_AE5C_97D8D8C33B07_.wvu.Cols" localSheetId="37" hidden="1">'SCG Table A2'!#REF!</definedName>
    <definedName name="Z_D2F95F47_E6D4_11D4_AE5C_97D8D8C33B07_.wvu.Cols" localSheetId="11" hidden="1">'YGS Table A '!#REF!</definedName>
    <definedName name="Z_D2F95F47_E6D4_11D4_AE5C_97D8D8C33B07_.wvu.Cols" localSheetId="88" hidden="1">'YGS Table D1'!#REF!</definedName>
    <definedName name="Z_D2F95F47_E6D4_11D4_AE5C_97D8D8C33B07_.wvu.Cols" localSheetId="87" hidden="1">'YGS Table D1 '!#REF!</definedName>
    <definedName name="Z_D2F95F47_E6D4_11D4_AE5C_97D8D8C33B07_.wvu.Cols" localSheetId="89" hidden="1">'YGS Table D3'!#REF!</definedName>
    <definedName name="Z_D2F95F47_E6D4_11D4_AE5C_97D8D8C33B07_.wvu.PrintArea" localSheetId="4" hidden="1">'2012 Combined Table A1 -Inc.Fun'!$A$2:$B$48</definedName>
    <definedName name="Z_D2F95F47_E6D4_11D4_AE5C_97D8D8C33B07_.wvu.PrintArea" localSheetId="0" hidden="1">'2012-2013 Combined Table A1 '!$A$2:$B$58</definedName>
    <definedName name="Z_D2F95F47_E6D4_11D4_AE5C_97D8D8C33B07_.wvu.PrintArea" localSheetId="1" hidden="1">'2013-2015 Combined Table A1'!$A$2:$B$64</definedName>
    <definedName name="Z_D2F95F47_E6D4_11D4_AE5C_97D8D8C33B07_.wvu.PrintArea" localSheetId="24" hidden="1">'CNG Table A2'!$A$2:$B$25</definedName>
    <definedName name="Z_D2F95F47_E6D4_11D4_AE5C_97D8D8C33B07_.wvu.PrintArea" localSheetId="2" hidden="1">'Combined Table A2'!$A$2:$A$5</definedName>
    <definedName name="Z_D2F95F47_E6D4_11D4_AE5C_97D8D8C33B07_.wvu.PrintArea" localSheetId="26" hidden="1">'SCG Table A'!$A$2:$B$56</definedName>
    <definedName name="Z_D2F95F47_E6D4_11D4_AE5C_97D8D8C33B07_.wvu.PrintArea" localSheetId="37" hidden="1">'SCG Table A2'!$A$2:$B$25</definedName>
    <definedName name="Z_D2F95F47_E6D4_11D4_AE5C_97D8D8C33B07_.wvu.PrintArea" localSheetId="11" hidden="1">'YGS Table A '!$A$2:$B$58</definedName>
    <definedName name="Z_D2F95F47_E6D4_11D4_AE5C_97D8D8C33B07_.wvu.PrintArea" localSheetId="88" hidden="1">'YGS Table D1'!$A$2:$B$56</definedName>
    <definedName name="Z_D2F95F47_E6D4_11D4_AE5C_97D8D8C33B07_.wvu.PrintArea" localSheetId="87" hidden="1">'YGS Table D1 '!$A$2:$B$56</definedName>
    <definedName name="Z_D2F95F47_E6D4_11D4_AE5C_97D8D8C33B07_.wvu.PrintArea" localSheetId="89" hidden="1">'YGS Table D3'!$A$2:$B$38</definedName>
  </definedNames>
  <calcPr calcId="191029" iterate="1"/>
  <customWorkbookViews>
    <customWorkbookView name="Northeast Utilities - Personal View" guid="{4B4DD22E-0597-11D6-8A0C-B402BE90843A}" mergeInterval="0" personalView="1" xWindow="5" yWindow="24" windowWidth="484" windowHeight="552"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335" l="1"/>
  <c r="K13" i="335" s="1"/>
  <c r="G13" i="337"/>
  <c r="G17" i="337"/>
  <c r="I55" i="330"/>
  <c r="I40" i="330"/>
  <c r="O16" i="318"/>
  <c r="O18" i="318"/>
  <c r="N17" i="318"/>
  <c r="S14" i="335"/>
  <c r="S12" i="335"/>
  <c r="Q16" i="335"/>
  <c r="Q15" i="335"/>
  <c r="Q13" i="335"/>
  <c r="Q16" i="318"/>
  <c r="Q15" i="318"/>
  <c r="S14" i="318"/>
  <c r="Q13" i="318"/>
  <c r="S12" i="318"/>
  <c r="S14" i="312"/>
  <c r="S12" i="312"/>
  <c r="Q16" i="312"/>
  <c r="Q15" i="312"/>
  <c r="Q13" i="312"/>
  <c r="S14" i="337"/>
  <c r="S12" i="337"/>
  <c r="S30" i="337"/>
  <c r="S29" i="337"/>
  <c r="S28" i="337"/>
  <c r="S27" i="337"/>
  <c r="Q31" i="337"/>
  <c r="Q30" i="337"/>
  <c r="Q29" i="337"/>
  <c r="Q28" i="337"/>
  <c r="Q27" i="337"/>
  <c r="R31" i="337"/>
  <c r="S14" i="313"/>
  <c r="S12" i="313"/>
  <c r="S14" i="311"/>
  <c r="S12" i="311"/>
  <c r="K53" i="337"/>
  <c r="H23" i="309"/>
  <c r="H22" i="309"/>
  <c r="H21" i="309"/>
  <c r="H16" i="309"/>
  <c r="N48" i="127"/>
  <c r="N47" i="127"/>
  <c r="N46" i="127"/>
  <c r="N45" i="127"/>
  <c r="N44" i="127"/>
  <c r="N43" i="127"/>
  <c r="N42" i="127"/>
  <c r="N41" i="127"/>
  <c r="N38" i="127"/>
  <c r="N37" i="127"/>
  <c r="N36" i="127"/>
  <c r="N33" i="127"/>
  <c r="N32" i="127"/>
  <c r="N31" i="127"/>
  <c r="N30" i="127"/>
  <c r="N27" i="127"/>
  <c r="N26" i="127"/>
  <c r="N23" i="127"/>
  <c r="J49" i="337"/>
  <c r="F49" i="337"/>
  <c r="C49" i="337"/>
  <c r="H48" i="337"/>
  <c r="H49" i="337"/>
  <c r="G48" i="337"/>
  <c r="E48" i="337"/>
  <c r="D48" i="337"/>
  <c r="K47" i="337"/>
  <c r="H47" i="337"/>
  <c r="G47" i="337"/>
  <c r="D47" i="337"/>
  <c r="K46" i="337"/>
  <c r="H46" i="337"/>
  <c r="G46" i="337"/>
  <c r="D46" i="337"/>
  <c r="K45" i="337"/>
  <c r="H45" i="337"/>
  <c r="G45" i="337"/>
  <c r="E45" i="337"/>
  <c r="D45" i="337"/>
  <c r="H44" i="337"/>
  <c r="G44" i="337"/>
  <c r="D44" i="337"/>
  <c r="K44" i="337"/>
  <c r="H43" i="337"/>
  <c r="G43" i="337"/>
  <c r="D43" i="337"/>
  <c r="K43" i="337"/>
  <c r="H42" i="337"/>
  <c r="G42" i="337"/>
  <c r="D42" i="337"/>
  <c r="K42" i="337"/>
  <c r="G41" i="337"/>
  <c r="D41" i="337"/>
  <c r="K41" i="337"/>
  <c r="H40" i="337"/>
  <c r="G40" i="337"/>
  <c r="G49" i="337"/>
  <c r="E40" i="337"/>
  <c r="E49" i="337"/>
  <c r="D40" i="337"/>
  <c r="K40" i="337"/>
  <c r="J38" i="337"/>
  <c r="H38" i="337"/>
  <c r="G38" i="337"/>
  <c r="F38" i="337"/>
  <c r="E38" i="337"/>
  <c r="D38" i="337"/>
  <c r="C38" i="337"/>
  <c r="I37" i="337"/>
  <c r="K37" i="337"/>
  <c r="K36" i="337"/>
  <c r="I35" i="337"/>
  <c r="K35" i="337"/>
  <c r="J33" i="337"/>
  <c r="I33" i="337"/>
  <c r="H33" i="337"/>
  <c r="G33" i="337"/>
  <c r="F33" i="337"/>
  <c r="E33" i="337"/>
  <c r="D33" i="337"/>
  <c r="C33" i="337"/>
  <c r="K32" i="337"/>
  <c r="K31" i="337"/>
  <c r="K30" i="337"/>
  <c r="K29" i="337"/>
  <c r="K33" i="337"/>
  <c r="J27" i="337"/>
  <c r="I27" i="337"/>
  <c r="H27" i="337"/>
  <c r="G27" i="337"/>
  <c r="F27" i="337"/>
  <c r="D27" i="337"/>
  <c r="C27" i="337"/>
  <c r="G26" i="337"/>
  <c r="E26" i="337"/>
  <c r="K26" i="337"/>
  <c r="L26" i="337"/>
  <c r="G25" i="337"/>
  <c r="E25" i="337"/>
  <c r="E27" i="337"/>
  <c r="J23" i="337"/>
  <c r="I23" i="337"/>
  <c r="H23" i="337"/>
  <c r="G23" i="337"/>
  <c r="R23" i="337"/>
  <c r="F23" i="337"/>
  <c r="E23" i="337"/>
  <c r="D23" i="337"/>
  <c r="C23" i="337"/>
  <c r="O22" i="337"/>
  <c r="K22" i="337"/>
  <c r="E22" i="337"/>
  <c r="O21" i="337"/>
  <c r="K21" i="337"/>
  <c r="N22" i="127"/>
  <c r="O20" i="337"/>
  <c r="K20" i="337"/>
  <c r="N21" i="127"/>
  <c r="O19" i="337"/>
  <c r="K19" i="337"/>
  <c r="N20" i="127"/>
  <c r="O18" i="337"/>
  <c r="J17" i="337"/>
  <c r="J51" i="337"/>
  <c r="I17" i="337"/>
  <c r="H17" i="337"/>
  <c r="H51" i="337"/>
  <c r="F17" i="337"/>
  <c r="F51" i="337"/>
  <c r="E17" i="337"/>
  <c r="D17" i="337"/>
  <c r="C17" i="337"/>
  <c r="O16" i="337"/>
  <c r="K16" i="337"/>
  <c r="N17" i="127"/>
  <c r="O15" i="337"/>
  <c r="K15" i="337"/>
  <c r="O14" i="337"/>
  <c r="K14" i="337"/>
  <c r="N15" i="127"/>
  <c r="O13" i="337"/>
  <c r="O12" i="337"/>
  <c r="K12" i="337"/>
  <c r="N28" i="127"/>
  <c r="K53" i="335"/>
  <c r="N48" i="129"/>
  <c r="N47" i="129"/>
  <c r="N46" i="129"/>
  <c r="N45" i="129"/>
  <c r="N44" i="129"/>
  <c r="N43" i="129"/>
  <c r="N42" i="129"/>
  <c r="N41" i="129"/>
  <c r="N38" i="129"/>
  <c r="N37" i="129"/>
  <c r="N39" i="129"/>
  <c r="N36" i="129"/>
  <c r="N33" i="129"/>
  <c r="N32" i="129"/>
  <c r="N31" i="129"/>
  <c r="N34" i="129"/>
  <c r="N30" i="129"/>
  <c r="N27" i="129"/>
  <c r="N26" i="129"/>
  <c r="N22" i="129"/>
  <c r="J49" i="335"/>
  <c r="H49" i="335"/>
  <c r="G49" i="335"/>
  <c r="F49" i="335"/>
  <c r="D49" i="335"/>
  <c r="C49" i="335"/>
  <c r="K47" i="335"/>
  <c r="K46" i="335"/>
  <c r="E45" i="335"/>
  <c r="K45" i="335"/>
  <c r="K44" i="335"/>
  <c r="K43" i="335"/>
  <c r="K42" i="335"/>
  <c r="K41" i="335"/>
  <c r="E40" i="335"/>
  <c r="E49" i="335"/>
  <c r="J38" i="335"/>
  <c r="H38" i="335"/>
  <c r="G38" i="335"/>
  <c r="F38" i="335"/>
  <c r="E38" i="335"/>
  <c r="D38" i="335"/>
  <c r="C38" i="335"/>
  <c r="K37" i="335"/>
  <c r="K36" i="335"/>
  <c r="K35" i="335"/>
  <c r="K38" i="335"/>
  <c r="I35" i="335"/>
  <c r="I38" i="335"/>
  <c r="J33" i="335"/>
  <c r="I33" i="335"/>
  <c r="H33" i="335"/>
  <c r="G33" i="335"/>
  <c r="F33" i="335"/>
  <c r="E33" i="335"/>
  <c r="D33" i="335"/>
  <c r="C33" i="335"/>
  <c r="E32" i="335"/>
  <c r="K32" i="335"/>
  <c r="E31" i="335"/>
  <c r="K31" i="335"/>
  <c r="K30" i="335"/>
  <c r="K29" i="335"/>
  <c r="K33" i="335"/>
  <c r="E29" i="335"/>
  <c r="J27" i="335"/>
  <c r="I27" i="335"/>
  <c r="H27" i="335"/>
  <c r="F27" i="335"/>
  <c r="D27" i="335"/>
  <c r="C27" i="335"/>
  <c r="G26" i="335"/>
  <c r="E26" i="335"/>
  <c r="K26" i="335"/>
  <c r="G25" i="335"/>
  <c r="G27" i="335"/>
  <c r="E25" i="335"/>
  <c r="K25" i="335"/>
  <c r="K27" i="335"/>
  <c r="J23" i="335"/>
  <c r="I23" i="335"/>
  <c r="H23" i="335"/>
  <c r="G23" i="335"/>
  <c r="O23" i="335"/>
  <c r="F23" i="335"/>
  <c r="E23" i="335"/>
  <c r="D23" i="335"/>
  <c r="C23" i="335"/>
  <c r="O22" i="335"/>
  <c r="K22" i="335"/>
  <c r="N23" i="129"/>
  <c r="E22" i="335"/>
  <c r="O21" i="335"/>
  <c r="K21" i="335"/>
  <c r="O20" i="335"/>
  <c r="K20" i="335"/>
  <c r="N21" i="129"/>
  <c r="O19" i="335"/>
  <c r="K19" i="335"/>
  <c r="O18" i="335"/>
  <c r="J17" i="335"/>
  <c r="J51" i="335"/>
  <c r="I17" i="335"/>
  <c r="H17" i="335"/>
  <c r="H51" i="335"/>
  <c r="G17" i="335"/>
  <c r="F17" i="335"/>
  <c r="F51" i="335"/>
  <c r="E17" i="335"/>
  <c r="D17" i="335"/>
  <c r="D51" i="335"/>
  <c r="C17" i="335"/>
  <c r="C51" i="335"/>
  <c r="O16" i="335"/>
  <c r="K16" i="335"/>
  <c r="N17" i="129"/>
  <c r="O15" i="335"/>
  <c r="K15" i="335"/>
  <c r="N16" i="129"/>
  <c r="O14" i="335"/>
  <c r="K14" i="335"/>
  <c r="N15" i="129"/>
  <c r="O13" i="335"/>
  <c r="O12" i="335"/>
  <c r="K12" i="335"/>
  <c r="N13" i="129"/>
  <c r="N28" i="129"/>
  <c r="H16" i="310"/>
  <c r="H21" i="310"/>
  <c r="H22" i="310"/>
  <c r="H23" i="310"/>
  <c r="R50" i="298"/>
  <c r="R51" i="298"/>
  <c r="R52" i="298"/>
  <c r="R53" i="298"/>
  <c r="R54" i="298"/>
  <c r="R55" i="298"/>
  <c r="R56" i="298"/>
  <c r="R57" i="298"/>
  <c r="R58" i="298"/>
  <c r="R39" i="298"/>
  <c r="R40" i="298"/>
  <c r="R41" i="298"/>
  <c r="R30" i="298"/>
  <c r="R31" i="298"/>
  <c r="R32" i="298"/>
  <c r="R33" i="298"/>
  <c r="R18" i="298"/>
  <c r="R19" i="298"/>
  <c r="R20" i="298"/>
  <c r="R21" i="298"/>
  <c r="R13" i="298"/>
  <c r="R12" i="298"/>
  <c r="R11" i="298"/>
  <c r="R10" i="298"/>
  <c r="R9" i="298"/>
  <c r="Q48" i="294"/>
  <c r="Q21" i="294"/>
  <c r="Q20" i="294"/>
  <c r="Q19" i="294"/>
  <c r="Q18" i="294"/>
  <c r="Q13" i="294"/>
  <c r="Q12" i="294"/>
  <c r="Q11" i="294"/>
  <c r="Q10" i="294"/>
  <c r="Q9" i="294"/>
  <c r="Q50" i="294"/>
  <c r="Q51" i="294"/>
  <c r="Q52" i="294"/>
  <c r="Q53" i="294"/>
  <c r="Q54" i="294"/>
  <c r="Q55" i="294"/>
  <c r="Q56" i="294"/>
  <c r="Q57" i="294"/>
  <c r="Q58" i="294"/>
  <c r="Q30" i="294"/>
  <c r="Q31" i="294"/>
  <c r="Q32" i="294"/>
  <c r="Q33" i="294"/>
  <c r="N16" i="127"/>
  <c r="C51" i="337"/>
  <c r="K23" i="337"/>
  <c r="N13" i="127"/>
  <c r="D51" i="337"/>
  <c r="K38" i="337"/>
  <c r="E51" i="337"/>
  <c r="D49" i="337"/>
  <c r="I38" i="337"/>
  <c r="R19" i="337"/>
  <c r="R20" i="337"/>
  <c r="R21" i="337"/>
  <c r="O23" i="337"/>
  <c r="K25" i="337"/>
  <c r="R22" i="337"/>
  <c r="N24" i="127"/>
  <c r="N58" i="127"/>
  <c r="Q15" i="294"/>
  <c r="Q22" i="294"/>
  <c r="Q37" i="294"/>
  <c r="N34" i="127"/>
  <c r="N39" i="127"/>
  <c r="K23" i="335"/>
  <c r="N20" i="129"/>
  <c r="N24" i="129"/>
  <c r="N57" i="129"/>
  <c r="E27" i="335"/>
  <c r="E51" i="335"/>
  <c r="K40" i="335"/>
  <c r="G51" i="335"/>
  <c r="O17" i="335"/>
  <c r="R48" i="298"/>
  <c r="R15" i="298"/>
  <c r="R22" i="298"/>
  <c r="R37" i="298"/>
  <c r="L25" i="337"/>
  <c r="K27" i="337"/>
  <c r="D14" i="310"/>
  <c r="D16" i="310"/>
  <c r="D13" i="310"/>
  <c r="D12" i="310"/>
  <c r="D14" i="309"/>
  <c r="D16" i="309"/>
  <c r="D13" i="309"/>
  <c r="D12" i="309"/>
  <c r="E50" i="129"/>
  <c r="E39" i="129"/>
  <c r="E34" i="129"/>
  <c r="E28" i="129"/>
  <c r="E24" i="129"/>
  <c r="E18" i="129"/>
  <c r="E50" i="127"/>
  <c r="E39" i="127"/>
  <c r="E34" i="127"/>
  <c r="E28" i="127"/>
  <c r="E24" i="127"/>
  <c r="E18" i="127"/>
  <c r="E51" i="127"/>
  <c r="E51" i="129"/>
  <c r="K39" i="129"/>
  <c r="K34" i="129"/>
  <c r="K28" i="129"/>
  <c r="K24" i="129"/>
  <c r="K57" i="129"/>
  <c r="K18" i="129"/>
  <c r="H34" i="129"/>
  <c r="H28" i="129"/>
  <c r="K34" i="127"/>
  <c r="K28" i="127"/>
  <c r="K24" i="127"/>
  <c r="K58" i="127"/>
  <c r="K18" i="127"/>
  <c r="M20" i="127"/>
  <c r="M21" i="127"/>
  <c r="M22" i="127"/>
  <c r="M23" i="127"/>
  <c r="M26" i="127"/>
  <c r="M27" i="127"/>
  <c r="M30" i="127"/>
  <c r="M31" i="127"/>
  <c r="M32" i="127"/>
  <c r="M33" i="127"/>
  <c r="M36" i="127"/>
  <c r="M37" i="127"/>
  <c r="M38" i="127"/>
  <c r="M41" i="127"/>
  <c r="M42" i="127"/>
  <c r="M43" i="127"/>
  <c r="M44" i="127"/>
  <c r="M45" i="127"/>
  <c r="M46" i="127"/>
  <c r="M47" i="127"/>
  <c r="M48" i="127"/>
  <c r="M24" i="127"/>
  <c r="M58" i="127"/>
  <c r="K56" i="129"/>
  <c r="F28" i="129"/>
  <c r="H18" i="129"/>
  <c r="H56" i="129"/>
  <c r="H39" i="129"/>
  <c r="H24" i="129"/>
  <c r="H57" i="129"/>
  <c r="F39" i="129"/>
  <c r="F34" i="129"/>
  <c r="F18" i="129"/>
  <c r="F56" i="129"/>
  <c r="F24" i="129"/>
  <c r="F57" i="129"/>
  <c r="K57" i="127"/>
  <c r="M34" i="127"/>
  <c r="M28" i="127"/>
  <c r="K39" i="127"/>
  <c r="H28" i="127"/>
  <c r="M39" i="127"/>
  <c r="H34" i="127"/>
  <c r="F34" i="127"/>
  <c r="H18" i="127"/>
  <c r="H57" i="127"/>
  <c r="H24" i="127"/>
  <c r="H58" i="127"/>
  <c r="F28" i="127"/>
  <c r="F24" i="127"/>
  <c r="F58" i="127"/>
  <c r="H39" i="127"/>
  <c r="F18" i="127"/>
  <c r="F57" i="127"/>
  <c r="F39" i="127"/>
  <c r="G15" i="307"/>
  <c r="G19" i="307"/>
  <c r="Q20" i="307"/>
  <c r="Q21" i="307"/>
  <c r="Q22" i="307"/>
  <c r="Q23" i="307"/>
  <c r="Q19" i="307"/>
  <c r="Q19" i="306"/>
  <c r="Q20" i="306"/>
  <c r="Q21" i="306"/>
  <c r="Q22" i="306"/>
  <c r="Q23" i="306"/>
  <c r="G19" i="306"/>
  <c r="G21" i="306"/>
  <c r="G20" i="306"/>
  <c r="G21" i="307"/>
  <c r="G20" i="307"/>
  <c r="E22" i="318"/>
  <c r="E22" i="312"/>
  <c r="E22" i="307"/>
  <c r="E22" i="313"/>
  <c r="E22" i="311"/>
  <c r="E22" i="306"/>
  <c r="O12" i="312"/>
  <c r="E32" i="318"/>
  <c r="E31" i="318"/>
  <c r="E29" i="318"/>
  <c r="E32" i="312"/>
  <c r="E31" i="312"/>
  <c r="E29" i="312"/>
  <c r="E45" i="312"/>
  <c r="E40" i="312"/>
  <c r="I35" i="312"/>
  <c r="G26" i="312"/>
  <c r="E26" i="312"/>
  <c r="H22" i="312"/>
  <c r="H21" i="312"/>
  <c r="E21" i="312"/>
  <c r="H20" i="312"/>
  <c r="E20" i="312"/>
  <c r="H19" i="312"/>
  <c r="E19" i="312"/>
  <c r="E29" i="307"/>
  <c r="E31" i="307"/>
  <c r="E32" i="307"/>
  <c r="C49" i="306"/>
  <c r="E29" i="306"/>
  <c r="E32" i="306"/>
  <c r="E31" i="306"/>
  <c r="E12" i="310"/>
  <c r="E16" i="310"/>
  <c r="E16" i="309"/>
  <c r="C40" i="306"/>
  <c r="C45" i="306"/>
  <c r="C42" i="306"/>
  <c r="C32" i="306"/>
  <c r="C31" i="306"/>
  <c r="C29" i="306"/>
  <c r="C21" i="306"/>
  <c r="C22" i="306"/>
  <c r="C20" i="306"/>
  <c r="C19" i="306"/>
  <c r="C15" i="306"/>
  <c r="C13" i="306"/>
  <c r="C16" i="306"/>
  <c r="C14" i="306"/>
  <c r="C12" i="306"/>
  <c r="D50" i="129"/>
  <c r="D39" i="129"/>
  <c r="D34" i="129"/>
  <c r="D28" i="129"/>
  <c r="D51" i="129"/>
  <c r="D24" i="129"/>
  <c r="D18" i="129"/>
  <c r="C50" i="129"/>
  <c r="C39" i="129"/>
  <c r="C34" i="129"/>
  <c r="C28" i="129"/>
  <c r="C24" i="129"/>
  <c r="C18" i="129"/>
  <c r="C39" i="127"/>
  <c r="D39" i="127"/>
  <c r="C50" i="127"/>
  <c r="C34" i="127"/>
  <c r="D34" i="127"/>
  <c r="D50" i="127"/>
  <c r="C24" i="127"/>
  <c r="D24" i="127"/>
  <c r="C28" i="127"/>
  <c r="D28" i="127"/>
  <c r="C18" i="127"/>
  <c r="D18" i="127"/>
  <c r="V47" i="299"/>
  <c r="V41" i="299"/>
  <c r="E35" i="334"/>
  <c r="E37" i="334"/>
  <c r="V40" i="299"/>
  <c r="I48" i="333"/>
  <c r="U46" i="299"/>
  <c r="U37" i="299"/>
  <c r="U39" i="299"/>
  <c r="I48" i="332"/>
  <c r="E50" i="332"/>
  <c r="E52" i="332"/>
  <c r="T47" i="299"/>
  <c r="T46" i="299"/>
  <c r="T37" i="299"/>
  <c r="T39" i="299"/>
  <c r="T38" i="299"/>
  <c r="V22" i="301"/>
  <c r="V26" i="301"/>
  <c r="U22" i="301"/>
  <c r="U26" i="301"/>
  <c r="V15" i="301"/>
  <c r="V25" i="301"/>
  <c r="U15" i="301"/>
  <c r="U25" i="301"/>
  <c r="U27" i="301"/>
  <c r="T15" i="301"/>
  <c r="T25" i="301"/>
  <c r="V22" i="299"/>
  <c r="V26" i="299"/>
  <c r="U22" i="299"/>
  <c r="U26" i="299"/>
  <c r="T22" i="299"/>
  <c r="T26" i="299"/>
  <c r="V15" i="299"/>
  <c r="V25" i="299"/>
  <c r="V27" i="299"/>
  <c r="U15" i="299"/>
  <c r="U25" i="299"/>
  <c r="V47" i="295"/>
  <c r="V37" i="295"/>
  <c r="V39" i="295"/>
  <c r="I48" i="330"/>
  <c r="U49" i="295"/>
  <c r="U46" i="295"/>
  <c r="I33" i="330"/>
  <c r="U37" i="295"/>
  <c r="U39" i="295"/>
  <c r="U38" i="295"/>
  <c r="T49" i="295"/>
  <c r="I33" i="329"/>
  <c r="T39" i="295"/>
  <c r="T38" i="295"/>
  <c r="T40" i="295"/>
  <c r="V22" i="297"/>
  <c r="V26" i="297"/>
  <c r="U22" i="297"/>
  <c r="U26" i="297"/>
  <c r="T22" i="297"/>
  <c r="T26" i="297"/>
  <c r="V15" i="297"/>
  <c r="V25" i="297"/>
  <c r="U15" i="297"/>
  <c r="U25" i="297"/>
  <c r="T15" i="297"/>
  <c r="T25" i="297"/>
  <c r="U22" i="295"/>
  <c r="U26" i="295"/>
  <c r="T22" i="295"/>
  <c r="T26" i="295"/>
  <c r="U15" i="295"/>
  <c r="U25" i="295"/>
  <c r="V15" i="295"/>
  <c r="V25" i="295"/>
  <c r="V14" i="301"/>
  <c r="U14" i="301"/>
  <c r="T14" i="301"/>
  <c r="V49" i="299"/>
  <c r="U49" i="299"/>
  <c r="V48" i="299"/>
  <c r="V46" i="299"/>
  <c r="U48" i="299"/>
  <c r="T48" i="299"/>
  <c r="U47" i="299"/>
  <c r="U41" i="299"/>
  <c r="T41" i="299"/>
  <c r="U40" i="299"/>
  <c r="T40" i="299"/>
  <c r="V39" i="299"/>
  <c r="V38" i="299"/>
  <c r="U38" i="299"/>
  <c r="V42" i="299"/>
  <c r="U42" i="299"/>
  <c r="T42" i="299"/>
  <c r="V35" i="299"/>
  <c r="V14" i="299"/>
  <c r="U14" i="299"/>
  <c r="T14" i="299"/>
  <c r="V49" i="295"/>
  <c r="V48" i="295"/>
  <c r="U48" i="295"/>
  <c r="U47" i="295"/>
  <c r="T47" i="295"/>
  <c r="T46" i="295"/>
  <c r="V42" i="295"/>
  <c r="U42" i="295"/>
  <c r="T42" i="295"/>
  <c r="V41" i="295"/>
  <c r="U41" i="295"/>
  <c r="V40" i="295"/>
  <c r="U40" i="295"/>
  <c r="V38" i="295"/>
  <c r="I33" i="334"/>
  <c r="I33" i="333"/>
  <c r="J63" i="334"/>
  <c r="I48" i="334"/>
  <c r="J63" i="333"/>
  <c r="J63" i="332"/>
  <c r="I33" i="331"/>
  <c r="J63" i="331"/>
  <c r="J63" i="330"/>
  <c r="I48" i="329"/>
  <c r="J63" i="329"/>
  <c r="O45" i="293"/>
  <c r="N45" i="293"/>
  <c r="M45" i="293"/>
  <c r="K45" i="293"/>
  <c r="G45" i="293"/>
  <c r="F45" i="293"/>
  <c r="E45" i="293"/>
  <c r="O41" i="293"/>
  <c r="N41" i="293"/>
  <c r="M41" i="293"/>
  <c r="K41" i="293"/>
  <c r="G41" i="293"/>
  <c r="F41" i="293"/>
  <c r="E41" i="293"/>
  <c r="O37" i="293"/>
  <c r="N37" i="293"/>
  <c r="M37" i="293"/>
  <c r="K37" i="293"/>
  <c r="G37" i="293"/>
  <c r="F37" i="293"/>
  <c r="E37" i="293"/>
  <c r="O32" i="293"/>
  <c r="N32" i="293"/>
  <c r="M32" i="293"/>
  <c r="K32" i="293"/>
  <c r="G32" i="293"/>
  <c r="F32" i="293"/>
  <c r="E32" i="293"/>
  <c r="O21" i="293"/>
  <c r="N21" i="293"/>
  <c r="M21" i="293"/>
  <c r="K21" i="293"/>
  <c r="G21" i="293"/>
  <c r="F21" i="293"/>
  <c r="E21" i="293"/>
  <c r="O18" i="293"/>
  <c r="N18" i="293"/>
  <c r="M18" i="293"/>
  <c r="K18" i="293"/>
  <c r="G18" i="293"/>
  <c r="F18" i="293"/>
  <c r="E18" i="293"/>
  <c r="O15" i="293"/>
  <c r="N15" i="293"/>
  <c r="M15" i="293"/>
  <c r="K15" i="293"/>
  <c r="G15" i="293"/>
  <c r="F15" i="293"/>
  <c r="E15" i="293"/>
  <c r="O11" i="293"/>
  <c r="N11" i="293"/>
  <c r="M11" i="293"/>
  <c r="K11" i="293"/>
  <c r="G11" i="293"/>
  <c r="F11" i="293"/>
  <c r="E11" i="293"/>
  <c r="O7" i="293"/>
  <c r="N7" i="293"/>
  <c r="M7" i="293"/>
  <c r="K7" i="293"/>
  <c r="H7" i="293"/>
  <c r="G7" i="293"/>
  <c r="F7" i="293"/>
  <c r="E7" i="293"/>
  <c r="T37" i="295"/>
  <c r="O46" i="293"/>
  <c r="N46" i="293"/>
  <c r="M46" i="293"/>
  <c r="K46" i="293"/>
  <c r="G46" i="293"/>
  <c r="F46" i="293"/>
  <c r="E46" i="293"/>
  <c r="O42" i="293"/>
  <c r="N42" i="293"/>
  <c r="M42" i="293"/>
  <c r="K42" i="293"/>
  <c r="G42" i="293"/>
  <c r="F42" i="293"/>
  <c r="E42" i="293"/>
  <c r="O38" i="293"/>
  <c r="N38" i="293"/>
  <c r="M38" i="293"/>
  <c r="K38" i="293"/>
  <c r="G38" i="293"/>
  <c r="F38" i="293"/>
  <c r="E38" i="293"/>
  <c r="O33" i="293"/>
  <c r="N33" i="293"/>
  <c r="M33" i="293"/>
  <c r="K33" i="293"/>
  <c r="G33" i="293"/>
  <c r="F33" i="293"/>
  <c r="E33" i="293"/>
  <c r="O22" i="293"/>
  <c r="N22" i="293"/>
  <c r="M22" i="293"/>
  <c r="K22" i="293"/>
  <c r="O19" i="293"/>
  <c r="N19" i="293"/>
  <c r="M19" i="293"/>
  <c r="K19" i="293"/>
  <c r="O16" i="293"/>
  <c r="N16" i="293"/>
  <c r="M16" i="293"/>
  <c r="K16" i="293"/>
  <c r="G22" i="293"/>
  <c r="F22" i="293"/>
  <c r="E22" i="293"/>
  <c r="G19" i="293"/>
  <c r="F19" i="293"/>
  <c r="E19" i="293"/>
  <c r="G16" i="293"/>
  <c r="F16" i="293"/>
  <c r="E16" i="293"/>
  <c r="O12" i="293"/>
  <c r="N12" i="293"/>
  <c r="M12" i="293"/>
  <c r="K12" i="293"/>
  <c r="G12" i="293"/>
  <c r="F12" i="293"/>
  <c r="E12" i="293"/>
  <c r="O8" i="293"/>
  <c r="N8" i="293"/>
  <c r="M8" i="293"/>
  <c r="K8" i="293"/>
  <c r="G8" i="293"/>
  <c r="F8" i="293"/>
  <c r="E8" i="293"/>
  <c r="O46" i="292"/>
  <c r="N46" i="292"/>
  <c r="M46" i="292"/>
  <c r="K46" i="292"/>
  <c r="G46" i="292"/>
  <c r="F46" i="292"/>
  <c r="E46" i="292"/>
  <c r="O42" i="292"/>
  <c r="N42" i="292"/>
  <c r="M42" i="292"/>
  <c r="K42" i="292"/>
  <c r="G42" i="292"/>
  <c r="F42" i="292"/>
  <c r="E42" i="292"/>
  <c r="O38" i="292"/>
  <c r="N38" i="292"/>
  <c r="M38" i="292"/>
  <c r="K38" i="292"/>
  <c r="G38" i="292"/>
  <c r="F38" i="292"/>
  <c r="E38" i="292"/>
  <c r="O33" i="292"/>
  <c r="N33" i="292"/>
  <c r="M33" i="292"/>
  <c r="K33" i="292"/>
  <c r="G33" i="292"/>
  <c r="F33" i="292"/>
  <c r="E33" i="292"/>
  <c r="O22" i="292"/>
  <c r="N22" i="292"/>
  <c r="M22" i="292"/>
  <c r="K22" i="292"/>
  <c r="O19" i="292"/>
  <c r="N19" i="292"/>
  <c r="M19" i="292"/>
  <c r="K19" i="292"/>
  <c r="O16" i="292"/>
  <c r="N16" i="292"/>
  <c r="M16" i="292"/>
  <c r="K16" i="292"/>
  <c r="G22" i="292"/>
  <c r="F22" i="292"/>
  <c r="E22" i="292"/>
  <c r="G19" i="292"/>
  <c r="F19" i="292"/>
  <c r="E19" i="292"/>
  <c r="G16" i="292"/>
  <c r="F16" i="292"/>
  <c r="E16" i="292"/>
  <c r="O12" i="292"/>
  <c r="N12" i="292"/>
  <c r="M12" i="292"/>
  <c r="K12" i="292"/>
  <c r="G12" i="292"/>
  <c r="F12" i="292"/>
  <c r="E12" i="292"/>
  <c r="O8" i="292"/>
  <c r="N8" i="292"/>
  <c r="M8" i="292"/>
  <c r="K8" i="292"/>
  <c r="G8" i="292"/>
  <c r="F8" i="292"/>
  <c r="E8" i="292"/>
  <c r="O46" i="308"/>
  <c r="N46" i="308"/>
  <c r="M46" i="308"/>
  <c r="G46" i="308"/>
  <c r="F46" i="308"/>
  <c r="E46" i="308"/>
  <c r="O42" i="308"/>
  <c r="N42" i="308"/>
  <c r="M42" i="308"/>
  <c r="K42" i="308"/>
  <c r="G42" i="308"/>
  <c r="F42" i="308"/>
  <c r="E42" i="308"/>
  <c r="O38" i="308"/>
  <c r="N38" i="308"/>
  <c r="M38" i="308"/>
  <c r="K38" i="308"/>
  <c r="G38" i="308"/>
  <c r="F38" i="308"/>
  <c r="E38" i="308"/>
  <c r="O33" i="308"/>
  <c r="N33" i="308"/>
  <c r="M33" i="308"/>
  <c r="K33" i="308"/>
  <c r="G33" i="308"/>
  <c r="F33" i="308"/>
  <c r="E33" i="308"/>
  <c r="O22" i="308"/>
  <c r="N22" i="308"/>
  <c r="M22" i="308"/>
  <c r="K22" i="308"/>
  <c r="O19" i="308"/>
  <c r="N19" i="308"/>
  <c r="M19" i="308"/>
  <c r="K19" i="308"/>
  <c r="O16" i="308"/>
  <c r="N16" i="308"/>
  <c r="M16" i="308"/>
  <c r="K16" i="308"/>
  <c r="G22" i="308"/>
  <c r="F22" i="308"/>
  <c r="E22" i="308"/>
  <c r="G19" i="308"/>
  <c r="F19" i="308"/>
  <c r="E19" i="308"/>
  <c r="G16" i="308"/>
  <c r="F16" i="308"/>
  <c r="E16" i="308"/>
  <c r="O12" i="308"/>
  <c r="N12" i="308"/>
  <c r="M12" i="308"/>
  <c r="K12" i="308"/>
  <c r="G12" i="308"/>
  <c r="F12" i="308"/>
  <c r="E12" i="308"/>
  <c r="O8" i="308"/>
  <c r="N8" i="308"/>
  <c r="M8" i="308"/>
  <c r="K8" i="308"/>
  <c r="G8" i="308"/>
  <c r="F8" i="308"/>
  <c r="E8" i="308"/>
  <c r="O45" i="292"/>
  <c r="N45" i="292"/>
  <c r="M45" i="292"/>
  <c r="K45" i="292"/>
  <c r="G45" i="292"/>
  <c r="F45" i="292"/>
  <c r="E45" i="292"/>
  <c r="O41" i="292"/>
  <c r="N41" i="292"/>
  <c r="M41" i="292"/>
  <c r="K41" i="292"/>
  <c r="G41" i="292"/>
  <c r="F41" i="292"/>
  <c r="E41" i="292"/>
  <c r="O37" i="292"/>
  <c r="N37" i="292"/>
  <c r="M37" i="292"/>
  <c r="K37" i="292"/>
  <c r="G37" i="292"/>
  <c r="F37" i="292"/>
  <c r="E37" i="292"/>
  <c r="O32" i="292"/>
  <c r="N32" i="292"/>
  <c r="M32" i="292"/>
  <c r="K32" i="292"/>
  <c r="G32" i="292"/>
  <c r="F32" i="292"/>
  <c r="E32" i="292"/>
  <c r="O21" i="292"/>
  <c r="N21" i="292"/>
  <c r="M21" i="292"/>
  <c r="K21" i="292"/>
  <c r="O18" i="292"/>
  <c r="N18" i="292"/>
  <c r="M18" i="292"/>
  <c r="K18" i="292"/>
  <c r="O15" i="292"/>
  <c r="N15" i="292"/>
  <c r="M15" i="292"/>
  <c r="K15" i="292"/>
  <c r="G21" i="292"/>
  <c r="F21" i="292"/>
  <c r="E21" i="292"/>
  <c r="G18" i="292"/>
  <c r="F18" i="292"/>
  <c r="E18" i="292"/>
  <c r="G15" i="292"/>
  <c r="F15" i="292"/>
  <c r="E15" i="292"/>
  <c r="O11" i="292"/>
  <c r="N11" i="292"/>
  <c r="M11" i="292"/>
  <c r="K11" i="292"/>
  <c r="G11" i="292"/>
  <c r="F11" i="292"/>
  <c r="E11" i="292"/>
  <c r="O7" i="292"/>
  <c r="N7" i="292"/>
  <c r="M7" i="292"/>
  <c r="K7" i="292"/>
  <c r="G7" i="292"/>
  <c r="F7" i="292"/>
  <c r="E7" i="292"/>
  <c r="O45" i="308"/>
  <c r="N45" i="308"/>
  <c r="M45" i="308"/>
  <c r="K45" i="308"/>
  <c r="G45" i="308"/>
  <c r="F45" i="308"/>
  <c r="E45" i="308"/>
  <c r="O41" i="308"/>
  <c r="N41" i="308"/>
  <c r="M41" i="308"/>
  <c r="K41" i="308"/>
  <c r="G41" i="308"/>
  <c r="F41" i="308"/>
  <c r="E41" i="308"/>
  <c r="O37" i="308"/>
  <c r="N37" i="308"/>
  <c r="M37" i="308"/>
  <c r="K37" i="308"/>
  <c r="G37" i="308"/>
  <c r="F37" i="308"/>
  <c r="E37" i="308"/>
  <c r="O32" i="308"/>
  <c r="N32" i="308"/>
  <c r="M32" i="308"/>
  <c r="K32" i="308"/>
  <c r="G32" i="308"/>
  <c r="F32" i="308"/>
  <c r="E32" i="308"/>
  <c r="O21" i="308"/>
  <c r="N21" i="308"/>
  <c r="M21" i="308"/>
  <c r="K21" i="308"/>
  <c r="O18" i="308"/>
  <c r="N18" i="308"/>
  <c r="M18" i="308"/>
  <c r="K18" i="308"/>
  <c r="O15" i="308"/>
  <c r="N15" i="308"/>
  <c r="M15" i="308"/>
  <c r="K15" i="308"/>
  <c r="G21" i="308"/>
  <c r="F21" i="308"/>
  <c r="E21" i="308"/>
  <c r="G18" i="308"/>
  <c r="F18" i="308"/>
  <c r="E18" i="308"/>
  <c r="G15" i="308"/>
  <c r="F15" i="308"/>
  <c r="E15" i="308"/>
  <c r="O11" i="308"/>
  <c r="N11" i="308"/>
  <c r="M11" i="308"/>
  <c r="K11" i="308"/>
  <c r="G11" i="308"/>
  <c r="F11" i="308"/>
  <c r="E11" i="308"/>
  <c r="O7" i="308"/>
  <c r="N7" i="308"/>
  <c r="M7" i="308"/>
  <c r="K7" i="308"/>
  <c r="G7" i="308"/>
  <c r="F7" i="308"/>
  <c r="E7" i="308"/>
  <c r="M37" i="129"/>
  <c r="G31" i="129"/>
  <c r="S33" i="298"/>
  <c r="G37" i="129"/>
  <c r="S40" i="298"/>
  <c r="G42" i="129"/>
  <c r="S51" i="298"/>
  <c r="G27" i="129"/>
  <c r="S26" i="298"/>
  <c r="M36" i="129"/>
  <c r="U39" i="298"/>
  <c r="J36" i="129"/>
  <c r="T39" i="298"/>
  <c r="G36" i="129"/>
  <c r="G31" i="127"/>
  <c r="R33" i="294"/>
  <c r="G37" i="127"/>
  <c r="R40" i="294"/>
  <c r="G42" i="127"/>
  <c r="G27" i="127"/>
  <c r="J37" i="127"/>
  <c r="S40" i="294"/>
  <c r="J36" i="127"/>
  <c r="S39" i="294"/>
  <c r="G36" i="127"/>
  <c r="R13" i="300"/>
  <c r="S45" i="300"/>
  <c r="R45" i="300"/>
  <c r="Q45" i="300"/>
  <c r="P45" i="300"/>
  <c r="O45" i="300"/>
  <c r="N45" i="300"/>
  <c r="M45" i="300"/>
  <c r="L45" i="300"/>
  <c r="K45" i="300"/>
  <c r="S44" i="300"/>
  <c r="R44" i="300"/>
  <c r="Q44" i="300"/>
  <c r="P44" i="300"/>
  <c r="O44" i="300"/>
  <c r="N44" i="300"/>
  <c r="M44" i="300"/>
  <c r="L44" i="300"/>
  <c r="K44" i="300"/>
  <c r="S43" i="300"/>
  <c r="R43" i="300"/>
  <c r="Q43" i="300"/>
  <c r="P43" i="300"/>
  <c r="O43" i="300"/>
  <c r="N43" i="300"/>
  <c r="M43" i="300"/>
  <c r="L43" i="300"/>
  <c r="K43" i="300"/>
  <c r="S42" i="300"/>
  <c r="R42" i="300"/>
  <c r="Q42" i="300"/>
  <c r="P42" i="300"/>
  <c r="O42" i="300"/>
  <c r="N42" i="300"/>
  <c r="M42" i="300"/>
  <c r="L42" i="300"/>
  <c r="K42" i="300"/>
  <c r="S41" i="300"/>
  <c r="R41" i="300"/>
  <c r="Q41" i="300"/>
  <c r="P41" i="300"/>
  <c r="O41" i="300"/>
  <c r="N41" i="300"/>
  <c r="M41" i="300"/>
  <c r="L41" i="300"/>
  <c r="S22" i="300"/>
  <c r="R22" i="300"/>
  <c r="Q22" i="300"/>
  <c r="P22" i="300"/>
  <c r="O22" i="300"/>
  <c r="N22" i="300"/>
  <c r="M22" i="300"/>
  <c r="L22" i="300"/>
  <c r="K22" i="300"/>
  <c r="S21" i="300"/>
  <c r="R21" i="300"/>
  <c r="Q21" i="300"/>
  <c r="P21" i="300"/>
  <c r="O21" i="300"/>
  <c r="N21" i="300"/>
  <c r="M21" i="300"/>
  <c r="L21" i="300"/>
  <c r="K21" i="300"/>
  <c r="S20" i="300"/>
  <c r="R20" i="300"/>
  <c r="Q20" i="300"/>
  <c r="P20" i="300"/>
  <c r="O20" i="300"/>
  <c r="N20" i="300"/>
  <c r="M20" i="300"/>
  <c r="L20" i="300"/>
  <c r="K20" i="300"/>
  <c r="S19" i="300"/>
  <c r="R19" i="300"/>
  <c r="Q19" i="300"/>
  <c r="P19" i="300"/>
  <c r="O19" i="300"/>
  <c r="N19" i="300"/>
  <c r="M19" i="300"/>
  <c r="L19" i="300"/>
  <c r="K19" i="300"/>
  <c r="S18" i="300"/>
  <c r="R18" i="300"/>
  <c r="Q18" i="300"/>
  <c r="P18" i="300"/>
  <c r="O18" i="300"/>
  <c r="N18" i="300"/>
  <c r="M18" i="300"/>
  <c r="L18" i="300"/>
  <c r="L22" i="301"/>
  <c r="M22" i="301"/>
  <c r="N22" i="301"/>
  <c r="O22" i="301"/>
  <c r="P22" i="301"/>
  <c r="Q22" i="301"/>
  <c r="R22" i="301"/>
  <c r="K22" i="301"/>
  <c r="R36" i="300"/>
  <c r="K50" i="299"/>
  <c r="L50" i="299"/>
  <c r="M50" i="299"/>
  <c r="N50" i="299"/>
  <c r="O50" i="299"/>
  <c r="P50" i="299"/>
  <c r="Q50" i="299"/>
  <c r="R50" i="299"/>
  <c r="S50" i="299"/>
  <c r="K22" i="299"/>
  <c r="M22" i="299"/>
  <c r="N22" i="299"/>
  <c r="O22" i="299"/>
  <c r="P22" i="299"/>
  <c r="Q22" i="299"/>
  <c r="R22" i="299"/>
  <c r="S22" i="299"/>
  <c r="T7" i="299"/>
  <c r="T35" i="299"/>
  <c r="U7" i="299"/>
  <c r="U35" i="299"/>
  <c r="V7" i="299"/>
  <c r="V14" i="297"/>
  <c r="U14" i="297"/>
  <c r="T14" i="297"/>
  <c r="L22" i="297"/>
  <c r="M22" i="297"/>
  <c r="N22" i="297"/>
  <c r="O22" i="297"/>
  <c r="P22" i="297"/>
  <c r="Q22" i="297"/>
  <c r="R22" i="297"/>
  <c r="S22" i="297"/>
  <c r="K22" i="297"/>
  <c r="K34" i="296"/>
  <c r="L34" i="296"/>
  <c r="M34" i="296"/>
  <c r="R36" i="296"/>
  <c r="P36" i="296"/>
  <c r="S44" i="296"/>
  <c r="R44" i="296"/>
  <c r="Q44" i="296"/>
  <c r="S43" i="296"/>
  <c r="R43" i="296"/>
  <c r="Q43" i="296"/>
  <c r="P43" i="296"/>
  <c r="O43" i="296"/>
  <c r="N43" i="296"/>
  <c r="M43" i="296"/>
  <c r="S42" i="296"/>
  <c r="R42" i="296"/>
  <c r="Q42" i="296"/>
  <c r="P42" i="296"/>
  <c r="O42" i="296"/>
  <c r="N42" i="296"/>
  <c r="M42" i="296"/>
  <c r="L42" i="296"/>
  <c r="K42" i="296"/>
  <c r="S41" i="296"/>
  <c r="R41" i="296"/>
  <c r="Q41" i="296"/>
  <c r="P41" i="296"/>
  <c r="O41" i="296"/>
  <c r="N41" i="296"/>
  <c r="M41" i="296"/>
  <c r="L41" i="296"/>
  <c r="K41" i="296"/>
  <c r="S22" i="296"/>
  <c r="R22" i="296"/>
  <c r="Q22" i="296"/>
  <c r="S21" i="296"/>
  <c r="R21" i="296"/>
  <c r="Q21" i="296"/>
  <c r="P21" i="296"/>
  <c r="O21" i="296"/>
  <c r="N21" i="296"/>
  <c r="M21" i="296"/>
  <c r="K19" i="296"/>
  <c r="L19" i="296"/>
  <c r="M19" i="296"/>
  <c r="N19" i="296"/>
  <c r="O19" i="296"/>
  <c r="P19" i="296"/>
  <c r="Q19" i="296"/>
  <c r="R19" i="296"/>
  <c r="S19" i="296"/>
  <c r="K20" i="296"/>
  <c r="L20" i="296"/>
  <c r="M20" i="296"/>
  <c r="N20" i="296"/>
  <c r="O20" i="296"/>
  <c r="P20" i="296"/>
  <c r="Q20" i="296"/>
  <c r="R20" i="296"/>
  <c r="S20" i="296"/>
  <c r="L50" i="295"/>
  <c r="M50" i="295"/>
  <c r="N50" i="295"/>
  <c r="O50" i="295"/>
  <c r="P50" i="295"/>
  <c r="Q50" i="295"/>
  <c r="R50" i="295"/>
  <c r="S50" i="295"/>
  <c r="K50" i="295"/>
  <c r="M22" i="295"/>
  <c r="N22" i="295"/>
  <c r="O22" i="295"/>
  <c r="P22" i="295"/>
  <c r="Q22" i="295"/>
  <c r="R22" i="295"/>
  <c r="S22" i="295"/>
  <c r="U14" i="295"/>
  <c r="T35" i="295"/>
  <c r="U35" i="295"/>
  <c r="V35" i="295"/>
  <c r="T14" i="295"/>
  <c r="V14" i="295"/>
  <c r="O13" i="293"/>
  <c r="J46" i="293"/>
  <c r="J41" i="293"/>
  <c r="M43" i="293"/>
  <c r="E43" i="293"/>
  <c r="O43" i="293"/>
  <c r="F43" i="293"/>
  <c r="J38" i="293"/>
  <c r="N39" i="293"/>
  <c r="J33" i="293"/>
  <c r="J22" i="293"/>
  <c r="F23" i="293"/>
  <c r="J19" i="293"/>
  <c r="O20" i="293"/>
  <c r="N17" i="293"/>
  <c r="K17" i="293"/>
  <c r="E17" i="293"/>
  <c r="N13" i="293"/>
  <c r="M9" i="293"/>
  <c r="J8" i="293"/>
  <c r="E9" i="293"/>
  <c r="C70" i="293"/>
  <c r="C66" i="293"/>
  <c r="C62" i="293"/>
  <c r="G38" i="129"/>
  <c r="G38" i="127"/>
  <c r="R41" i="294"/>
  <c r="C26" i="293"/>
  <c r="I26" i="293"/>
  <c r="J45" i="293"/>
  <c r="N43" i="293"/>
  <c r="M39" i="293"/>
  <c r="O34" i="293"/>
  <c r="N34" i="293"/>
  <c r="J32" i="293"/>
  <c r="F34" i="293"/>
  <c r="E34" i="293"/>
  <c r="O27" i="293"/>
  <c r="N27" i="293"/>
  <c r="M27" i="293"/>
  <c r="K27" i="293"/>
  <c r="G27" i="293"/>
  <c r="J27" i="293"/>
  <c r="F27" i="293"/>
  <c r="E27" i="293"/>
  <c r="J26" i="293"/>
  <c r="J25" i="293"/>
  <c r="I25" i="293"/>
  <c r="M23" i="293"/>
  <c r="K23" i="293"/>
  <c r="G20" i="293"/>
  <c r="F20" i="293"/>
  <c r="N20" i="293"/>
  <c r="L19" i="293"/>
  <c r="J18" i="293"/>
  <c r="M17" i="293"/>
  <c r="M28" i="293"/>
  <c r="J12" i="293"/>
  <c r="K13" i="293"/>
  <c r="G13" i="293"/>
  <c r="E13" i="293"/>
  <c r="O9" i="293"/>
  <c r="N9" i="293"/>
  <c r="J7" i="293"/>
  <c r="G47" i="292"/>
  <c r="O43" i="292"/>
  <c r="G43" i="292"/>
  <c r="J43" i="292"/>
  <c r="E43" i="292"/>
  <c r="O39" i="292"/>
  <c r="N39" i="292"/>
  <c r="J38" i="292"/>
  <c r="J37" i="292"/>
  <c r="O34" i="292"/>
  <c r="E34" i="292"/>
  <c r="J34" i="292"/>
  <c r="E23" i="292"/>
  <c r="J21" i="292"/>
  <c r="K20" i="292"/>
  <c r="J19" i="292"/>
  <c r="O20" i="292"/>
  <c r="G20" i="292"/>
  <c r="N17" i="292"/>
  <c r="X17" i="292"/>
  <c r="F17" i="292"/>
  <c r="E17" i="292"/>
  <c r="K17" i="292"/>
  <c r="K13" i="292"/>
  <c r="O13" i="292"/>
  <c r="J11" i="292"/>
  <c r="O9" i="292"/>
  <c r="N9" i="292"/>
  <c r="J8" i="292"/>
  <c r="F9" i="292"/>
  <c r="E9" i="292"/>
  <c r="K25" i="306"/>
  <c r="G26" i="127"/>
  <c r="C70" i="292"/>
  <c r="C66" i="292"/>
  <c r="C62" i="292"/>
  <c r="C74" i="292"/>
  <c r="C26" i="292"/>
  <c r="P26" i="292"/>
  <c r="J46" i="292"/>
  <c r="E47" i="292"/>
  <c r="K43" i="292"/>
  <c r="F43" i="292"/>
  <c r="F39" i="292"/>
  <c r="E39" i="292"/>
  <c r="K34" i="292"/>
  <c r="G34" i="292"/>
  <c r="F34" i="292"/>
  <c r="O27" i="292"/>
  <c r="N27" i="292"/>
  <c r="M27" i="292"/>
  <c r="K27" i="292"/>
  <c r="G27" i="292"/>
  <c r="F27" i="292"/>
  <c r="E27" i="292"/>
  <c r="J27" i="292"/>
  <c r="J26" i="292"/>
  <c r="I26" i="292"/>
  <c r="J25" i="292"/>
  <c r="I25" i="292"/>
  <c r="N20" i="292"/>
  <c r="M20" i="292"/>
  <c r="L19" i="292"/>
  <c r="E20" i="292"/>
  <c r="J12" i="292"/>
  <c r="N13" i="292"/>
  <c r="M13" i="292"/>
  <c r="E13" i="292"/>
  <c r="J13" i="292"/>
  <c r="H7" i="292"/>
  <c r="J12" i="308"/>
  <c r="J18" i="292"/>
  <c r="M23" i="292"/>
  <c r="K39" i="292"/>
  <c r="M43" i="292"/>
  <c r="M47" i="292"/>
  <c r="K47" i="292"/>
  <c r="G9" i="292"/>
  <c r="K9" i="292"/>
  <c r="G17" i="292"/>
  <c r="O17" i="292"/>
  <c r="F23" i="292"/>
  <c r="N23" i="292"/>
  <c r="J22" i="292"/>
  <c r="O23" i="292"/>
  <c r="N34" i="292"/>
  <c r="N47" i="292"/>
  <c r="E20" i="293"/>
  <c r="M20" i="293"/>
  <c r="N23" i="293"/>
  <c r="K43" i="293"/>
  <c r="J15" i="293"/>
  <c r="O17" i="293"/>
  <c r="G23" i="293"/>
  <c r="O23" i="293"/>
  <c r="J37" i="293"/>
  <c r="O39" i="293"/>
  <c r="K39" i="293"/>
  <c r="M17" i="292"/>
  <c r="N43" i="292"/>
  <c r="X43" i="292"/>
  <c r="M9" i="292"/>
  <c r="W9" i="292"/>
  <c r="J16" i="292"/>
  <c r="K23" i="292"/>
  <c r="J33" i="292"/>
  <c r="J42" i="292"/>
  <c r="O47" i="292"/>
  <c r="J16" i="293"/>
  <c r="M34" i="293"/>
  <c r="F39" i="293"/>
  <c r="J42" i="293"/>
  <c r="G9" i="293"/>
  <c r="K9" i="293"/>
  <c r="F13" i="293"/>
  <c r="K20" i="293"/>
  <c r="K34" i="293"/>
  <c r="G39" i="293"/>
  <c r="J21" i="293"/>
  <c r="G17" i="293"/>
  <c r="M13" i="293"/>
  <c r="C74" i="293"/>
  <c r="F9" i="293"/>
  <c r="F17" i="293"/>
  <c r="E39" i="293"/>
  <c r="J11" i="293"/>
  <c r="G43" i="293"/>
  <c r="E23" i="293"/>
  <c r="J23" i="293"/>
  <c r="G34" i="293"/>
  <c r="F47" i="292"/>
  <c r="M39" i="292"/>
  <c r="M34" i="292"/>
  <c r="J15" i="292"/>
  <c r="G13" i="292"/>
  <c r="J47" i="292"/>
  <c r="J32" i="292"/>
  <c r="J41" i="292"/>
  <c r="J45" i="292"/>
  <c r="J7" i="292"/>
  <c r="F20" i="292"/>
  <c r="F13" i="292"/>
  <c r="G23" i="292"/>
  <c r="G39" i="292"/>
  <c r="O12" i="311"/>
  <c r="J51" i="307"/>
  <c r="H51" i="307"/>
  <c r="F51" i="307"/>
  <c r="D51" i="307"/>
  <c r="D40" i="311"/>
  <c r="E40" i="311"/>
  <c r="G40" i="311"/>
  <c r="H40" i="311"/>
  <c r="D41" i="311"/>
  <c r="G41" i="311"/>
  <c r="D42" i="311"/>
  <c r="G42" i="311"/>
  <c r="H42" i="311"/>
  <c r="D43" i="311"/>
  <c r="G43" i="311"/>
  <c r="H43" i="311"/>
  <c r="D44" i="311"/>
  <c r="G44" i="311"/>
  <c r="H44" i="311"/>
  <c r="D45" i="311"/>
  <c r="E45" i="311"/>
  <c r="G45" i="311"/>
  <c r="H45" i="311"/>
  <c r="D46" i="311"/>
  <c r="G46" i="311"/>
  <c r="H46" i="311"/>
  <c r="D47" i="311"/>
  <c r="G47" i="311"/>
  <c r="H47" i="311"/>
  <c r="O13" i="311"/>
  <c r="O14" i="311"/>
  <c r="O15" i="311"/>
  <c r="O16" i="311"/>
  <c r="O18" i="311"/>
  <c r="O19" i="311"/>
  <c r="O20" i="311"/>
  <c r="O21" i="311"/>
  <c r="O22" i="311"/>
  <c r="H15" i="203"/>
  <c r="I15" i="203"/>
  <c r="I30" i="203"/>
  <c r="J15" i="203"/>
  <c r="C44" i="203"/>
  <c r="M15" i="203"/>
  <c r="B74" i="203"/>
  <c r="D74" i="203"/>
  <c r="B75" i="203"/>
  <c r="D75" i="203"/>
  <c r="B87" i="203"/>
  <c r="D87" i="203"/>
  <c r="L33" i="203"/>
  <c r="I24" i="203"/>
  <c r="I26" i="203"/>
  <c r="I27" i="203"/>
  <c r="B59" i="203"/>
  <c r="D59" i="203"/>
  <c r="B60" i="203"/>
  <c r="D60" i="203"/>
  <c r="H29" i="203"/>
  <c r="I29" i="203"/>
  <c r="H31" i="203"/>
  <c r="I31" i="203"/>
  <c r="H32" i="203"/>
  <c r="I32" i="203"/>
  <c r="H33" i="203"/>
  <c r="I33" i="203"/>
  <c r="D38" i="203"/>
  <c r="D39" i="203"/>
  <c r="D40" i="203"/>
  <c r="D41" i="203"/>
  <c r="D42" i="203"/>
  <c r="C43" i="203"/>
  <c r="D51" i="203"/>
  <c r="D52" i="203"/>
  <c r="D53" i="203"/>
  <c r="D54" i="203"/>
  <c r="D55" i="203"/>
  <c r="D56" i="203"/>
  <c r="B57" i="203"/>
  <c r="D57" i="203"/>
  <c r="C57" i="203"/>
  <c r="B58" i="203"/>
  <c r="D65" i="203"/>
  <c r="D66" i="203"/>
  <c r="D67" i="203"/>
  <c r="D68" i="203"/>
  <c r="D69" i="203"/>
  <c r="D70" i="203"/>
  <c r="B71" i="203"/>
  <c r="C71" i="203"/>
  <c r="D71" i="203"/>
  <c r="B72" i="203"/>
  <c r="B73" i="203"/>
  <c r="D73" i="203"/>
  <c r="D79" i="203"/>
  <c r="D80" i="203"/>
  <c r="D81" i="203"/>
  <c r="D82" i="203"/>
  <c r="D83" i="203"/>
  <c r="D84" i="203"/>
  <c r="B85" i="203"/>
  <c r="B86" i="203"/>
  <c r="C85" i="203"/>
  <c r="D85" i="203"/>
  <c r="D15" i="202"/>
  <c r="E15" i="202"/>
  <c r="E24" i="202"/>
  <c r="F15" i="202"/>
  <c r="G15" i="202"/>
  <c r="H15" i="202"/>
  <c r="H24" i="202"/>
  <c r="I15" i="202"/>
  <c r="I30" i="202"/>
  <c r="J15" i="202"/>
  <c r="B74" i="202"/>
  <c r="D74" i="202"/>
  <c r="B75" i="202"/>
  <c r="D75" i="202"/>
  <c r="L32" i="202"/>
  <c r="M32" i="202"/>
  <c r="F23" i="202"/>
  <c r="G23" i="202"/>
  <c r="H23" i="202"/>
  <c r="F24" i="202"/>
  <c r="F26" i="202"/>
  <c r="I26" i="202"/>
  <c r="K31" i="202"/>
  <c r="G27" i="202"/>
  <c r="H27" i="202"/>
  <c r="B60" i="202"/>
  <c r="D60" i="202"/>
  <c r="M31" i="202"/>
  <c r="E29" i="202"/>
  <c r="F29" i="202"/>
  <c r="G29" i="202"/>
  <c r="H29" i="202"/>
  <c r="I29" i="202"/>
  <c r="F30" i="202"/>
  <c r="E31" i="202"/>
  <c r="G31" i="202"/>
  <c r="H31" i="202"/>
  <c r="I31" i="202"/>
  <c r="E32" i="202"/>
  <c r="F32" i="202"/>
  <c r="G32" i="202"/>
  <c r="H32" i="202"/>
  <c r="I32" i="202"/>
  <c r="E33" i="202"/>
  <c r="F33" i="202"/>
  <c r="G33" i="202"/>
  <c r="H33" i="202"/>
  <c r="I33" i="202"/>
  <c r="D38" i="202"/>
  <c r="D39" i="202"/>
  <c r="D40" i="202"/>
  <c r="D42" i="202"/>
  <c r="B44" i="202"/>
  <c r="B45" i="202"/>
  <c r="D45" i="202"/>
  <c r="C45" i="202"/>
  <c r="D52" i="202"/>
  <c r="D53" i="202"/>
  <c r="D54" i="202"/>
  <c r="D55" i="202"/>
  <c r="D56" i="202"/>
  <c r="C57" i="202"/>
  <c r="D57" i="202"/>
  <c r="B58" i="202"/>
  <c r="C58" i="202"/>
  <c r="B59" i="202"/>
  <c r="D66" i="202"/>
  <c r="D67" i="202"/>
  <c r="D68" i="202"/>
  <c r="D69" i="202"/>
  <c r="D70" i="202"/>
  <c r="C71" i="202"/>
  <c r="D71" i="202"/>
  <c r="B72" i="202"/>
  <c r="C72" i="202"/>
  <c r="B73" i="202"/>
  <c r="B76" i="202"/>
  <c r="D76" i="202"/>
  <c r="D80" i="202"/>
  <c r="D81" i="202"/>
  <c r="D82" i="202"/>
  <c r="C83" i="202"/>
  <c r="D83" i="202"/>
  <c r="D84" i="202"/>
  <c r="C85" i="202"/>
  <c r="D85" i="202"/>
  <c r="B86" i="202"/>
  <c r="C86" i="202"/>
  <c r="B87" i="202"/>
  <c r="D15" i="201"/>
  <c r="D24" i="201"/>
  <c r="E15" i="201"/>
  <c r="F15" i="201"/>
  <c r="G15" i="201"/>
  <c r="H15" i="201"/>
  <c r="H30" i="201"/>
  <c r="I15" i="201"/>
  <c r="J15" i="201"/>
  <c r="B75" i="201"/>
  <c r="D75" i="201"/>
  <c r="B76" i="201"/>
  <c r="D76" i="201"/>
  <c r="L32" i="201"/>
  <c r="B90" i="201"/>
  <c r="D90" i="201"/>
  <c r="F23" i="201"/>
  <c r="F24" i="201"/>
  <c r="H24" i="201"/>
  <c r="D26" i="201"/>
  <c r="I26" i="201"/>
  <c r="I31" i="201"/>
  <c r="F27" i="201"/>
  <c r="G27" i="201"/>
  <c r="B62" i="201"/>
  <c r="D62" i="201"/>
  <c r="D29" i="201"/>
  <c r="E29" i="201"/>
  <c r="F29" i="201"/>
  <c r="G29" i="201"/>
  <c r="H29" i="201"/>
  <c r="I29" i="201"/>
  <c r="F30" i="201"/>
  <c r="D31" i="201"/>
  <c r="E31" i="201"/>
  <c r="F31" i="201"/>
  <c r="G31" i="201"/>
  <c r="H31" i="201"/>
  <c r="D32" i="201"/>
  <c r="E32" i="201"/>
  <c r="F32" i="201"/>
  <c r="G32" i="201"/>
  <c r="H32" i="201"/>
  <c r="I32" i="201"/>
  <c r="D33" i="201"/>
  <c r="E33" i="201"/>
  <c r="F33" i="201"/>
  <c r="G33" i="201"/>
  <c r="H33" i="201"/>
  <c r="I33" i="201"/>
  <c r="K33" i="201"/>
  <c r="D38" i="201"/>
  <c r="D39" i="201"/>
  <c r="D40" i="201"/>
  <c r="D42" i="201"/>
  <c r="B45" i="201"/>
  <c r="C45" i="201"/>
  <c r="D52" i="201"/>
  <c r="D53" i="201"/>
  <c r="D54" i="201"/>
  <c r="D55" i="201"/>
  <c r="D56" i="201"/>
  <c r="C57" i="201"/>
  <c r="D57" i="201"/>
  <c r="B58" i="201"/>
  <c r="C58" i="201"/>
  <c r="B59" i="201"/>
  <c r="B61" i="201"/>
  <c r="D61" i="201"/>
  <c r="D66" i="201"/>
  <c r="D67" i="201"/>
  <c r="D68" i="201"/>
  <c r="D69" i="201"/>
  <c r="D70" i="201"/>
  <c r="C71" i="201"/>
  <c r="D71" i="201"/>
  <c r="B72" i="201"/>
  <c r="C72" i="201"/>
  <c r="D72" i="201"/>
  <c r="B73" i="201"/>
  <c r="B74" i="201"/>
  <c r="D74" i="201"/>
  <c r="D80" i="201"/>
  <c r="D81" i="201"/>
  <c r="D82" i="201"/>
  <c r="D83" i="201"/>
  <c r="D84" i="201"/>
  <c r="C85" i="201"/>
  <c r="D85" i="201"/>
  <c r="B86" i="201"/>
  <c r="C86" i="201"/>
  <c r="B87" i="201"/>
  <c r="B88" i="201"/>
  <c r="D88" i="201"/>
  <c r="G12" i="200"/>
  <c r="L32" i="200"/>
  <c r="D15" i="200"/>
  <c r="E15" i="200"/>
  <c r="F15" i="200"/>
  <c r="F27" i="200"/>
  <c r="G15" i="200"/>
  <c r="H15" i="200"/>
  <c r="I15" i="200"/>
  <c r="J15" i="200"/>
  <c r="B74" i="200"/>
  <c r="D74" i="200"/>
  <c r="B75" i="200"/>
  <c r="D75" i="200"/>
  <c r="B88" i="200"/>
  <c r="D88" i="200"/>
  <c r="L33" i="200"/>
  <c r="F23" i="200"/>
  <c r="I23" i="200"/>
  <c r="E24" i="200"/>
  <c r="F24" i="200"/>
  <c r="D26" i="200"/>
  <c r="G26" i="200"/>
  <c r="I26" i="200"/>
  <c r="B62" i="200"/>
  <c r="D62" i="200"/>
  <c r="D29" i="200"/>
  <c r="E29" i="200"/>
  <c r="F29" i="200"/>
  <c r="G29" i="200"/>
  <c r="H29" i="200"/>
  <c r="I29" i="200"/>
  <c r="D31" i="200"/>
  <c r="E31" i="200"/>
  <c r="F31" i="200"/>
  <c r="H31" i="200"/>
  <c r="D32" i="200"/>
  <c r="E32" i="200"/>
  <c r="F32" i="200"/>
  <c r="G32" i="200"/>
  <c r="H32" i="200"/>
  <c r="I32" i="200"/>
  <c r="D33" i="200"/>
  <c r="E33" i="200"/>
  <c r="F33" i="200"/>
  <c r="G33" i="200"/>
  <c r="H33" i="200"/>
  <c r="I33" i="200"/>
  <c r="D38" i="200"/>
  <c r="D39" i="200"/>
  <c r="D40" i="200"/>
  <c r="D41" i="200"/>
  <c r="D42" i="200"/>
  <c r="D52" i="200"/>
  <c r="D53" i="200"/>
  <c r="D54" i="200"/>
  <c r="D55" i="200"/>
  <c r="D56" i="200"/>
  <c r="C57" i="200"/>
  <c r="D57" i="200"/>
  <c r="B58" i="200"/>
  <c r="C58" i="200"/>
  <c r="B59" i="200"/>
  <c r="D66" i="200"/>
  <c r="D67" i="200"/>
  <c r="D68" i="200"/>
  <c r="D69" i="200"/>
  <c r="D70" i="200"/>
  <c r="C71" i="200"/>
  <c r="D71" i="200"/>
  <c r="B72" i="200"/>
  <c r="C72" i="200"/>
  <c r="D72" i="200"/>
  <c r="B73" i="200"/>
  <c r="B76" i="200"/>
  <c r="D76" i="200"/>
  <c r="D80" i="200"/>
  <c r="D81" i="200"/>
  <c r="C82" i="200"/>
  <c r="D82" i="200"/>
  <c r="D83" i="200"/>
  <c r="D84" i="200"/>
  <c r="B85" i="200"/>
  <c r="D85" i="200"/>
  <c r="C85" i="200"/>
  <c r="B86" i="200"/>
  <c r="C86" i="200"/>
  <c r="D86" i="200"/>
  <c r="B87" i="200"/>
  <c r="D15" i="199"/>
  <c r="E15" i="199"/>
  <c r="E27" i="199"/>
  <c r="F15" i="199"/>
  <c r="G15" i="199"/>
  <c r="G23" i="199"/>
  <c r="H15" i="199"/>
  <c r="I15" i="199"/>
  <c r="J15" i="199"/>
  <c r="C46" i="199"/>
  <c r="B75" i="199"/>
  <c r="D75" i="199"/>
  <c r="B76" i="199"/>
  <c r="D76" i="199"/>
  <c r="B77" i="199"/>
  <c r="D77" i="199"/>
  <c r="K32" i="199"/>
  <c r="D23" i="199"/>
  <c r="H23" i="199"/>
  <c r="D24" i="199"/>
  <c r="H24" i="199"/>
  <c r="G26" i="199"/>
  <c r="I26" i="199"/>
  <c r="D27" i="199"/>
  <c r="H27" i="199"/>
  <c r="I27" i="199"/>
  <c r="B62" i="199"/>
  <c r="D62" i="199"/>
  <c r="D29" i="199"/>
  <c r="E29" i="199"/>
  <c r="F29" i="199"/>
  <c r="G29" i="199"/>
  <c r="H29" i="199"/>
  <c r="I29" i="199"/>
  <c r="D30" i="199"/>
  <c r="G30" i="199"/>
  <c r="H30" i="199"/>
  <c r="D31" i="199"/>
  <c r="E31" i="199"/>
  <c r="F31" i="199"/>
  <c r="G31" i="199"/>
  <c r="H31" i="199"/>
  <c r="I31" i="199"/>
  <c r="D32" i="199"/>
  <c r="E32" i="199"/>
  <c r="F32" i="199"/>
  <c r="G32" i="199"/>
  <c r="H32" i="199"/>
  <c r="I32" i="199"/>
  <c r="D33" i="199"/>
  <c r="E33" i="199"/>
  <c r="F33" i="199"/>
  <c r="G33" i="199"/>
  <c r="H33" i="199"/>
  <c r="I33" i="199"/>
  <c r="D39" i="199"/>
  <c r="D40" i="199"/>
  <c r="D41" i="199"/>
  <c r="C42" i="199"/>
  <c r="D42" i="199"/>
  <c r="D43" i="199"/>
  <c r="C44" i="199"/>
  <c r="B45" i="199"/>
  <c r="B44" i="199"/>
  <c r="B46" i="199"/>
  <c r="D53" i="199"/>
  <c r="D54" i="199"/>
  <c r="D55" i="199"/>
  <c r="D56" i="199"/>
  <c r="D57" i="199"/>
  <c r="C58" i="199"/>
  <c r="D58" i="199"/>
  <c r="B59" i="199"/>
  <c r="C59" i="199"/>
  <c r="B60" i="199"/>
  <c r="D67" i="199"/>
  <c r="D68" i="199"/>
  <c r="D69" i="199"/>
  <c r="D70" i="199"/>
  <c r="D71" i="199"/>
  <c r="C72" i="199"/>
  <c r="D72" i="199"/>
  <c r="B73" i="199"/>
  <c r="C73" i="199"/>
  <c r="B74" i="199"/>
  <c r="D81" i="199"/>
  <c r="D82" i="199"/>
  <c r="D83" i="199"/>
  <c r="D84" i="199"/>
  <c r="D85" i="199"/>
  <c r="B86" i="199"/>
  <c r="C86" i="199"/>
  <c r="B87" i="199"/>
  <c r="C87" i="199"/>
  <c r="D87" i="199"/>
  <c r="B88" i="199"/>
  <c r="J12" i="197"/>
  <c r="J15" i="197"/>
  <c r="C44" i="197"/>
  <c r="B15" i="197"/>
  <c r="B27" i="197"/>
  <c r="C15" i="197"/>
  <c r="D15" i="197"/>
  <c r="E15" i="197"/>
  <c r="F15" i="197"/>
  <c r="F27" i="197"/>
  <c r="G15" i="197"/>
  <c r="H15" i="197"/>
  <c r="H23" i="197"/>
  <c r="I15" i="197"/>
  <c r="C43" i="197"/>
  <c r="D43" i="197"/>
  <c r="B73" i="197"/>
  <c r="D73" i="197"/>
  <c r="B74" i="197"/>
  <c r="D74" i="197"/>
  <c r="B75" i="197"/>
  <c r="D75" i="197"/>
  <c r="M32" i="197"/>
  <c r="E23" i="197"/>
  <c r="B24" i="197"/>
  <c r="D24" i="197"/>
  <c r="E24" i="197"/>
  <c r="F24" i="197"/>
  <c r="I24" i="197"/>
  <c r="C26" i="197"/>
  <c r="I26" i="197"/>
  <c r="E27" i="197"/>
  <c r="G27" i="197"/>
  <c r="B59" i="197"/>
  <c r="D59" i="197"/>
  <c r="B61" i="197"/>
  <c r="D61" i="197"/>
  <c r="B29" i="197"/>
  <c r="C29" i="197"/>
  <c r="D29" i="197"/>
  <c r="E29" i="197"/>
  <c r="F29" i="197"/>
  <c r="G29" i="197"/>
  <c r="H29" i="197"/>
  <c r="B30" i="197"/>
  <c r="D30" i="197"/>
  <c r="E30" i="197"/>
  <c r="B31" i="197"/>
  <c r="D31" i="197"/>
  <c r="E31" i="197"/>
  <c r="F31" i="197"/>
  <c r="G31" i="197"/>
  <c r="H31" i="197"/>
  <c r="B32" i="197"/>
  <c r="C32" i="197"/>
  <c r="D32" i="197"/>
  <c r="E32" i="197"/>
  <c r="F32" i="197"/>
  <c r="G32" i="197"/>
  <c r="H32" i="197"/>
  <c r="I32" i="197"/>
  <c r="B33" i="197"/>
  <c r="C33" i="197"/>
  <c r="D33" i="197"/>
  <c r="E33" i="197"/>
  <c r="F33" i="197"/>
  <c r="G33" i="197"/>
  <c r="H33" i="197"/>
  <c r="I33" i="197"/>
  <c r="C37" i="197"/>
  <c r="D37" i="197"/>
  <c r="C38" i="197"/>
  <c r="D38" i="197"/>
  <c r="D39" i="197"/>
  <c r="D40" i="197"/>
  <c r="D41" i="197"/>
  <c r="B43" i="197"/>
  <c r="D51" i="197"/>
  <c r="D52" i="197"/>
  <c r="D53" i="197"/>
  <c r="D54" i="197"/>
  <c r="D55" i="197"/>
  <c r="C56" i="197"/>
  <c r="D56" i="197"/>
  <c r="B57" i="197"/>
  <c r="C57" i="197"/>
  <c r="B58" i="197"/>
  <c r="B60" i="197"/>
  <c r="D60" i="197"/>
  <c r="D65" i="197"/>
  <c r="D66" i="197"/>
  <c r="D67" i="197"/>
  <c r="C68" i="197"/>
  <c r="D68" i="197"/>
  <c r="D69" i="197"/>
  <c r="D70" i="197"/>
  <c r="B71" i="197"/>
  <c r="C71" i="197"/>
  <c r="B72" i="197"/>
  <c r="D79" i="197"/>
  <c r="D80" i="197"/>
  <c r="D81" i="197"/>
  <c r="D82" i="197"/>
  <c r="D83" i="197"/>
  <c r="D84" i="197"/>
  <c r="B85" i="197"/>
  <c r="C85" i="197"/>
  <c r="D85" i="197"/>
  <c r="B86" i="197"/>
  <c r="M15" i="196"/>
  <c r="J12" i="196"/>
  <c r="L32" i="196"/>
  <c r="B15" i="196"/>
  <c r="C15" i="196"/>
  <c r="D15" i="196"/>
  <c r="E15" i="196"/>
  <c r="F15" i="196"/>
  <c r="G15" i="196"/>
  <c r="H15" i="196"/>
  <c r="B44" i="196"/>
  <c r="I15" i="196"/>
  <c r="B74" i="196"/>
  <c r="D74" i="196"/>
  <c r="B76" i="196"/>
  <c r="D76" i="196"/>
  <c r="B88" i="196"/>
  <c r="D88" i="196"/>
  <c r="C23" i="196"/>
  <c r="E23" i="196"/>
  <c r="G23" i="196"/>
  <c r="B24" i="196"/>
  <c r="C24" i="196"/>
  <c r="F24" i="196"/>
  <c r="G24" i="196"/>
  <c r="C26" i="196"/>
  <c r="G26" i="196"/>
  <c r="I26" i="196"/>
  <c r="G27" i="196"/>
  <c r="I27" i="196"/>
  <c r="B61" i="196"/>
  <c r="D61" i="196"/>
  <c r="B29" i="196"/>
  <c r="C29" i="196"/>
  <c r="D29" i="196"/>
  <c r="E29" i="196"/>
  <c r="F29" i="196"/>
  <c r="G29" i="196"/>
  <c r="I29" i="196"/>
  <c r="B30" i="196"/>
  <c r="C30" i="196"/>
  <c r="F30" i="196"/>
  <c r="G30" i="196"/>
  <c r="B31" i="196"/>
  <c r="D31" i="196"/>
  <c r="E31" i="196"/>
  <c r="F31" i="196"/>
  <c r="G31" i="196"/>
  <c r="I31" i="196"/>
  <c r="B32" i="196"/>
  <c r="C32" i="196"/>
  <c r="D32" i="196"/>
  <c r="E32" i="196"/>
  <c r="F32" i="196"/>
  <c r="G32" i="196"/>
  <c r="H32" i="196"/>
  <c r="I32" i="196"/>
  <c r="B33" i="196"/>
  <c r="C33" i="196"/>
  <c r="D33" i="196"/>
  <c r="E33" i="196"/>
  <c r="F33" i="196"/>
  <c r="G33" i="196"/>
  <c r="H33" i="196"/>
  <c r="I33" i="196"/>
  <c r="C39" i="196"/>
  <c r="D39" i="196"/>
  <c r="C41" i="196"/>
  <c r="D41" i="196"/>
  <c r="C43" i="196"/>
  <c r="D43" i="196"/>
  <c r="D52" i="196"/>
  <c r="D53" i="196"/>
  <c r="D54" i="196"/>
  <c r="D55" i="196"/>
  <c r="D56" i="196"/>
  <c r="B57" i="196"/>
  <c r="C57" i="196"/>
  <c r="B58" i="196"/>
  <c r="C58" i="196"/>
  <c r="D58" i="196"/>
  <c r="B59" i="196"/>
  <c r="C59" i="196"/>
  <c r="D59" i="196"/>
  <c r="B60" i="196"/>
  <c r="D60" i="196"/>
  <c r="D66" i="196"/>
  <c r="D67" i="196"/>
  <c r="C68" i="196"/>
  <c r="D68" i="196"/>
  <c r="D69" i="196"/>
  <c r="D70" i="196"/>
  <c r="C71" i="196"/>
  <c r="D71" i="196"/>
  <c r="C72" i="196"/>
  <c r="D72" i="196"/>
  <c r="B75" i="196"/>
  <c r="D75" i="196"/>
  <c r="D80" i="196"/>
  <c r="D81" i="196"/>
  <c r="C82" i="196"/>
  <c r="D82" i="196"/>
  <c r="C83" i="196"/>
  <c r="D83" i="196"/>
  <c r="D84" i="196"/>
  <c r="C85" i="196"/>
  <c r="D85" i="196"/>
  <c r="C86" i="196"/>
  <c r="D86" i="196"/>
  <c r="D9" i="229"/>
  <c r="E9" i="229"/>
  <c r="F9" i="229"/>
  <c r="D10" i="229"/>
  <c r="E10" i="229"/>
  <c r="F10" i="229"/>
  <c r="D11" i="229"/>
  <c r="E11" i="229"/>
  <c r="E15" i="229"/>
  <c r="F11" i="229"/>
  <c r="D12" i="229"/>
  <c r="E12" i="229"/>
  <c r="F12" i="229"/>
  <c r="D13" i="229"/>
  <c r="E13" i="229"/>
  <c r="F13" i="229"/>
  <c r="D14" i="229"/>
  <c r="E14" i="229"/>
  <c r="F14" i="229"/>
  <c r="B15" i="229"/>
  <c r="C15" i="229"/>
  <c r="F15" i="229"/>
  <c r="D9" i="228"/>
  <c r="E9" i="228"/>
  <c r="F9" i="228"/>
  <c r="F15" i="228"/>
  <c r="D10" i="228"/>
  <c r="E10" i="228"/>
  <c r="F10" i="228"/>
  <c r="D11" i="228"/>
  <c r="E11" i="228"/>
  <c r="F11" i="228"/>
  <c r="D12" i="228"/>
  <c r="E12" i="228"/>
  <c r="F12" i="228"/>
  <c r="D13" i="228"/>
  <c r="E13" i="228"/>
  <c r="F13" i="228"/>
  <c r="D14" i="228"/>
  <c r="E14" i="228"/>
  <c r="F14" i="228"/>
  <c r="B15" i="228"/>
  <c r="C15" i="228"/>
  <c r="D9" i="227"/>
  <c r="E9" i="227"/>
  <c r="F9" i="227"/>
  <c r="D10" i="227"/>
  <c r="E10" i="227"/>
  <c r="F10" i="227"/>
  <c r="D11" i="227"/>
  <c r="E11" i="227"/>
  <c r="F11" i="227"/>
  <c r="D12" i="227"/>
  <c r="E12" i="227"/>
  <c r="F12" i="227"/>
  <c r="D13" i="227"/>
  <c r="E13" i="227"/>
  <c r="F13" i="227"/>
  <c r="D14" i="227"/>
  <c r="E14" i="227"/>
  <c r="F14" i="227"/>
  <c r="B15" i="227"/>
  <c r="C15" i="227"/>
  <c r="F15" i="227"/>
  <c r="D9" i="226"/>
  <c r="E9" i="226"/>
  <c r="F9" i="226"/>
  <c r="D10" i="226"/>
  <c r="E10" i="226"/>
  <c r="F10" i="226"/>
  <c r="D11" i="226"/>
  <c r="E11" i="226"/>
  <c r="F11" i="226"/>
  <c r="D12" i="226"/>
  <c r="E12" i="226"/>
  <c r="F12" i="226"/>
  <c r="D13" i="226"/>
  <c r="E13" i="226"/>
  <c r="F13" i="226"/>
  <c r="D14" i="226"/>
  <c r="E14" i="226"/>
  <c r="F14" i="226"/>
  <c r="B15" i="226"/>
  <c r="C15" i="226"/>
  <c r="F15" i="226"/>
  <c r="D9" i="225"/>
  <c r="E9" i="225"/>
  <c r="F9" i="225"/>
  <c r="F15" i="225"/>
  <c r="B10" i="225"/>
  <c r="D10" i="225"/>
  <c r="E10" i="225"/>
  <c r="F10" i="225"/>
  <c r="D11" i="225"/>
  <c r="D15" i="225"/>
  <c r="E11" i="225"/>
  <c r="F11" i="225"/>
  <c r="D12" i="225"/>
  <c r="E12" i="225"/>
  <c r="F12" i="225"/>
  <c r="D13" i="225"/>
  <c r="E13" i="225"/>
  <c r="F13" i="225"/>
  <c r="D14" i="225"/>
  <c r="E14" i="225"/>
  <c r="F14" i="225"/>
  <c r="B15" i="225"/>
  <c r="C15" i="225"/>
  <c r="D9" i="224"/>
  <c r="E9" i="224"/>
  <c r="F9" i="224"/>
  <c r="F15" i="224"/>
  <c r="B10" i="224"/>
  <c r="D10" i="224"/>
  <c r="E10" i="224"/>
  <c r="F10" i="224"/>
  <c r="D11" i="224"/>
  <c r="E11" i="224"/>
  <c r="F11" i="224"/>
  <c r="D12" i="224"/>
  <c r="E12" i="224"/>
  <c r="F12" i="224"/>
  <c r="D13" i="224"/>
  <c r="E13" i="224"/>
  <c r="F13" i="224"/>
  <c r="D14" i="224"/>
  <c r="E14" i="224"/>
  <c r="F14" i="224"/>
  <c r="B15" i="224"/>
  <c r="C15" i="224"/>
  <c r="F9" i="132"/>
  <c r="G9" i="132"/>
  <c r="F10" i="132"/>
  <c r="G10" i="132"/>
  <c r="F11" i="132"/>
  <c r="G11" i="132"/>
  <c r="H11" i="132"/>
  <c r="F12" i="132"/>
  <c r="F13" i="132"/>
  <c r="G13" i="132"/>
  <c r="H13" i="132"/>
  <c r="F14" i="132"/>
  <c r="G14" i="132"/>
  <c r="H14" i="132"/>
  <c r="B15" i="132"/>
  <c r="B23" i="132"/>
  <c r="C15" i="132"/>
  <c r="D15" i="132"/>
  <c r="E15" i="132"/>
  <c r="B24" i="132"/>
  <c r="C24" i="132"/>
  <c r="B26" i="132"/>
  <c r="B27" i="132"/>
  <c r="B29" i="132"/>
  <c r="C29" i="132"/>
  <c r="D29" i="132"/>
  <c r="E29" i="132"/>
  <c r="B30" i="132"/>
  <c r="B31" i="132"/>
  <c r="C31" i="132"/>
  <c r="D31" i="132"/>
  <c r="E31" i="132"/>
  <c r="B32" i="132"/>
  <c r="C32" i="132"/>
  <c r="D32" i="132"/>
  <c r="E32" i="132"/>
  <c r="B33" i="132"/>
  <c r="C33" i="132"/>
  <c r="D33" i="132"/>
  <c r="E33" i="132"/>
  <c r="C37" i="132"/>
  <c r="D37" i="132"/>
  <c r="H37" i="132"/>
  <c r="I37" i="132"/>
  <c r="H38" i="132"/>
  <c r="I38" i="132"/>
  <c r="C39" i="132"/>
  <c r="D39" i="132"/>
  <c r="H39" i="132"/>
  <c r="I39" i="132"/>
  <c r="G40" i="132"/>
  <c r="C47" i="132"/>
  <c r="D47" i="132"/>
  <c r="H47" i="132"/>
  <c r="I47" i="132"/>
  <c r="C48" i="132"/>
  <c r="D48" i="132"/>
  <c r="H48" i="132"/>
  <c r="I48" i="132"/>
  <c r="C49" i="132"/>
  <c r="D49" i="132"/>
  <c r="H49" i="132"/>
  <c r="I49" i="132"/>
  <c r="B50" i="132"/>
  <c r="G50" i="132"/>
  <c r="F9" i="131"/>
  <c r="G9" i="131"/>
  <c r="F10" i="131"/>
  <c r="G10" i="131"/>
  <c r="F11" i="131"/>
  <c r="G11" i="131"/>
  <c r="H11" i="131"/>
  <c r="F12" i="131"/>
  <c r="F13" i="131"/>
  <c r="F14" i="131"/>
  <c r="G14" i="131"/>
  <c r="H14" i="131"/>
  <c r="B15" i="131"/>
  <c r="C15" i="131"/>
  <c r="C24" i="131"/>
  <c r="D15" i="131"/>
  <c r="E15" i="131"/>
  <c r="B23" i="131"/>
  <c r="C23" i="131"/>
  <c r="E23" i="131"/>
  <c r="B24" i="131"/>
  <c r="E24" i="131"/>
  <c r="B26" i="131"/>
  <c r="E27" i="131"/>
  <c r="B29" i="131"/>
  <c r="C29" i="131"/>
  <c r="D29" i="131"/>
  <c r="E29" i="131"/>
  <c r="B30" i="131"/>
  <c r="C30" i="131"/>
  <c r="E30" i="131"/>
  <c r="C31" i="131"/>
  <c r="D31" i="131"/>
  <c r="E31" i="131"/>
  <c r="B32" i="131"/>
  <c r="C32" i="131"/>
  <c r="D32" i="131"/>
  <c r="E32" i="131"/>
  <c r="B33" i="131"/>
  <c r="C33" i="131"/>
  <c r="D33" i="131"/>
  <c r="E33" i="131"/>
  <c r="C37" i="131"/>
  <c r="D37" i="131"/>
  <c r="H37" i="131"/>
  <c r="I37" i="131"/>
  <c r="H38" i="131"/>
  <c r="I38" i="131"/>
  <c r="H39" i="131"/>
  <c r="I39" i="131"/>
  <c r="B40" i="131"/>
  <c r="G40" i="131"/>
  <c r="C47" i="131"/>
  <c r="D47" i="131"/>
  <c r="H47" i="131"/>
  <c r="I47" i="131"/>
  <c r="C48" i="131"/>
  <c r="D48" i="131"/>
  <c r="H48" i="131"/>
  <c r="I48" i="131"/>
  <c r="C49" i="131"/>
  <c r="D49" i="131"/>
  <c r="H49" i="131"/>
  <c r="I49" i="131"/>
  <c r="B50" i="131"/>
  <c r="G50" i="131"/>
  <c r="J9" i="125"/>
  <c r="K9" i="125"/>
  <c r="L9" i="125"/>
  <c r="J10" i="125"/>
  <c r="K10" i="125"/>
  <c r="J11" i="125"/>
  <c r="K11" i="125"/>
  <c r="L11" i="125"/>
  <c r="J12" i="125"/>
  <c r="J13" i="125"/>
  <c r="K13" i="125"/>
  <c r="L13" i="125"/>
  <c r="J14" i="125"/>
  <c r="K14" i="125"/>
  <c r="L14" i="125"/>
  <c r="B15" i="125"/>
  <c r="B24" i="125"/>
  <c r="C15" i="125"/>
  <c r="C38" i="125"/>
  <c r="D15" i="125"/>
  <c r="E15" i="125"/>
  <c r="F15" i="125"/>
  <c r="G15" i="125"/>
  <c r="G30" i="125"/>
  <c r="H15" i="125"/>
  <c r="I15" i="125"/>
  <c r="D23" i="125"/>
  <c r="G23" i="125"/>
  <c r="H23" i="125"/>
  <c r="D24" i="125"/>
  <c r="G24" i="125"/>
  <c r="H24" i="125"/>
  <c r="F26" i="125"/>
  <c r="G27" i="125"/>
  <c r="H27" i="125"/>
  <c r="B29" i="125"/>
  <c r="D29" i="125"/>
  <c r="E29" i="125"/>
  <c r="F29" i="125"/>
  <c r="G29" i="125"/>
  <c r="H29" i="125"/>
  <c r="I29" i="125"/>
  <c r="D30" i="125"/>
  <c r="H30" i="125"/>
  <c r="I30" i="125"/>
  <c r="E31" i="125"/>
  <c r="F31" i="125"/>
  <c r="G31" i="125"/>
  <c r="H31" i="125"/>
  <c r="I31" i="125"/>
  <c r="B32" i="125"/>
  <c r="D32" i="125"/>
  <c r="E32" i="125"/>
  <c r="F32" i="125"/>
  <c r="G32" i="125"/>
  <c r="H32" i="125"/>
  <c r="I32" i="125"/>
  <c r="B33" i="125"/>
  <c r="D33" i="125"/>
  <c r="E33" i="125"/>
  <c r="F33" i="125"/>
  <c r="G33" i="125"/>
  <c r="H33" i="125"/>
  <c r="I33" i="125"/>
  <c r="D37" i="125"/>
  <c r="J37" i="125"/>
  <c r="I38" i="125"/>
  <c r="D39" i="125"/>
  <c r="J39" i="125"/>
  <c r="D40" i="125"/>
  <c r="J40" i="125"/>
  <c r="I41" i="125"/>
  <c r="J41" i="125"/>
  <c r="C42" i="125"/>
  <c r="D42" i="125"/>
  <c r="I42" i="125"/>
  <c r="J42" i="125"/>
  <c r="C43" i="125"/>
  <c r="D43" i="125"/>
  <c r="I43" i="125"/>
  <c r="J43" i="125"/>
  <c r="H44" i="125"/>
  <c r="D51" i="125"/>
  <c r="J51" i="125"/>
  <c r="C52" i="125"/>
  <c r="I52" i="125"/>
  <c r="J52" i="125"/>
  <c r="D53" i="125"/>
  <c r="J53" i="125"/>
  <c r="D54" i="125"/>
  <c r="J54" i="125"/>
  <c r="C55" i="125"/>
  <c r="D55" i="125"/>
  <c r="I55" i="125"/>
  <c r="J55" i="125"/>
  <c r="C56" i="125"/>
  <c r="D56" i="125"/>
  <c r="I56" i="125"/>
  <c r="J56" i="125"/>
  <c r="C57" i="125"/>
  <c r="D57" i="125"/>
  <c r="I57" i="125"/>
  <c r="J57" i="125"/>
  <c r="B58" i="125"/>
  <c r="H58" i="125"/>
  <c r="J9" i="124"/>
  <c r="K9" i="124"/>
  <c r="L9" i="124"/>
  <c r="J10" i="124"/>
  <c r="K10" i="124"/>
  <c r="J11" i="124"/>
  <c r="K11" i="124"/>
  <c r="L11" i="124"/>
  <c r="K12" i="124"/>
  <c r="J13" i="124"/>
  <c r="J14" i="124"/>
  <c r="K14" i="124"/>
  <c r="L14" i="124"/>
  <c r="B15" i="124"/>
  <c r="C15" i="124"/>
  <c r="B37" i="124"/>
  <c r="D37" i="124"/>
  <c r="D15" i="124"/>
  <c r="E15" i="124"/>
  <c r="F15" i="124"/>
  <c r="G15" i="124"/>
  <c r="G23" i="124"/>
  <c r="H15" i="124"/>
  <c r="I15" i="124"/>
  <c r="D23" i="124"/>
  <c r="H23" i="124"/>
  <c r="D24" i="124"/>
  <c r="E24" i="124"/>
  <c r="G24" i="124"/>
  <c r="H24" i="124"/>
  <c r="D26" i="124"/>
  <c r="F26" i="124"/>
  <c r="F31" i="124"/>
  <c r="D27" i="124"/>
  <c r="H27" i="124"/>
  <c r="I27" i="124"/>
  <c r="D29" i="124"/>
  <c r="E29" i="124"/>
  <c r="F29" i="124"/>
  <c r="G29" i="124"/>
  <c r="H29" i="124"/>
  <c r="I29" i="124"/>
  <c r="D30" i="124"/>
  <c r="E30" i="124"/>
  <c r="G30" i="124"/>
  <c r="H30" i="124"/>
  <c r="I30" i="124"/>
  <c r="D31" i="124"/>
  <c r="E31" i="124"/>
  <c r="G31" i="124"/>
  <c r="H31" i="124"/>
  <c r="I31" i="124"/>
  <c r="D32" i="124"/>
  <c r="E32" i="124"/>
  <c r="F32" i="124"/>
  <c r="G32" i="124"/>
  <c r="H32" i="124"/>
  <c r="I32" i="124"/>
  <c r="D33" i="124"/>
  <c r="E33" i="124"/>
  <c r="F33" i="124"/>
  <c r="G33" i="124"/>
  <c r="H33" i="124"/>
  <c r="I33" i="124"/>
  <c r="J37" i="124"/>
  <c r="D38" i="124"/>
  <c r="J38" i="124"/>
  <c r="D39" i="124"/>
  <c r="J39" i="124"/>
  <c r="D40" i="124"/>
  <c r="I40" i="124"/>
  <c r="J40" i="124"/>
  <c r="I41" i="124"/>
  <c r="J41" i="124"/>
  <c r="C42" i="124"/>
  <c r="D42" i="124"/>
  <c r="I42" i="124"/>
  <c r="J42" i="124"/>
  <c r="H43" i="124"/>
  <c r="D50" i="124"/>
  <c r="J50" i="124"/>
  <c r="D51" i="124"/>
  <c r="J51" i="124"/>
  <c r="D52" i="124"/>
  <c r="J52" i="124"/>
  <c r="D53" i="124"/>
  <c r="I53" i="124"/>
  <c r="J53" i="124"/>
  <c r="C54" i="124"/>
  <c r="D54" i="124"/>
  <c r="I54" i="124"/>
  <c r="J54" i="124"/>
  <c r="C55" i="124"/>
  <c r="D55" i="124"/>
  <c r="I55" i="124"/>
  <c r="J55" i="124"/>
  <c r="B56" i="124"/>
  <c r="H56" i="124"/>
  <c r="K9" i="123"/>
  <c r="K10" i="123"/>
  <c r="L10" i="123"/>
  <c r="M10" i="123"/>
  <c r="K11" i="123"/>
  <c r="L11" i="123"/>
  <c r="M11" i="123"/>
  <c r="K12" i="123"/>
  <c r="K13" i="123"/>
  <c r="L13" i="123"/>
  <c r="M13" i="123"/>
  <c r="K14" i="123"/>
  <c r="L14" i="123"/>
  <c r="M14" i="123"/>
  <c r="D15" i="123"/>
  <c r="E15" i="123"/>
  <c r="E24" i="123"/>
  <c r="F15" i="123"/>
  <c r="G15" i="123"/>
  <c r="C43" i="123"/>
  <c r="H15" i="123"/>
  <c r="I15" i="123"/>
  <c r="J15" i="123"/>
  <c r="E23" i="123"/>
  <c r="G23" i="123"/>
  <c r="H23" i="123"/>
  <c r="I23" i="123"/>
  <c r="I31" i="123"/>
  <c r="G24" i="123"/>
  <c r="H24" i="123"/>
  <c r="I24" i="123"/>
  <c r="F26" i="123"/>
  <c r="I26" i="123"/>
  <c r="I29" i="123"/>
  <c r="E27" i="123"/>
  <c r="G27" i="123"/>
  <c r="H27" i="123"/>
  <c r="I27" i="123"/>
  <c r="I30" i="123"/>
  <c r="E29" i="123"/>
  <c r="C77" i="123"/>
  <c r="F29" i="123"/>
  <c r="G29" i="123"/>
  <c r="H29" i="123"/>
  <c r="E30" i="123"/>
  <c r="G30" i="123"/>
  <c r="H30" i="123"/>
  <c r="E31" i="123"/>
  <c r="F31" i="123"/>
  <c r="G31" i="123"/>
  <c r="H31" i="123"/>
  <c r="E32" i="123"/>
  <c r="F32" i="123"/>
  <c r="G32" i="123"/>
  <c r="H32" i="123"/>
  <c r="I32" i="123"/>
  <c r="E33" i="123"/>
  <c r="F33" i="123"/>
  <c r="G33" i="123"/>
  <c r="H33" i="123"/>
  <c r="I33" i="123"/>
  <c r="D38" i="123"/>
  <c r="D39" i="123"/>
  <c r="D40" i="123"/>
  <c r="C41" i="123"/>
  <c r="D41" i="123"/>
  <c r="D42" i="123"/>
  <c r="D43" i="123"/>
  <c r="C44" i="123"/>
  <c r="D44" i="123"/>
  <c r="B45" i="123"/>
  <c r="B44" i="123"/>
  <c r="D50" i="123"/>
  <c r="D51" i="123"/>
  <c r="D52" i="123"/>
  <c r="D53" i="123"/>
  <c r="D54" i="123"/>
  <c r="C55" i="123"/>
  <c r="D55" i="123"/>
  <c r="B56" i="123"/>
  <c r="C56" i="123"/>
  <c r="B57" i="123"/>
  <c r="D62" i="123"/>
  <c r="D63" i="123"/>
  <c r="D64" i="123"/>
  <c r="D65" i="123"/>
  <c r="D66" i="123"/>
  <c r="C67" i="123"/>
  <c r="D67" i="123"/>
  <c r="C68" i="123"/>
  <c r="D68" i="123"/>
  <c r="B69" i="123"/>
  <c r="B68" i="123"/>
  <c r="D74" i="123"/>
  <c r="D75" i="123"/>
  <c r="D76" i="123"/>
  <c r="D77" i="123"/>
  <c r="D78" i="123"/>
  <c r="C79" i="123"/>
  <c r="D79" i="123"/>
  <c r="C80" i="123"/>
  <c r="B81" i="123"/>
  <c r="B80" i="123"/>
  <c r="J9" i="122"/>
  <c r="K9" i="122"/>
  <c r="L9" i="122"/>
  <c r="K10" i="122"/>
  <c r="J11" i="122"/>
  <c r="K11" i="122"/>
  <c r="L11" i="122"/>
  <c r="J13" i="122"/>
  <c r="J14" i="122"/>
  <c r="K14" i="122"/>
  <c r="L14" i="122"/>
  <c r="B15" i="122"/>
  <c r="C15" i="122"/>
  <c r="D15" i="122"/>
  <c r="D30" i="122"/>
  <c r="E15" i="122"/>
  <c r="F15" i="122"/>
  <c r="G15" i="122"/>
  <c r="H15" i="122"/>
  <c r="H24" i="122"/>
  <c r="I15" i="122"/>
  <c r="B23" i="122"/>
  <c r="C23" i="122"/>
  <c r="D23" i="122"/>
  <c r="F23" i="122"/>
  <c r="B24" i="122"/>
  <c r="C24" i="122"/>
  <c r="D24" i="122"/>
  <c r="F24" i="122"/>
  <c r="G24" i="122"/>
  <c r="B26" i="122"/>
  <c r="F26" i="122"/>
  <c r="C27" i="122"/>
  <c r="F27" i="122"/>
  <c r="B29" i="122"/>
  <c r="C29" i="122"/>
  <c r="D29" i="122"/>
  <c r="F29" i="122"/>
  <c r="G29" i="122"/>
  <c r="H29" i="122"/>
  <c r="I29" i="122"/>
  <c r="B30" i="122"/>
  <c r="C30" i="122"/>
  <c r="F30" i="122"/>
  <c r="G30" i="122"/>
  <c r="C31" i="122"/>
  <c r="D31" i="122"/>
  <c r="F31" i="122"/>
  <c r="G31" i="122"/>
  <c r="H31" i="122"/>
  <c r="I31" i="122"/>
  <c r="B32" i="122"/>
  <c r="C32" i="122"/>
  <c r="D32" i="122"/>
  <c r="E32" i="122"/>
  <c r="F32" i="122"/>
  <c r="G32" i="122"/>
  <c r="H32" i="122"/>
  <c r="I32" i="122"/>
  <c r="B33" i="122"/>
  <c r="C33" i="122"/>
  <c r="D33" i="122"/>
  <c r="E33" i="122"/>
  <c r="F33" i="122"/>
  <c r="G33" i="122"/>
  <c r="H33" i="122"/>
  <c r="I33" i="122"/>
  <c r="D37" i="122"/>
  <c r="I37" i="122"/>
  <c r="J37" i="122"/>
  <c r="C38" i="122"/>
  <c r="D38" i="122"/>
  <c r="I38" i="122"/>
  <c r="J38" i="122"/>
  <c r="D39" i="122"/>
  <c r="J39" i="122"/>
  <c r="D40" i="122"/>
  <c r="J40" i="122"/>
  <c r="C41" i="122"/>
  <c r="D41" i="122"/>
  <c r="I41" i="122"/>
  <c r="J41" i="122"/>
  <c r="C42" i="122"/>
  <c r="D42" i="122"/>
  <c r="I42" i="122"/>
  <c r="J42" i="122"/>
  <c r="I43" i="122"/>
  <c r="J43" i="122"/>
  <c r="H44" i="122"/>
  <c r="D51" i="122"/>
  <c r="I51" i="122"/>
  <c r="J51" i="122"/>
  <c r="C52" i="122"/>
  <c r="D52" i="122"/>
  <c r="I52" i="122"/>
  <c r="J52" i="122"/>
  <c r="D53" i="122"/>
  <c r="J53" i="122"/>
  <c r="D54" i="122"/>
  <c r="J54" i="122"/>
  <c r="C55" i="122"/>
  <c r="D55" i="122"/>
  <c r="I55" i="122"/>
  <c r="J55" i="122"/>
  <c r="C56" i="122"/>
  <c r="D56" i="122"/>
  <c r="I56" i="122"/>
  <c r="J56" i="122"/>
  <c r="C57" i="122"/>
  <c r="D57" i="122"/>
  <c r="I57" i="122"/>
  <c r="J57" i="122"/>
  <c r="B58" i="122"/>
  <c r="H58" i="122"/>
  <c r="J9" i="121"/>
  <c r="K9" i="121"/>
  <c r="L9" i="121"/>
  <c r="J11" i="121"/>
  <c r="K11" i="121"/>
  <c r="L11" i="121"/>
  <c r="K12" i="121"/>
  <c r="J13" i="121"/>
  <c r="J14" i="121"/>
  <c r="K14" i="121"/>
  <c r="L14" i="121"/>
  <c r="B15" i="121"/>
  <c r="C15" i="121"/>
  <c r="D15" i="121"/>
  <c r="D23" i="121"/>
  <c r="E15" i="121"/>
  <c r="E24" i="121"/>
  <c r="F15" i="121"/>
  <c r="G15" i="121"/>
  <c r="C42" i="121"/>
  <c r="D42" i="121"/>
  <c r="H15" i="121"/>
  <c r="H23" i="121"/>
  <c r="I15" i="121"/>
  <c r="B44" i="121"/>
  <c r="B23" i="121"/>
  <c r="E23" i="121"/>
  <c r="F23" i="121"/>
  <c r="I23" i="121"/>
  <c r="B24" i="121"/>
  <c r="D24" i="121"/>
  <c r="F24" i="121"/>
  <c r="H24" i="121"/>
  <c r="I24" i="121"/>
  <c r="B26" i="121"/>
  <c r="B27" i="121"/>
  <c r="F26" i="121"/>
  <c r="F31" i="121"/>
  <c r="D27" i="121"/>
  <c r="F27" i="121"/>
  <c r="H27" i="121"/>
  <c r="I27" i="121"/>
  <c r="B29" i="121"/>
  <c r="C29" i="121"/>
  <c r="D29" i="121"/>
  <c r="E29" i="121"/>
  <c r="F29" i="121"/>
  <c r="G29" i="121"/>
  <c r="H29" i="121"/>
  <c r="I29" i="121"/>
  <c r="B30" i="121"/>
  <c r="E30" i="121"/>
  <c r="F30" i="121"/>
  <c r="I30" i="121"/>
  <c r="B31" i="121"/>
  <c r="C31" i="121"/>
  <c r="D31" i="121"/>
  <c r="E31" i="121"/>
  <c r="G31" i="121"/>
  <c r="H31" i="121"/>
  <c r="I31" i="121"/>
  <c r="B32" i="121"/>
  <c r="C32" i="121"/>
  <c r="D32" i="121"/>
  <c r="E32" i="121"/>
  <c r="F32" i="121"/>
  <c r="G32" i="121"/>
  <c r="H32" i="121"/>
  <c r="I32" i="121"/>
  <c r="B33" i="121"/>
  <c r="C33" i="121"/>
  <c r="D33" i="121"/>
  <c r="E33" i="121"/>
  <c r="F33" i="121"/>
  <c r="G33" i="121"/>
  <c r="H33" i="121"/>
  <c r="I33" i="121"/>
  <c r="C37" i="121"/>
  <c r="D37" i="121"/>
  <c r="I37" i="121"/>
  <c r="J37" i="121"/>
  <c r="I38" i="121"/>
  <c r="J38" i="121"/>
  <c r="D39" i="121"/>
  <c r="J39" i="121"/>
  <c r="D40" i="121"/>
  <c r="J40" i="121"/>
  <c r="C41" i="121"/>
  <c r="D41" i="121"/>
  <c r="I41" i="121"/>
  <c r="J41" i="121"/>
  <c r="I42" i="121"/>
  <c r="J42" i="121"/>
  <c r="C43" i="121"/>
  <c r="D43" i="121"/>
  <c r="I43" i="121"/>
  <c r="J43" i="121"/>
  <c r="H44" i="121"/>
  <c r="C51" i="121"/>
  <c r="D51" i="121"/>
  <c r="I51" i="121"/>
  <c r="J51" i="121"/>
  <c r="C52" i="121"/>
  <c r="D52" i="121"/>
  <c r="I52" i="121"/>
  <c r="J52" i="121"/>
  <c r="D53" i="121"/>
  <c r="J53" i="121"/>
  <c r="D54" i="121"/>
  <c r="J54" i="121"/>
  <c r="C55" i="121"/>
  <c r="D55" i="121"/>
  <c r="I55" i="121"/>
  <c r="J55" i="121"/>
  <c r="C56" i="121"/>
  <c r="D56" i="121"/>
  <c r="I56" i="121"/>
  <c r="J56" i="121"/>
  <c r="C57" i="121"/>
  <c r="D57" i="121"/>
  <c r="I57" i="121"/>
  <c r="J57" i="121"/>
  <c r="B58" i="121"/>
  <c r="H58" i="121"/>
  <c r="K9" i="120"/>
  <c r="K10" i="120"/>
  <c r="L10" i="120"/>
  <c r="M10" i="120"/>
  <c r="K11" i="120"/>
  <c r="L11" i="120"/>
  <c r="M11" i="120"/>
  <c r="K12" i="120"/>
  <c r="L12" i="120"/>
  <c r="K13" i="120"/>
  <c r="L13" i="120"/>
  <c r="M13" i="120"/>
  <c r="K14" i="120"/>
  <c r="L14" i="120"/>
  <c r="M14" i="120"/>
  <c r="D15" i="120"/>
  <c r="E15" i="120"/>
  <c r="E23" i="120"/>
  <c r="F15" i="120"/>
  <c r="F23" i="120"/>
  <c r="G15" i="120"/>
  <c r="H15" i="120"/>
  <c r="I15" i="120"/>
  <c r="I23" i="120"/>
  <c r="J15" i="120"/>
  <c r="J28" i="120"/>
  <c r="J21" i="120"/>
  <c r="G23" i="120"/>
  <c r="D24" i="120"/>
  <c r="E24" i="120"/>
  <c r="F24" i="120"/>
  <c r="G24" i="120"/>
  <c r="H24" i="120"/>
  <c r="I24" i="120"/>
  <c r="D26" i="120"/>
  <c r="D31" i="120"/>
  <c r="I26" i="120"/>
  <c r="E27" i="120"/>
  <c r="G27" i="120"/>
  <c r="I27" i="120"/>
  <c r="D29" i="120"/>
  <c r="E29" i="120"/>
  <c r="F29" i="120"/>
  <c r="G29" i="120"/>
  <c r="H29" i="120"/>
  <c r="I29" i="120"/>
  <c r="E30" i="120"/>
  <c r="F30" i="120"/>
  <c r="G30" i="120"/>
  <c r="I30" i="120"/>
  <c r="E31" i="120"/>
  <c r="F31" i="120"/>
  <c r="G31" i="120"/>
  <c r="H31" i="120"/>
  <c r="I31" i="120"/>
  <c r="D32" i="120"/>
  <c r="E32" i="120"/>
  <c r="F32" i="120"/>
  <c r="G32" i="120"/>
  <c r="H32" i="120"/>
  <c r="I32" i="120"/>
  <c r="D33" i="120"/>
  <c r="E33" i="120"/>
  <c r="F33" i="120"/>
  <c r="G33" i="120"/>
  <c r="H33" i="120"/>
  <c r="I33" i="120"/>
  <c r="D38" i="120"/>
  <c r="D39" i="120"/>
  <c r="D40" i="120"/>
  <c r="D42" i="120"/>
  <c r="C43" i="120"/>
  <c r="D43" i="120"/>
  <c r="C44" i="120"/>
  <c r="D50" i="120"/>
  <c r="D51" i="120"/>
  <c r="D52" i="120"/>
  <c r="D53" i="120"/>
  <c r="D54" i="120"/>
  <c r="C55" i="120"/>
  <c r="D55" i="120"/>
  <c r="C56" i="120"/>
  <c r="B57" i="120"/>
  <c r="B56" i="120"/>
  <c r="D56" i="120"/>
  <c r="D62" i="120"/>
  <c r="D63" i="120"/>
  <c r="D64" i="120"/>
  <c r="D65" i="120"/>
  <c r="D66" i="120"/>
  <c r="C67" i="120"/>
  <c r="D67" i="120"/>
  <c r="C68" i="120"/>
  <c r="B69" i="120"/>
  <c r="B68" i="120"/>
  <c r="D74" i="120"/>
  <c r="D75" i="120"/>
  <c r="D76" i="120"/>
  <c r="D77" i="120"/>
  <c r="D78" i="120"/>
  <c r="C79" i="120"/>
  <c r="D79" i="120"/>
  <c r="B80" i="120"/>
  <c r="C80" i="120"/>
  <c r="B81" i="120"/>
  <c r="J9" i="116"/>
  <c r="K9" i="116"/>
  <c r="L9" i="116"/>
  <c r="K10" i="116"/>
  <c r="J11" i="116"/>
  <c r="K11" i="116"/>
  <c r="L11" i="116"/>
  <c r="J13" i="116"/>
  <c r="J14" i="116"/>
  <c r="K14" i="116"/>
  <c r="L14" i="116"/>
  <c r="B15" i="116"/>
  <c r="C15" i="116"/>
  <c r="D15" i="116"/>
  <c r="D30" i="116"/>
  <c r="E15" i="116"/>
  <c r="F15" i="116"/>
  <c r="G15" i="116"/>
  <c r="H15" i="116"/>
  <c r="H24" i="116"/>
  <c r="I15" i="116"/>
  <c r="B23" i="116"/>
  <c r="C23" i="116"/>
  <c r="D23" i="116"/>
  <c r="F23" i="116"/>
  <c r="H23" i="116"/>
  <c r="B24" i="116"/>
  <c r="E24" i="116"/>
  <c r="F24" i="116"/>
  <c r="I24" i="116"/>
  <c r="C26" i="116"/>
  <c r="B26" i="116"/>
  <c r="F26" i="116"/>
  <c r="D27" i="116"/>
  <c r="F27" i="116"/>
  <c r="H27" i="116"/>
  <c r="B29" i="116"/>
  <c r="C29" i="116"/>
  <c r="D29" i="116"/>
  <c r="E29" i="116"/>
  <c r="F29" i="116"/>
  <c r="G29" i="116"/>
  <c r="H29" i="116"/>
  <c r="I29" i="116"/>
  <c r="B30" i="116"/>
  <c r="F30" i="116"/>
  <c r="D31" i="116"/>
  <c r="E31" i="116"/>
  <c r="F31" i="116"/>
  <c r="G31" i="116"/>
  <c r="H31" i="116"/>
  <c r="I31" i="116"/>
  <c r="B32" i="116"/>
  <c r="C32" i="116"/>
  <c r="D32" i="116"/>
  <c r="E32" i="116"/>
  <c r="F32" i="116"/>
  <c r="G32" i="116"/>
  <c r="H32" i="116"/>
  <c r="I32" i="116"/>
  <c r="B33" i="116"/>
  <c r="C33" i="116"/>
  <c r="D33" i="116"/>
  <c r="E33" i="116"/>
  <c r="F33" i="116"/>
  <c r="G33" i="116"/>
  <c r="H33" i="116"/>
  <c r="I33" i="116"/>
  <c r="D37" i="116"/>
  <c r="J37" i="116"/>
  <c r="B38" i="116"/>
  <c r="I38" i="116"/>
  <c r="J38" i="116"/>
  <c r="D39" i="116"/>
  <c r="J39" i="116"/>
  <c r="D40" i="116"/>
  <c r="J40" i="116"/>
  <c r="C41" i="116"/>
  <c r="D41" i="116"/>
  <c r="I41" i="116"/>
  <c r="J41" i="116"/>
  <c r="I42" i="116"/>
  <c r="J42" i="116"/>
  <c r="I43" i="116"/>
  <c r="J43" i="116"/>
  <c r="H44" i="116"/>
  <c r="D51" i="116"/>
  <c r="J51" i="116"/>
  <c r="C52" i="116"/>
  <c r="D52" i="116"/>
  <c r="I52" i="116"/>
  <c r="J52" i="116"/>
  <c r="D53" i="116"/>
  <c r="J53" i="116"/>
  <c r="D54" i="116"/>
  <c r="J54" i="116"/>
  <c r="C55" i="116"/>
  <c r="D55" i="116"/>
  <c r="I55" i="116"/>
  <c r="J55" i="116"/>
  <c r="C56" i="116"/>
  <c r="D56" i="116"/>
  <c r="I56" i="116"/>
  <c r="J56" i="116"/>
  <c r="C57" i="116"/>
  <c r="D57" i="116"/>
  <c r="I57" i="116"/>
  <c r="J57" i="116"/>
  <c r="B58" i="116"/>
  <c r="H58" i="116"/>
  <c r="J9" i="115"/>
  <c r="K9" i="115"/>
  <c r="L9" i="115"/>
  <c r="J11" i="115"/>
  <c r="K11" i="115"/>
  <c r="L11" i="115"/>
  <c r="K12" i="115"/>
  <c r="J13" i="115"/>
  <c r="J14" i="115"/>
  <c r="K14" i="115"/>
  <c r="L14" i="115"/>
  <c r="B15" i="115"/>
  <c r="C15" i="115"/>
  <c r="D15" i="115"/>
  <c r="E15" i="115"/>
  <c r="E23" i="115"/>
  <c r="F15" i="115"/>
  <c r="G15" i="115"/>
  <c r="H15" i="115"/>
  <c r="I15" i="115"/>
  <c r="B23" i="115"/>
  <c r="F23" i="115"/>
  <c r="I23" i="115"/>
  <c r="B24" i="115"/>
  <c r="C24" i="115"/>
  <c r="D24" i="115"/>
  <c r="E24" i="115"/>
  <c r="F24" i="115"/>
  <c r="G24" i="115"/>
  <c r="H24" i="115"/>
  <c r="I24" i="115"/>
  <c r="B26" i="115"/>
  <c r="B27" i="115"/>
  <c r="F26" i="115"/>
  <c r="F27" i="115"/>
  <c r="E27" i="115"/>
  <c r="B29" i="115"/>
  <c r="C29" i="115"/>
  <c r="D29" i="115"/>
  <c r="E29" i="115"/>
  <c r="F29" i="115"/>
  <c r="G29" i="115"/>
  <c r="H29" i="115"/>
  <c r="I29" i="115"/>
  <c r="B30" i="115"/>
  <c r="E30" i="115"/>
  <c r="F30" i="115"/>
  <c r="G30" i="115"/>
  <c r="B31" i="115"/>
  <c r="C31" i="115"/>
  <c r="D31" i="115"/>
  <c r="E31" i="115"/>
  <c r="F31" i="115"/>
  <c r="G31" i="115"/>
  <c r="H31" i="115"/>
  <c r="I31" i="115"/>
  <c r="B32" i="115"/>
  <c r="C32" i="115"/>
  <c r="D32" i="115"/>
  <c r="E32" i="115"/>
  <c r="F32" i="115"/>
  <c r="G32" i="115"/>
  <c r="H32" i="115"/>
  <c r="I32" i="115"/>
  <c r="B33" i="115"/>
  <c r="C33" i="115"/>
  <c r="D33" i="115"/>
  <c r="E33" i="115"/>
  <c r="F33" i="115"/>
  <c r="G33" i="115"/>
  <c r="H33" i="115"/>
  <c r="I33" i="115"/>
  <c r="C37" i="115"/>
  <c r="D37" i="115"/>
  <c r="I37" i="115"/>
  <c r="J37" i="115"/>
  <c r="D38" i="115"/>
  <c r="J38" i="115"/>
  <c r="D39" i="115"/>
  <c r="J39" i="115"/>
  <c r="D40" i="115"/>
  <c r="J40" i="115"/>
  <c r="C41" i="115"/>
  <c r="D41" i="115"/>
  <c r="I41" i="115"/>
  <c r="J41" i="115"/>
  <c r="I42" i="115"/>
  <c r="J42" i="115"/>
  <c r="I43" i="115"/>
  <c r="J43" i="115"/>
  <c r="H44" i="115"/>
  <c r="D51" i="115"/>
  <c r="I51" i="115"/>
  <c r="J51" i="115"/>
  <c r="D52" i="115"/>
  <c r="J52" i="115"/>
  <c r="D53" i="115"/>
  <c r="J53" i="115"/>
  <c r="D54" i="115"/>
  <c r="J54" i="115"/>
  <c r="C55" i="115"/>
  <c r="D55" i="115"/>
  <c r="I55" i="115"/>
  <c r="J55" i="115"/>
  <c r="C56" i="115"/>
  <c r="D56" i="115"/>
  <c r="I56" i="115"/>
  <c r="J56" i="115"/>
  <c r="C57" i="115"/>
  <c r="D57" i="115"/>
  <c r="I57" i="115"/>
  <c r="J57" i="115"/>
  <c r="B58" i="115"/>
  <c r="H58" i="115"/>
  <c r="D9" i="253"/>
  <c r="E9" i="253"/>
  <c r="F9" i="253"/>
  <c r="D10" i="253"/>
  <c r="E10" i="253"/>
  <c r="D11" i="253"/>
  <c r="E11" i="253"/>
  <c r="F11" i="253"/>
  <c r="D12" i="253"/>
  <c r="E12" i="253"/>
  <c r="F12" i="253"/>
  <c r="D13" i="253"/>
  <c r="E13" i="253"/>
  <c r="F13" i="253"/>
  <c r="D14" i="253"/>
  <c r="E14" i="253"/>
  <c r="F14" i="253"/>
  <c r="B15" i="253"/>
  <c r="C15" i="253"/>
  <c r="C23" i="253"/>
  <c r="E15" i="253"/>
  <c r="C24" i="253"/>
  <c r="C27" i="253"/>
  <c r="C29" i="253"/>
  <c r="C30" i="253"/>
  <c r="C31" i="253"/>
  <c r="C32" i="253"/>
  <c r="C33" i="253"/>
  <c r="I9" i="110"/>
  <c r="J9" i="110"/>
  <c r="K9" i="110"/>
  <c r="I11" i="110"/>
  <c r="J11" i="110"/>
  <c r="K11" i="110"/>
  <c r="I14" i="110"/>
  <c r="J14" i="110"/>
  <c r="K14" i="110"/>
  <c r="B15" i="110"/>
  <c r="C37" i="110"/>
  <c r="D37" i="110"/>
  <c r="C15" i="110"/>
  <c r="D15" i="110"/>
  <c r="E15" i="110"/>
  <c r="F15" i="110"/>
  <c r="F24" i="110"/>
  <c r="G15" i="110"/>
  <c r="H15" i="110"/>
  <c r="E23" i="110"/>
  <c r="D24" i="110"/>
  <c r="E24" i="110"/>
  <c r="E26" i="110"/>
  <c r="E27" i="110"/>
  <c r="B27" i="110"/>
  <c r="F27" i="110"/>
  <c r="G27" i="110"/>
  <c r="H27" i="110"/>
  <c r="B29" i="110"/>
  <c r="C29" i="110"/>
  <c r="D29" i="110"/>
  <c r="E29" i="110"/>
  <c r="F29" i="110"/>
  <c r="G29" i="110"/>
  <c r="H29" i="110"/>
  <c r="C30" i="110"/>
  <c r="E30" i="110"/>
  <c r="G30" i="110"/>
  <c r="B31" i="110"/>
  <c r="C31" i="110"/>
  <c r="D31" i="110"/>
  <c r="E31" i="110"/>
  <c r="F31" i="110"/>
  <c r="G31" i="110"/>
  <c r="H31" i="110"/>
  <c r="B32" i="110"/>
  <c r="C32" i="110"/>
  <c r="D32" i="110"/>
  <c r="E32" i="110"/>
  <c r="F32" i="110"/>
  <c r="G32" i="110"/>
  <c r="H32" i="110"/>
  <c r="B33" i="110"/>
  <c r="C33" i="110"/>
  <c r="D33" i="110"/>
  <c r="E33" i="110"/>
  <c r="F33" i="110"/>
  <c r="G33" i="110"/>
  <c r="H33" i="110"/>
  <c r="I37" i="110"/>
  <c r="J37" i="110"/>
  <c r="D38" i="110"/>
  <c r="J38" i="110"/>
  <c r="D39" i="110"/>
  <c r="J39" i="110"/>
  <c r="C40" i="110"/>
  <c r="D40" i="110"/>
  <c r="I40" i="110"/>
  <c r="J40" i="110"/>
  <c r="I41" i="110"/>
  <c r="J41" i="110"/>
  <c r="I42" i="110"/>
  <c r="J42" i="110"/>
  <c r="H43" i="110"/>
  <c r="C50" i="110"/>
  <c r="D50" i="110"/>
  <c r="I50" i="110"/>
  <c r="J50" i="110"/>
  <c r="D51" i="110"/>
  <c r="J51" i="110"/>
  <c r="D52" i="110"/>
  <c r="J52" i="110"/>
  <c r="C53" i="110"/>
  <c r="D53" i="110"/>
  <c r="I53" i="110"/>
  <c r="J53" i="110"/>
  <c r="C54" i="110"/>
  <c r="D54" i="110"/>
  <c r="I54" i="110"/>
  <c r="J54" i="110"/>
  <c r="C55" i="110"/>
  <c r="D55" i="110"/>
  <c r="I55" i="110"/>
  <c r="J55" i="110"/>
  <c r="B56" i="110"/>
  <c r="H56" i="110"/>
  <c r="I9" i="109"/>
  <c r="J9" i="109"/>
  <c r="K9" i="109"/>
  <c r="I11" i="109"/>
  <c r="J11" i="109"/>
  <c r="K11" i="109"/>
  <c r="I14" i="109"/>
  <c r="J14" i="109"/>
  <c r="K14" i="109"/>
  <c r="B15" i="109"/>
  <c r="B24" i="109"/>
  <c r="C15" i="109"/>
  <c r="D15" i="109"/>
  <c r="E15" i="109"/>
  <c r="E23" i="109"/>
  <c r="F15" i="109"/>
  <c r="F30" i="109"/>
  <c r="G15" i="109"/>
  <c r="H15" i="109"/>
  <c r="C23" i="109"/>
  <c r="F23" i="109"/>
  <c r="G23" i="109"/>
  <c r="C24" i="109"/>
  <c r="G24" i="109"/>
  <c r="E26" i="109"/>
  <c r="E31" i="109"/>
  <c r="B27" i="109"/>
  <c r="C27" i="109"/>
  <c r="G27" i="109"/>
  <c r="B29" i="109"/>
  <c r="C29" i="109"/>
  <c r="D29" i="109"/>
  <c r="E29" i="109"/>
  <c r="F29" i="109"/>
  <c r="G29" i="109"/>
  <c r="H29" i="109"/>
  <c r="C30" i="109"/>
  <c r="G30" i="109"/>
  <c r="B31" i="109"/>
  <c r="C31" i="109"/>
  <c r="D31" i="109"/>
  <c r="F31" i="109"/>
  <c r="G31" i="109"/>
  <c r="H31" i="109"/>
  <c r="B32" i="109"/>
  <c r="C32" i="109"/>
  <c r="D32" i="109"/>
  <c r="E32" i="109"/>
  <c r="F32" i="109"/>
  <c r="G32" i="109"/>
  <c r="H32" i="109"/>
  <c r="B33" i="109"/>
  <c r="C33" i="109"/>
  <c r="D33" i="109"/>
  <c r="E33" i="109"/>
  <c r="F33" i="109"/>
  <c r="G33" i="109"/>
  <c r="H33" i="109"/>
  <c r="D37" i="109"/>
  <c r="J37" i="109"/>
  <c r="D38" i="109"/>
  <c r="J38" i="109"/>
  <c r="D39" i="109"/>
  <c r="J39" i="109"/>
  <c r="I40" i="109"/>
  <c r="J40" i="109"/>
  <c r="I41" i="109"/>
  <c r="J41" i="109"/>
  <c r="C42" i="109"/>
  <c r="D42" i="109"/>
  <c r="I42" i="109"/>
  <c r="J42" i="109"/>
  <c r="H43" i="109"/>
  <c r="D50" i="109"/>
  <c r="J50" i="109"/>
  <c r="D51" i="109"/>
  <c r="J51" i="109"/>
  <c r="D52" i="109"/>
  <c r="J52" i="109"/>
  <c r="C53" i="109"/>
  <c r="D53" i="109"/>
  <c r="I53" i="109"/>
  <c r="J53" i="109"/>
  <c r="C54" i="109"/>
  <c r="D54" i="109"/>
  <c r="I54" i="109"/>
  <c r="J54" i="109"/>
  <c r="C55" i="109"/>
  <c r="D55" i="109"/>
  <c r="I55" i="109"/>
  <c r="J55" i="109"/>
  <c r="B56" i="109"/>
  <c r="H56" i="109"/>
  <c r="L9" i="87"/>
  <c r="L14" i="87"/>
  <c r="M14" i="87"/>
  <c r="N14" i="87"/>
  <c r="B15" i="87"/>
  <c r="C15" i="87"/>
  <c r="D15" i="87"/>
  <c r="E15" i="87"/>
  <c r="F15" i="87"/>
  <c r="G15" i="87"/>
  <c r="H15" i="87"/>
  <c r="H23" i="87"/>
  <c r="I15" i="87"/>
  <c r="J15" i="87"/>
  <c r="K15" i="87"/>
  <c r="J20" i="87"/>
  <c r="J21" i="87"/>
  <c r="B23" i="87"/>
  <c r="C23" i="87"/>
  <c r="D23" i="87"/>
  <c r="F23" i="87"/>
  <c r="J23" i="87"/>
  <c r="B24" i="87"/>
  <c r="F24" i="87"/>
  <c r="J24" i="87"/>
  <c r="C26" i="87"/>
  <c r="C31" i="87"/>
  <c r="H26" i="87"/>
  <c r="J26" i="87"/>
  <c r="J27" i="87"/>
  <c r="B27" i="87"/>
  <c r="D27" i="87"/>
  <c r="F27" i="87"/>
  <c r="H27" i="87"/>
  <c r="J28" i="87"/>
  <c r="C61" i="87"/>
  <c r="B29" i="87"/>
  <c r="C29" i="87"/>
  <c r="D29" i="87"/>
  <c r="E29" i="87"/>
  <c r="F29" i="87"/>
  <c r="G29" i="87"/>
  <c r="H29" i="87"/>
  <c r="I29" i="87"/>
  <c r="K29" i="87"/>
  <c r="B30" i="87"/>
  <c r="E30" i="87"/>
  <c r="F30" i="87"/>
  <c r="I30" i="87"/>
  <c r="J30" i="87"/>
  <c r="B31" i="87"/>
  <c r="D31" i="87"/>
  <c r="E31" i="87"/>
  <c r="F31" i="87"/>
  <c r="G31" i="87"/>
  <c r="H31" i="87"/>
  <c r="I31" i="87"/>
  <c r="K31" i="87"/>
  <c r="B32" i="87"/>
  <c r="C32" i="87"/>
  <c r="D32" i="87"/>
  <c r="E32" i="87"/>
  <c r="F32" i="87"/>
  <c r="G32" i="87"/>
  <c r="H32" i="87"/>
  <c r="I32" i="87"/>
  <c r="J32" i="87"/>
  <c r="K32" i="87"/>
  <c r="B33" i="87"/>
  <c r="C33" i="87"/>
  <c r="D33" i="87"/>
  <c r="E33" i="87"/>
  <c r="F33" i="87"/>
  <c r="G33" i="87"/>
  <c r="H33" i="87"/>
  <c r="I33" i="87"/>
  <c r="J33" i="87"/>
  <c r="K33" i="87"/>
  <c r="C37" i="87"/>
  <c r="D37" i="87"/>
  <c r="J37" i="87"/>
  <c r="C38" i="87"/>
  <c r="D38" i="87"/>
  <c r="I38" i="87"/>
  <c r="J38" i="87"/>
  <c r="C39" i="87"/>
  <c r="D39" i="87"/>
  <c r="J39" i="87"/>
  <c r="I40" i="87"/>
  <c r="J40" i="87"/>
  <c r="D41" i="87"/>
  <c r="J41" i="87"/>
  <c r="D42" i="87"/>
  <c r="J42" i="87"/>
  <c r="I43" i="87"/>
  <c r="J43" i="87"/>
  <c r="I44" i="87"/>
  <c r="J44" i="87"/>
  <c r="B45" i="87"/>
  <c r="D45" i="87"/>
  <c r="C45" i="87"/>
  <c r="H45" i="87"/>
  <c r="I45" i="87"/>
  <c r="J45" i="87"/>
  <c r="H46" i="87"/>
  <c r="D53" i="87"/>
  <c r="J53" i="87"/>
  <c r="C54" i="87"/>
  <c r="D54" i="87"/>
  <c r="I54" i="87"/>
  <c r="J54" i="87"/>
  <c r="D55" i="87"/>
  <c r="J55" i="87"/>
  <c r="C56" i="87"/>
  <c r="D56" i="87"/>
  <c r="I56" i="87"/>
  <c r="J56" i="87"/>
  <c r="D57" i="87"/>
  <c r="J57" i="87"/>
  <c r="D58" i="87"/>
  <c r="J58" i="87"/>
  <c r="C59" i="87"/>
  <c r="D59" i="87"/>
  <c r="I59" i="87"/>
  <c r="J59" i="87"/>
  <c r="C60" i="87"/>
  <c r="D60" i="87"/>
  <c r="I60" i="87"/>
  <c r="J60" i="87"/>
  <c r="B61" i="87"/>
  <c r="H61" i="87"/>
  <c r="I61" i="87"/>
  <c r="J61" i="87"/>
  <c r="B62" i="87"/>
  <c r="D62" i="87"/>
  <c r="H62" i="87"/>
  <c r="L9" i="83"/>
  <c r="D12" i="83"/>
  <c r="L14" i="83"/>
  <c r="M14" i="83"/>
  <c r="N14" i="83"/>
  <c r="B15" i="83"/>
  <c r="C15" i="83"/>
  <c r="D15" i="83"/>
  <c r="E15" i="83"/>
  <c r="F15" i="83"/>
  <c r="G15" i="83"/>
  <c r="H15" i="83"/>
  <c r="I15" i="83"/>
  <c r="J15" i="83"/>
  <c r="K15" i="83"/>
  <c r="J20" i="83"/>
  <c r="I45" i="83"/>
  <c r="J45" i="83"/>
  <c r="J21" i="83"/>
  <c r="B23" i="83"/>
  <c r="C23" i="83"/>
  <c r="F23" i="83"/>
  <c r="I23" i="83"/>
  <c r="B24" i="83"/>
  <c r="E24" i="83"/>
  <c r="F24" i="83"/>
  <c r="I24" i="83"/>
  <c r="C26" i="83"/>
  <c r="H26" i="83"/>
  <c r="B27" i="83"/>
  <c r="D27" i="83"/>
  <c r="F27" i="83"/>
  <c r="H27" i="83"/>
  <c r="J27" i="83"/>
  <c r="B29" i="83"/>
  <c r="C29" i="83"/>
  <c r="D29" i="83"/>
  <c r="E29" i="83"/>
  <c r="F29" i="83"/>
  <c r="G29" i="83"/>
  <c r="H29" i="83"/>
  <c r="I29" i="83"/>
  <c r="K29" i="83"/>
  <c r="B30" i="83"/>
  <c r="C30" i="83"/>
  <c r="F30" i="83"/>
  <c r="J30" i="83"/>
  <c r="B31" i="83"/>
  <c r="D31" i="83"/>
  <c r="E31" i="83"/>
  <c r="F31" i="83"/>
  <c r="G31" i="83"/>
  <c r="H31" i="83"/>
  <c r="I31" i="83"/>
  <c r="J31" i="83"/>
  <c r="K31" i="83"/>
  <c r="B32" i="83"/>
  <c r="C32" i="83"/>
  <c r="D32" i="83"/>
  <c r="E32" i="83"/>
  <c r="F32" i="83"/>
  <c r="G32" i="83"/>
  <c r="H32" i="83"/>
  <c r="I32" i="83"/>
  <c r="K32" i="83"/>
  <c r="B33" i="83"/>
  <c r="C33" i="83"/>
  <c r="D33" i="83"/>
  <c r="E33" i="83"/>
  <c r="F33" i="83"/>
  <c r="G33" i="83"/>
  <c r="H33" i="83"/>
  <c r="I33" i="83"/>
  <c r="K33" i="83"/>
  <c r="C37" i="83"/>
  <c r="D37" i="83"/>
  <c r="J37" i="83"/>
  <c r="I38" i="83"/>
  <c r="J38" i="83"/>
  <c r="J39" i="83"/>
  <c r="D40" i="83"/>
  <c r="J40" i="83"/>
  <c r="D41" i="83"/>
  <c r="J41" i="83"/>
  <c r="D42" i="83"/>
  <c r="J42" i="83"/>
  <c r="C43" i="83"/>
  <c r="D43" i="83"/>
  <c r="I43" i="83"/>
  <c r="J43" i="83"/>
  <c r="I44" i="83"/>
  <c r="J44" i="83"/>
  <c r="C45" i="83"/>
  <c r="D45" i="83"/>
  <c r="H46" i="83"/>
  <c r="D53" i="83"/>
  <c r="J53" i="83"/>
  <c r="C54" i="83"/>
  <c r="D54" i="83"/>
  <c r="I54" i="83"/>
  <c r="J54" i="83"/>
  <c r="D55" i="83"/>
  <c r="J55" i="83"/>
  <c r="D56" i="83"/>
  <c r="J56" i="83"/>
  <c r="D57" i="83"/>
  <c r="J57" i="83"/>
  <c r="D58" i="83"/>
  <c r="J58" i="83"/>
  <c r="C59" i="83"/>
  <c r="D59" i="83"/>
  <c r="I59" i="83"/>
  <c r="J59" i="83"/>
  <c r="C60" i="83"/>
  <c r="D60" i="83"/>
  <c r="I60" i="83"/>
  <c r="J60" i="83"/>
  <c r="C61" i="83"/>
  <c r="D61" i="83"/>
  <c r="B62" i="83"/>
  <c r="H62" i="83"/>
  <c r="J9" i="113"/>
  <c r="K9" i="113"/>
  <c r="L9" i="113"/>
  <c r="L15" i="113"/>
  <c r="J10" i="113"/>
  <c r="K10" i="113"/>
  <c r="L10" i="113"/>
  <c r="J11" i="113"/>
  <c r="K11" i="113"/>
  <c r="L11" i="113"/>
  <c r="J12" i="113"/>
  <c r="J32" i="113"/>
  <c r="K12" i="113"/>
  <c r="L12" i="113"/>
  <c r="L32" i="113"/>
  <c r="J13" i="113"/>
  <c r="K13" i="113"/>
  <c r="L13" i="113"/>
  <c r="J14" i="113"/>
  <c r="K14" i="113"/>
  <c r="L14" i="113"/>
  <c r="B15" i="113"/>
  <c r="B27" i="113"/>
  <c r="C15" i="113"/>
  <c r="C30" i="113"/>
  <c r="D15" i="113"/>
  <c r="E15" i="113"/>
  <c r="E27" i="113"/>
  <c r="F15" i="113"/>
  <c r="G15" i="113"/>
  <c r="H15" i="113"/>
  <c r="I15" i="113"/>
  <c r="J20" i="113"/>
  <c r="H45" i="113"/>
  <c r="K20" i="113"/>
  <c r="H46" i="113"/>
  <c r="L20" i="113"/>
  <c r="H47" i="113"/>
  <c r="J21" i="113"/>
  <c r="K21" i="113"/>
  <c r="K29" i="113"/>
  <c r="L21" i="113"/>
  <c r="B23" i="113"/>
  <c r="D23" i="113"/>
  <c r="E23" i="113"/>
  <c r="F23" i="113"/>
  <c r="H23" i="113"/>
  <c r="B24" i="113"/>
  <c r="C24" i="113"/>
  <c r="D24" i="113"/>
  <c r="E24" i="113"/>
  <c r="F24" i="113"/>
  <c r="G24" i="113"/>
  <c r="H24" i="113"/>
  <c r="I24" i="113"/>
  <c r="F26" i="113"/>
  <c r="F31" i="113"/>
  <c r="J26" i="113"/>
  <c r="K26" i="113"/>
  <c r="L26" i="113"/>
  <c r="C27" i="113"/>
  <c r="D27" i="113"/>
  <c r="H27" i="113"/>
  <c r="L27" i="113"/>
  <c r="J28" i="113"/>
  <c r="K28" i="113"/>
  <c r="L28" i="113"/>
  <c r="B61" i="113"/>
  <c r="B29" i="113"/>
  <c r="C29" i="113"/>
  <c r="D29" i="113"/>
  <c r="E29" i="113"/>
  <c r="F29" i="113"/>
  <c r="G29" i="113"/>
  <c r="H29" i="113"/>
  <c r="I29" i="113"/>
  <c r="J29" i="113"/>
  <c r="B30" i="113"/>
  <c r="D30" i="113"/>
  <c r="E30" i="113"/>
  <c r="F30" i="113"/>
  <c r="H30" i="113"/>
  <c r="I30" i="113"/>
  <c r="B31" i="113"/>
  <c r="C31" i="113"/>
  <c r="D31" i="113"/>
  <c r="E31" i="113"/>
  <c r="G31" i="113"/>
  <c r="H31" i="113"/>
  <c r="I31" i="113"/>
  <c r="L31" i="113"/>
  <c r="B32" i="113"/>
  <c r="C32" i="113"/>
  <c r="D32" i="113"/>
  <c r="E32" i="113"/>
  <c r="F32" i="113"/>
  <c r="G32" i="113"/>
  <c r="H32" i="113"/>
  <c r="I32" i="113"/>
  <c r="B33" i="113"/>
  <c r="C33" i="113"/>
  <c r="D33" i="113"/>
  <c r="E33" i="113"/>
  <c r="F33" i="113"/>
  <c r="G33" i="113"/>
  <c r="H33" i="113"/>
  <c r="I33" i="113"/>
  <c r="J33" i="113"/>
  <c r="D37" i="113"/>
  <c r="J37" i="113"/>
  <c r="I38" i="113"/>
  <c r="J38" i="113"/>
  <c r="D39" i="113"/>
  <c r="J39" i="113"/>
  <c r="D40" i="113"/>
  <c r="J40" i="113"/>
  <c r="I41" i="113"/>
  <c r="J41" i="113"/>
  <c r="I42" i="113"/>
  <c r="J42" i="113"/>
  <c r="C43" i="113"/>
  <c r="D43" i="113"/>
  <c r="I43" i="113"/>
  <c r="J43" i="113"/>
  <c r="H44" i="113"/>
  <c r="B47" i="113"/>
  <c r="D51" i="113"/>
  <c r="J51" i="113"/>
  <c r="C52" i="113"/>
  <c r="D52" i="113"/>
  <c r="I52" i="113"/>
  <c r="J52" i="113"/>
  <c r="D53" i="113"/>
  <c r="J53" i="113"/>
  <c r="D54" i="113"/>
  <c r="J54" i="113"/>
  <c r="C55" i="113"/>
  <c r="D55" i="113"/>
  <c r="I55" i="113"/>
  <c r="J55" i="113"/>
  <c r="B56" i="113"/>
  <c r="C56" i="113"/>
  <c r="I56" i="113"/>
  <c r="J56" i="113"/>
  <c r="C57" i="113"/>
  <c r="D57" i="113"/>
  <c r="I57" i="113"/>
  <c r="J57" i="113"/>
  <c r="B58" i="113"/>
  <c r="H58" i="113"/>
  <c r="B59" i="113"/>
  <c r="H59" i="113"/>
  <c r="B60" i="113"/>
  <c r="J9" i="112"/>
  <c r="K9" i="112"/>
  <c r="L9" i="112"/>
  <c r="J10" i="112"/>
  <c r="K10" i="112"/>
  <c r="L10" i="112"/>
  <c r="J11" i="112"/>
  <c r="K11" i="112"/>
  <c r="L11" i="112"/>
  <c r="J12" i="112"/>
  <c r="K12" i="112"/>
  <c r="L12" i="112"/>
  <c r="J13" i="112"/>
  <c r="K13" i="112"/>
  <c r="L13" i="112"/>
  <c r="J14" i="112"/>
  <c r="K14" i="112"/>
  <c r="L14" i="112"/>
  <c r="B15" i="112"/>
  <c r="B27" i="112"/>
  <c r="C15" i="112"/>
  <c r="C23" i="112"/>
  <c r="D15" i="112"/>
  <c r="E15" i="112"/>
  <c r="E24" i="112"/>
  <c r="F15" i="112"/>
  <c r="G15" i="112"/>
  <c r="G24" i="112"/>
  <c r="H15" i="112"/>
  <c r="I15" i="112"/>
  <c r="L15" i="112"/>
  <c r="J20" i="112"/>
  <c r="H45" i="112"/>
  <c r="K20" i="112"/>
  <c r="L20" i="112"/>
  <c r="H47" i="112"/>
  <c r="J21" i="112"/>
  <c r="H59" i="112"/>
  <c r="K21" i="112"/>
  <c r="K29" i="112"/>
  <c r="L21" i="112"/>
  <c r="B23" i="112"/>
  <c r="E23" i="112"/>
  <c r="F23" i="112"/>
  <c r="B24" i="112"/>
  <c r="F24" i="112"/>
  <c r="H24" i="112"/>
  <c r="F26" i="112"/>
  <c r="J26" i="112"/>
  <c r="K26" i="112"/>
  <c r="K31" i="112"/>
  <c r="L26" i="112"/>
  <c r="C27" i="112"/>
  <c r="D27" i="112"/>
  <c r="E27" i="112"/>
  <c r="I27" i="112"/>
  <c r="J28" i="112"/>
  <c r="K28" i="112"/>
  <c r="L28" i="112"/>
  <c r="B29" i="112"/>
  <c r="C29" i="112"/>
  <c r="D29" i="112"/>
  <c r="E29" i="112"/>
  <c r="F29" i="112"/>
  <c r="G29" i="112"/>
  <c r="H29" i="112"/>
  <c r="I29" i="112"/>
  <c r="B30" i="112"/>
  <c r="E30" i="112"/>
  <c r="F30" i="112"/>
  <c r="B31" i="112"/>
  <c r="C31" i="112"/>
  <c r="D31" i="112"/>
  <c r="E31" i="112"/>
  <c r="F31" i="112"/>
  <c r="G31" i="112"/>
  <c r="H31" i="112"/>
  <c r="I31" i="112"/>
  <c r="B32" i="112"/>
  <c r="C32" i="112"/>
  <c r="D32" i="112"/>
  <c r="E32" i="112"/>
  <c r="F32" i="112"/>
  <c r="G32" i="112"/>
  <c r="H32" i="112"/>
  <c r="I32" i="112"/>
  <c r="B33" i="112"/>
  <c r="C33" i="112"/>
  <c r="D33" i="112"/>
  <c r="E33" i="112"/>
  <c r="F33" i="112"/>
  <c r="G33" i="112"/>
  <c r="H33" i="112"/>
  <c r="I33" i="112"/>
  <c r="K33" i="112"/>
  <c r="D37" i="112"/>
  <c r="J37" i="112"/>
  <c r="D38" i="112"/>
  <c r="J38" i="112"/>
  <c r="D39" i="112"/>
  <c r="J39" i="112"/>
  <c r="D40" i="112"/>
  <c r="J40" i="112"/>
  <c r="C41" i="112"/>
  <c r="D41" i="112"/>
  <c r="I41" i="112"/>
  <c r="J41" i="112"/>
  <c r="C42" i="112"/>
  <c r="D42" i="112"/>
  <c r="I42" i="112"/>
  <c r="J42" i="112"/>
  <c r="I43" i="112"/>
  <c r="J43" i="112"/>
  <c r="H44" i="112"/>
  <c r="H46" i="112"/>
  <c r="B47" i="112"/>
  <c r="D51" i="112"/>
  <c r="J51" i="112"/>
  <c r="D52" i="112"/>
  <c r="J52" i="112"/>
  <c r="D53" i="112"/>
  <c r="J53" i="112"/>
  <c r="D54" i="112"/>
  <c r="J54" i="112"/>
  <c r="C55" i="112"/>
  <c r="D55" i="112"/>
  <c r="I55" i="112"/>
  <c r="J55" i="112"/>
  <c r="C56" i="112"/>
  <c r="D56" i="112"/>
  <c r="I56" i="112"/>
  <c r="J56" i="112"/>
  <c r="C57" i="112"/>
  <c r="D57" i="112"/>
  <c r="I57" i="112"/>
  <c r="J57" i="112"/>
  <c r="B58" i="112"/>
  <c r="H58" i="112"/>
  <c r="B60" i="112"/>
  <c r="H60" i="112"/>
  <c r="B61" i="112"/>
  <c r="K9" i="111"/>
  <c r="L9" i="111"/>
  <c r="K10" i="111"/>
  <c r="L10" i="111"/>
  <c r="M10" i="111"/>
  <c r="K11" i="111"/>
  <c r="L11" i="111"/>
  <c r="M11" i="111"/>
  <c r="K12" i="111"/>
  <c r="L12" i="111"/>
  <c r="K13" i="111"/>
  <c r="L13" i="111"/>
  <c r="K14" i="111"/>
  <c r="L14" i="111"/>
  <c r="M14" i="111"/>
  <c r="D15" i="111"/>
  <c r="E15" i="111"/>
  <c r="F15" i="111"/>
  <c r="F23" i="111"/>
  <c r="G15" i="111"/>
  <c r="C42" i="111"/>
  <c r="D42" i="111"/>
  <c r="H15" i="111"/>
  <c r="I15" i="111"/>
  <c r="J15" i="111"/>
  <c r="J21" i="111"/>
  <c r="K15" i="111"/>
  <c r="D23" i="111"/>
  <c r="E23" i="111"/>
  <c r="G23" i="111"/>
  <c r="I23" i="111"/>
  <c r="E24" i="111"/>
  <c r="F24" i="111"/>
  <c r="G24" i="111"/>
  <c r="I24" i="111"/>
  <c r="D27" i="111"/>
  <c r="E27" i="111"/>
  <c r="G27" i="111"/>
  <c r="I27" i="111"/>
  <c r="D29" i="111"/>
  <c r="E29" i="111"/>
  <c r="F29" i="111"/>
  <c r="G29" i="111"/>
  <c r="H29" i="111"/>
  <c r="I29" i="111"/>
  <c r="E30" i="111"/>
  <c r="F30" i="111"/>
  <c r="G30" i="111"/>
  <c r="I30" i="111"/>
  <c r="D31" i="111"/>
  <c r="E31" i="111"/>
  <c r="F31" i="111"/>
  <c r="G31" i="111"/>
  <c r="H31" i="111"/>
  <c r="I31" i="111"/>
  <c r="D32" i="111"/>
  <c r="E32" i="111"/>
  <c r="F32" i="111"/>
  <c r="G32" i="111"/>
  <c r="H32" i="111"/>
  <c r="I32" i="111"/>
  <c r="D33" i="111"/>
  <c r="E33" i="111"/>
  <c r="F33" i="111"/>
  <c r="G33" i="111"/>
  <c r="H33" i="111"/>
  <c r="I33" i="111"/>
  <c r="D37" i="111"/>
  <c r="D38" i="111"/>
  <c r="D39" i="111"/>
  <c r="C40" i="111"/>
  <c r="D40" i="111"/>
  <c r="D41" i="111"/>
  <c r="C43" i="111"/>
  <c r="C44" i="111"/>
  <c r="B45" i="111"/>
  <c r="D45" i="111"/>
  <c r="D49" i="111"/>
  <c r="D50" i="111"/>
  <c r="D51" i="111"/>
  <c r="D52" i="111"/>
  <c r="D53" i="111"/>
  <c r="C54" i="111"/>
  <c r="D54" i="111"/>
  <c r="C55" i="111"/>
  <c r="B56" i="111"/>
  <c r="B55" i="111"/>
  <c r="D55" i="111"/>
  <c r="B57" i="111"/>
  <c r="D57" i="111"/>
  <c r="D61" i="111"/>
  <c r="D62" i="111"/>
  <c r="D63" i="111"/>
  <c r="D64" i="111"/>
  <c r="D65" i="111"/>
  <c r="C66" i="111"/>
  <c r="D66" i="111"/>
  <c r="C67" i="111"/>
  <c r="B68" i="111"/>
  <c r="B67" i="111"/>
  <c r="D67" i="111"/>
  <c r="B69" i="111"/>
  <c r="D69" i="111"/>
  <c r="D73" i="111"/>
  <c r="D74" i="111"/>
  <c r="D75" i="111"/>
  <c r="D76" i="111"/>
  <c r="D77" i="111"/>
  <c r="C78" i="111"/>
  <c r="D78" i="111"/>
  <c r="B79" i="111"/>
  <c r="C79" i="111"/>
  <c r="B80" i="111"/>
  <c r="C80" i="111"/>
  <c r="D80" i="111"/>
  <c r="B81" i="111"/>
  <c r="D81" i="111"/>
  <c r="L9" i="86"/>
  <c r="M9" i="86"/>
  <c r="N9" i="86"/>
  <c r="L11" i="86"/>
  <c r="M11" i="86"/>
  <c r="N11" i="86"/>
  <c r="L14" i="86"/>
  <c r="M14" i="86"/>
  <c r="N14" i="86"/>
  <c r="B15" i="86"/>
  <c r="C15" i="86"/>
  <c r="D15" i="86"/>
  <c r="D27" i="86"/>
  <c r="E15" i="86"/>
  <c r="C40" i="86"/>
  <c r="F15" i="86"/>
  <c r="F24" i="86"/>
  <c r="G15" i="86"/>
  <c r="G27" i="86"/>
  <c r="H15" i="86"/>
  <c r="C43" i="86"/>
  <c r="I15" i="86"/>
  <c r="C44" i="86"/>
  <c r="J15" i="86"/>
  <c r="K15" i="86"/>
  <c r="D23" i="86"/>
  <c r="E23" i="86"/>
  <c r="F23" i="86"/>
  <c r="H23" i="86"/>
  <c r="B24" i="86"/>
  <c r="D24" i="86"/>
  <c r="H24" i="86"/>
  <c r="C26" i="86"/>
  <c r="H26" i="86"/>
  <c r="E27" i="86"/>
  <c r="F27" i="86"/>
  <c r="B29" i="86"/>
  <c r="C29" i="86"/>
  <c r="D29" i="86"/>
  <c r="E29" i="86"/>
  <c r="F29" i="86"/>
  <c r="G29" i="86"/>
  <c r="H29" i="86"/>
  <c r="I29" i="86"/>
  <c r="J29" i="86"/>
  <c r="K29" i="86"/>
  <c r="D30" i="86"/>
  <c r="E30" i="86"/>
  <c r="H30" i="86"/>
  <c r="I30" i="86"/>
  <c r="J30" i="86"/>
  <c r="B31" i="86"/>
  <c r="D31" i="86"/>
  <c r="E31" i="86"/>
  <c r="F31" i="86"/>
  <c r="G31" i="86"/>
  <c r="I31" i="86"/>
  <c r="J31" i="86"/>
  <c r="K31" i="86"/>
  <c r="B32" i="86"/>
  <c r="C32" i="86"/>
  <c r="D32" i="86"/>
  <c r="E32" i="86"/>
  <c r="F32" i="86"/>
  <c r="G32" i="86"/>
  <c r="H32" i="86"/>
  <c r="I32" i="86"/>
  <c r="J32" i="86"/>
  <c r="K32" i="86"/>
  <c r="B33" i="86"/>
  <c r="C33" i="86"/>
  <c r="D33" i="86"/>
  <c r="E33" i="86"/>
  <c r="F33" i="86"/>
  <c r="G33" i="86"/>
  <c r="H33" i="86"/>
  <c r="I33" i="86"/>
  <c r="J33" i="86"/>
  <c r="K33" i="86"/>
  <c r="D37" i="86"/>
  <c r="J37" i="86"/>
  <c r="I38" i="86"/>
  <c r="J38" i="86"/>
  <c r="C39" i="86"/>
  <c r="D39" i="86"/>
  <c r="J39" i="86"/>
  <c r="D40" i="86"/>
  <c r="I40" i="86"/>
  <c r="J40" i="86"/>
  <c r="D41" i="86"/>
  <c r="J41" i="86"/>
  <c r="D42" i="86"/>
  <c r="J42" i="86"/>
  <c r="D43" i="86"/>
  <c r="I43" i="86"/>
  <c r="J43" i="86"/>
  <c r="D44" i="86"/>
  <c r="I44" i="86"/>
  <c r="J44" i="86"/>
  <c r="C45" i="86"/>
  <c r="D45" i="86"/>
  <c r="I45" i="86"/>
  <c r="J45" i="86"/>
  <c r="H46" i="86"/>
  <c r="D53" i="86"/>
  <c r="J53" i="86"/>
  <c r="C54" i="86"/>
  <c r="D54" i="86"/>
  <c r="I54" i="86"/>
  <c r="J54" i="86"/>
  <c r="D55" i="86"/>
  <c r="J55" i="86"/>
  <c r="C56" i="86"/>
  <c r="D56" i="86"/>
  <c r="I56" i="86"/>
  <c r="J56" i="86"/>
  <c r="D57" i="86"/>
  <c r="J57" i="86"/>
  <c r="D58" i="86"/>
  <c r="J58" i="86"/>
  <c r="C59" i="86"/>
  <c r="D59" i="86"/>
  <c r="I59" i="86"/>
  <c r="J59" i="86"/>
  <c r="C60" i="86"/>
  <c r="D60" i="86"/>
  <c r="I60" i="86"/>
  <c r="J60" i="86"/>
  <c r="C61" i="86"/>
  <c r="D61" i="86"/>
  <c r="I61" i="86"/>
  <c r="J61" i="86"/>
  <c r="B62" i="86"/>
  <c r="H62" i="86"/>
  <c r="L9" i="82"/>
  <c r="M9" i="82"/>
  <c r="L11" i="82"/>
  <c r="M11" i="82"/>
  <c r="N11" i="82"/>
  <c r="L14" i="82"/>
  <c r="M14" i="82"/>
  <c r="N14" i="82"/>
  <c r="B15" i="82"/>
  <c r="B27" i="82"/>
  <c r="C15" i="82"/>
  <c r="C23" i="82"/>
  <c r="D15" i="82"/>
  <c r="E15" i="82"/>
  <c r="F15" i="82"/>
  <c r="F27" i="82"/>
  <c r="G15" i="82"/>
  <c r="H15" i="82"/>
  <c r="I15" i="82"/>
  <c r="J15" i="82"/>
  <c r="J27" i="82"/>
  <c r="K15" i="82"/>
  <c r="K27" i="82"/>
  <c r="B23" i="82"/>
  <c r="D23" i="82"/>
  <c r="C26" i="82"/>
  <c r="C27" i="82"/>
  <c r="H26" i="82"/>
  <c r="B29" i="82"/>
  <c r="C29" i="82"/>
  <c r="D29" i="82"/>
  <c r="E29" i="82"/>
  <c r="F29" i="82"/>
  <c r="G29" i="82"/>
  <c r="H29" i="82"/>
  <c r="I29" i="82"/>
  <c r="J29" i="82"/>
  <c r="K29" i="82"/>
  <c r="B62" i="82"/>
  <c r="J30" i="82"/>
  <c r="B31" i="82"/>
  <c r="C31" i="82"/>
  <c r="D31" i="82"/>
  <c r="E31" i="82"/>
  <c r="F31" i="82"/>
  <c r="G31" i="82"/>
  <c r="I31" i="82"/>
  <c r="J31" i="82"/>
  <c r="K31" i="82"/>
  <c r="B32" i="82"/>
  <c r="C32" i="82"/>
  <c r="D32" i="82"/>
  <c r="E32" i="82"/>
  <c r="F32" i="82"/>
  <c r="G32" i="82"/>
  <c r="H32" i="82"/>
  <c r="I32" i="82"/>
  <c r="J32" i="82"/>
  <c r="K32" i="82"/>
  <c r="B33" i="82"/>
  <c r="C33" i="82"/>
  <c r="D33" i="82"/>
  <c r="E33" i="82"/>
  <c r="F33" i="82"/>
  <c r="G33" i="82"/>
  <c r="H33" i="82"/>
  <c r="I33" i="82"/>
  <c r="J33" i="82"/>
  <c r="K33" i="82"/>
  <c r="K37" i="82"/>
  <c r="J38" i="82"/>
  <c r="K38" i="82"/>
  <c r="J39" i="82"/>
  <c r="K39" i="82"/>
  <c r="D40" i="82"/>
  <c r="K40" i="82"/>
  <c r="D41" i="82"/>
  <c r="K41" i="82"/>
  <c r="D42" i="82"/>
  <c r="K42" i="82"/>
  <c r="J43" i="82"/>
  <c r="K43" i="82"/>
  <c r="D44" i="82"/>
  <c r="K44" i="82"/>
  <c r="D45" i="82"/>
  <c r="K45" i="82"/>
  <c r="I46" i="82"/>
  <c r="D53" i="82"/>
  <c r="K53" i="82"/>
  <c r="C54" i="82"/>
  <c r="D54" i="82"/>
  <c r="J54" i="82"/>
  <c r="K54" i="82"/>
  <c r="D55" i="82"/>
  <c r="K55" i="82"/>
  <c r="D56" i="82"/>
  <c r="K56" i="82"/>
  <c r="D57" i="82"/>
  <c r="K57" i="82"/>
  <c r="D58" i="82"/>
  <c r="K58" i="82"/>
  <c r="C59" i="82"/>
  <c r="D59" i="82"/>
  <c r="J59" i="82"/>
  <c r="K59" i="82"/>
  <c r="D60" i="82"/>
  <c r="K60" i="82"/>
  <c r="D61" i="82"/>
  <c r="K61" i="82"/>
  <c r="I62" i="82"/>
  <c r="B23" i="249"/>
  <c r="C16" i="249"/>
  <c r="B28" i="249"/>
  <c r="D38" i="249"/>
  <c r="B47" i="249"/>
  <c r="G60" i="249"/>
  <c r="B23" i="232"/>
  <c r="C17" i="232"/>
  <c r="B28" i="232"/>
  <c r="D38" i="232"/>
  <c r="B47" i="232"/>
  <c r="G60" i="232"/>
  <c r="K10" i="301"/>
  <c r="K15" i="301"/>
  <c r="K25" i="301"/>
  <c r="L10" i="301"/>
  <c r="L15" i="301"/>
  <c r="L25" i="301"/>
  <c r="M10" i="301"/>
  <c r="M15" i="301"/>
  <c r="M25" i="301"/>
  <c r="O15" i="301"/>
  <c r="O25" i="301"/>
  <c r="N15" i="301"/>
  <c r="P15" i="301"/>
  <c r="P25" i="301"/>
  <c r="Q15" i="301"/>
  <c r="Q25" i="301"/>
  <c r="R15" i="301"/>
  <c r="F22" i="301"/>
  <c r="F26" i="301"/>
  <c r="H22" i="301"/>
  <c r="H26" i="301"/>
  <c r="D22" i="301"/>
  <c r="D26" i="301"/>
  <c r="E22" i="301"/>
  <c r="E26" i="301"/>
  <c r="I22" i="301"/>
  <c r="I26" i="301"/>
  <c r="K26" i="301"/>
  <c r="L26" i="301"/>
  <c r="M26" i="301"/>
  <c r="N26" i="301"/>
  <c r="O26" i="301"/>
  <c r="P26" i="301"/>
  <c r="Q26" i="301"/>
  <c r="R26" i="301"/>
  <c r="J22" i="301"/>
  <c r="J26" i="301"/>
  <c r="N25" i="301"/>
  <c r="R25" i="301"/>
  <c r="K9" i="300"/>
  <c r="L9" i="300"/>
  <c r="M9" i="300"/>
  <c r="N9" i="300"/>
  <c r="O9" i="300"/>
  <c r="P9" i="300"/>
  <c r="Q9" i="300"/>
  <c r="R9" i="300"/>
  <c r="K10" i="300"/>
  <c r="N10" i="300"/>
  <c r="O10" i="300"/>
  <c r="P10" i="300"/>
  <c r="Q10" i="300"/>
  <c r="R10" i="300"/>
  <c r="M11" i="300"/>
  <c r="N11" i="300"/>
  <c r="O11" i="300"/>
  <c r="P11" i="300"/>
  <c r="Q11" i="300"/>
  <c r="R11" i="300"/>
  <c r="M12" i="300"/>
  <c r="N12" i="300"/>
  <c r="O12" i="300"/>
  <c r="P12" i="300"/>
  <c r="Q12" i="300"/>
  <c r="R12" i="300"/>
  <c r="J13" i="300"/>
  <c r="K13" i="300"/>
  <c r="L13" i="300"/>
  <c r="M13" i="300"/>
  <c r="N13" i="300"/>
  <c r="P13" i="300"/>
  <c r="Q13" i="300"/>
  <c r="K18" i="300"/>
  <c r="K32" i="300"/>
  <c r="L32" i="300"/>
  <c r="M32" i="300"/>
  <c r="N32" i="300"/>
  <c r="O32" i="300"/>
  <c r="P32" i="300"/>
  <c r="Q32" i="300"/>
  <c r="R32" i="300"/>
  <c r="K33" i="300"/>
  <c r="N33" i="300"/>
  <c r="O33" i="300"/>
  <c r="P33" i="300"/>
  <c r="Q33" i="300"/>
  <c r="R33" i="300"/>
  <c r="J34" i="300"/>
  <c r="K34" i="300"/>
  <c r="L34" i="300"/>
  <c r="M34" i="300"/>
  <c r="N34" i="300"/>
  <c r="O34" i="300"/>
  <c r="P34" i="300"/>
  <c r="Q34" i="300"/>
  <c r="R34" i="300"/>
  <c r="P36" i="300"/>
  <c r="Q36" i="300"/>
  <c r="K35" i="300"/>
  <c r="L35" i="300"/>
  <c r="M35" i="300"/>
  <c r="N35" i="300"/>
  <c r="O35" i="300"/>
  <c r="P35" i="300"/>
  <c r="Q35" i="300"/>
  <c r="R35" i="300"/>
  <c r="K41" i="300"/>
  <c r="I7" i="299"/>
  <c r="J7" i="299"/>
  <c r="I7" i="300"/>
  <c r="K7" i="299"/>
  <c r="K7" i="300"/>
  <c r="K7" i="301"/>
  <c r="L7" i="299"/>
  <c r="L35" i="299"/>
  <c r="M7" i="299"/>
  <c r="M7" i="300"/>
  <c r="M7" i="301"/>
  <c r="N7" i="299"/>
  <c r="N35" i="299"/>
  <c r="N7" i="300"/>
  <c r="N7" i="301"/>
  <c r="O7" i="299"/>
  <c r="O7" i="300"/>
  <c r="O7" i="301"/>
  <c r="P7" i="299"/>
  <c r="P35" i="299"/>
  <c r="Q7" i="299"/>
  <c r="Q7" i="300"/>
  <c r="Q7" i="301"/>
  <c r="R7" i="299"/>
  <c r="R7" i="300"/>
  <c r="R7" i="301"/>
  <c r="S7" i="299"/>
  <c r="S7" i="300"/>
  <c r="S7" i="301"/>
  <c r="J9" i="300"/>
  <c r="J10" i="300"/>
  <c r="L10" i="299"/>
  <c r="L10" i="300"/>
  <c r="M10" i="299"/>
  <c r="M10" i="300"/>
  <c r="J12" i="300"/>
  <c r="K12" i="299"/>
  <c r="K12" i="300"/>
  <c r="L12" i="299"/>
  <c r="O15" i="299"/>
  <c r="J11" i="300"/>
  <c r="K14" i="299"/>
  <c r="K11" i="300"/>
  <c r="L14" i="299"/>
  <c r="L11" i="300"/>
  <c r="N15" i="299"/>
  <c r="P14" i="299"/>
  <c r="P15" i="299"/>
  <c r="R14" i="299"/>
  <c r="R15" i="299"/>
  <c r="S14" i="299"/>
  <c r="Q15" i="299"/>
  <c r="Q15" i="300"/>
  <c r="J19" i="300"/>
  <c r="J20" i="300"/>
  <c r="L20" i="299"/>
  <c r="L22" i="299"/>
  <c r="D22" i="299"/>
  <c r="D26" i="299"/>
  <c r="I22" i="299"/>
  <c r="I26" i="299"/>
  <c r="J21" i="300"/>
  <c r="J33" i="300"/>
  <c r="L38" i="299"/>
  <c r="L43" i="299"/>
  <c r="M38" i="299"/>
  <c r="M43" i="299"/>
  <c r="J35" i="300"/>
  <c r="N43" i="299"/>
  <c r="P42" i="299"/>
  <c r="P43" i="299"/>
  <c r="R42" i="299"/>
  <c r="R43" i="299"/>
  <c r="S42" i="299"/>
  <c r="K43" i="299"/>
  <c r="K38" i="300"/>
  <c r="Q43" i="299"/>
  <c r="Q38" i="300"/>
  <c r="J42" i="300"/>
  <c r="J43" i="300"/>
  <c r="L48" i="299"/>
  <c r="D50" i="299"/>
  <c r="D54" i="299"/>
  <c r="J44" i="300"/>
  <c r="D9" i="300"/>
  <c r="E15" i="298"/>
  <c r="F32" i="300"/>
  <c r="G9" i="300"/>
  <c r="H9" i="300"/>
  <c r="I9" i="300"/>
  <c r="D10" i="300"/>
  <c r="F33" i="300"/>
  <c r="I33" i="300"/>
  <c r="G12" i="300"/>
  <c r="F37" i="300"/>
  <c r="G37" i="300"/>
  <c r="G18" i="300"/>
  <c r="H41" i="300"/>
  <c r="F42" i="300"/>
  <c r="F22" i="298"/>
  <c r="F22" i="300"/>
  <c r="G42" i="300"/>
  <c r="H19" i="300"/>
  <c r="I19" i="300"/>
  <c r="F43" i="300"/>
  <c r="H43" i="300"/>
  <c r="D22" i="298"/>
  <c r="E22" i="298"/>
  <c r="G37" i="298"/>
  <c r="H37" i="298"/>
  <c r="I37" i="298"/>
  <c r="G48" i="298"/>
  <c r="H48" i="298"/>
  <c r="I48" i="298"/>
  <c r="G59" i="298"/>
  <c r="H59" i="298"/>
  <c r="I59" i="298"/>
  <c r="J59" i="298"/>
  <c r="J60" i="298"/>
  <c r="K59" i="298"/>
  <c r="K60" i="298"/>
  <c r="L59" i="298"/>
  <c r="L60" i="298"/>
  <c r="M59" i="298"/>
  <c r="M60" i="298"/>
  <c r="N59" i="298"/>
  <c r="N60" i="298"/>
  <c r="O59" i="298"/>
  <c r="P59" i="298"/>
  <c r="Q59" i="298"/>
  <c r="Q60" i="298"/>
  <c r="R59" i="298"/>
  <c r="R60" i="298"/>
  <c r="D15" i="297"/>
  <c r="D25" i="297"/>
  <c r="D27" i="297"/>
  <c r="E15" i="297"/>
  <c r="E25" i="297"/>
  <c r="E27" i="297"/>
  <c r="K10" i="297"/>
  <c r="K15" i="297"/>
  <c r="K25" i="297"/>
  <c r="L10" i="297"/>
  <c r="L15" i="297"/>
  <c r="L25" i="297"/>
  <c r="M10" i="297"/>
  <c r="N15" i="297"/>
  <c r="N25" i="297"/>
  <c r="N27" i="297"/>
  <c r="O15" i="297"/>
  <c r="O25" i="297"/>
  <c r="P15" i="297"/>
  <c r="P25" i="297"/>
  <c r="R14" i="297"/>
  <c r="R15" i="297"/>
  <c r="R25" i="297"/>
  <c r="S14" i="297"/>
  <c r="M15" i="297"/>
  <c r="M25" i="297"/>
  <c r="Q15" i="297"/>
  <c r="Q25" i="297"/>
  <c r="F22" i="297"/>
  <c r="F26" i="297"/>
  <c r="H22" i="297"/>
  <c r="H26" i="297"/>
  <c r="I22" i="297"/>
  <c r="I26" i="297"/>
  <c r="D22" i="297"/>
  <c r="D26" i="297"/>
  <c r="E22" i="297"/>
  <c r="E26" i="297"/>
  <c r="G22" i="297"/>
  <c r="G26" i="297"/>
  <c r="M26" i="297"/>
  <c r="P26" i="297"/>
  <c r="Q26" i="297"/>
  <c r="J22" i="297"/>
  <c r="J26" i="297"/>
  <c r="I7" i="296"/>
  <c r="I7" i="297"/>
  <c r="J7" i="296"/>
  <c r="J7" i="297"/>
  <c r="K7" i="296"/>
  <c r="K7" i="297"/>
  <c r="L7" i="296"/>
  <c r="L30" i="296"/>
  <c r="M7" i="296"/>
  <c r="M7" i="297"/>
  <c r="N7" i="296"/>
  <c r="N7" i="297"/>
  <c r="O7" i="296"/>
  <c r="O7" i="297"/>
  <c r="P7" i="296"/>
  <c r="P30" i="296"/>
  <c r="Q7" i="296"/>
  <c r="Q7" i="297"/>
  <c r="R7" i="296"/>
  <c r="R7" i="297"/>
  <c r="S7" i="296"/>
  <c r="S7" i="297"/>
  <c r="T7" i="297"/>
  <c r="U7" i="297"/>
  <c r="V7" i="297"/>
  <c r="L9" i="296"/>
  <c r="M9" i="296"/>
  <c r="N9" i="296"/>
  <c r="O9" i="296"/>
  <c r="P9" i="296"/>
  <c r="Q9" i="296"/>
  <c r="R9" i="296"/>
  <c r="K10" i="296"/>
  <c r="N10" i="296"/>
  <c r="O10" i="296"/>
  <c r="P10" i="296"/>
  <c r="Q10" i="296"/>
  <c r="R10" i="296"/>
  <c r="I11" i="296"/>
  <c r="J11" i="296"/>
  <c r="K11" i="296"/>
  <c r="L11" i="296"/>
  <c r="M11" i="296"/>
  <c r="N11" i="296"/>
  <c r="O11" i="296"/>
  <c r="P11" i="296"/>
  <c r="Q11" i="296"/>
  <c r="R11" i="296"/>
  <c r="L12" i="296"/>
  <c r="M12" i="296"/>
  <c r="N12" i="296"/>
  <c r="O12" i="296"/>
  <c r="P12" i="296"/>
  <c r="Q12" i="296"/>
  <c r="R12" i="296"/>
  <c r="N13" i="296"/>
  <c r="O13" i="296"/>
  <c r="P13" i="296"/>
  <c r="Q13" i="296"/>
  <c r="R13" i="296"/>
  <c r="K18" i="296"/>
  <c r="L18" i="296"/>
  <c r="M18" i="296"/>
  <c r="N18" i="296"/>
  <c r="O18" i="296"/>
  <c r="P18" i="296"/>
  <c r="Q18" i="296"/>
  <c r="R18" i="296"/>
  <c r="L32" i="296"/>
  <c r="M32" i="296"/>
  <c r="N32" i="296"/>
  <c r="O32" i="296"/>
  <c r="P32" i="296"/>
  <c r="Q32" i="296"/>
  <c r="R32" i="296"/>
  <c r="K33" i="296"/>
  <c r="N33" i="296"/>
  <c r="O33" i="296"/>
  <c r="P33" i="296"/>
  <c r="Q33" i="296"/>
  <c r="R33" i="296"/>
  <c r="N34" i="296"/>
  <c r="O34" i="296"/>
  <c r="P34" i="296"/>
  <c r="Q34" i="296"/>
  <c r="R34" i="296"/>
  <c r="L35" i="296"/>
  <c r="M35" i="296"/>
  <c r="N35" i="296"/>
  <c r="O35" i="296"/>
  <c r="P35" i="296"/>
  <c r="Q35" i="296"/>
  <c r="R35" i="296"/>
  <c r="N36" i="296"/>
  <c r="O36" i="296"/>
  <c r="Q36" i="296"/>
  <c r="K40" i="296"/>
  <c r="L40" i="296"/>
  <c r="M40" i="296"/>
  <c r="N40" i="296"/>
  <c r="O40" i="296"/>
  <c r="P40" i="296"/>
  <c r="Q40" i="296"/>
  <c r="R40" i="296"/>
  <c r="D9" i="296"/>
  <c r="E9" i="296"/>
  <c r="G9" i="296"/>
  <c r="H9" i="296"/>
  <c r="I9" i="296"/>
  <c r="J9" i="296"/>
  <c r="K9" i="295"/>
  <c r="K9" i="296"/>
  <c r="D10" i="296"/>
  <c r="E10" i="296"/>
  <c r="F10" i="296"/>
  <c r="G10" i="296"/>
  <c r="H10" i="296"/>
  <c r="I10" i="296"/>
  <c r="J10" i="296"/>
  <c r="L10" i="295"/>
  <c r="L15" i="295"/>
  <c r="M10" i="295"/>
  <c r="M15" i="295"/>
  <c r="G12" i="296"/>
  <c r="H12" i="296"/>
  <c r="I12" i="296"/>
  <c r="J12" i="296"/>
  <c r="K12" i="295"/>
  <c r="F14" i="296"/>
  <c r="G14" i="296"/>
  <c r="H14" i="296"/>
  <c r="I14" i="296"/>
  <c r="N15" i="295"/>
  <c r="N25" i="295"/>
  <c r="O15" i="295"/>
  <c r="P14" i="295"/>
  <c r="P15" i="295"/>
  <c r="R14" i="295"/>
  <c r="S14" i="295"/>
  <c r="Q15" i="295"/>
  <c r="Q15" i="296"/>
  <c r="R15" i="295"/>
  <c r="R15" i="296"/>
  <c r="F18" i="296"/>
  <c r="G18" i="296"/>
  <c r="H18" i="296"/>
  <c r="I18" i="296"/>
  <c r="J18" i="296"/>
  <c r="N26" i="295"/>
  <c r="G19" i="296"/>
  <c r="H19" i="296"/>
  <c r="I19" i="296"/>
  <c r="J19" i="296"/>
  <c r="H20" i="296"/>
  <c r="I20" i="296"/>
  <c r="J20" i="296"/>
  <c r="J21" i="296"/>
  <c r="K21" i="295"/>
  <c r="K22" i="295"/>
  <c r="L21" i="295"/>
  <c r="L22" i="295"/>
  <c r="E22" i="295"/>
  <c r="E26" i="295"/>
  <c r="L26" i="295"/>
  <c r="P26" i="295"/>
  <c r="I35" i="295"/>
  <c r="J35" i="295"/>
  <c r="K35" i="295"/>
  <c r="L35" i="295"/>
  <c r="M35" i="295"/>
  <c r="N35" i="295"/>
  <c r="O35" i="295"/>
  <c r="P35" i="295"/>
  <c r="Q35" i="295"/>
  <c r="R35" i="295"/>
  <c r="S35" i="295"/>
  <c r="E32" i="296"/>
  <c r="F32" i="296"/>
  <c r="H32" i="296"/>
  <c r="J32" i="296"/>
  <c r="D33" i="296"/>
  <c r="E33" i="296"/>
  <c r="F33" i="296"/>
  <c r="G33" i="296"/>
  <c r="H33" i="296"/>
  <c r="I33" i="296"/>
  <c r="J33" i="296"/>
  <c r="L38" i="295"/>
  <c r="M38" i="295"/>
  <c r="M43" i="295"/>
  <c r="M53" i="295"/>
  <c r="G35" i="296"/>
  <c r="H35" i="296"/>
  <c r="I35" i="296"/>
  <c r="J35" i="296"/>
  <c r="N43" i="295"/>
  <c r="O43" i="295"/>
  <c r="P42" i="295"/>
  <c r="P43" i="295"/>
  <c r="R42" i="295"/>
  <c r="R43" i="295"/>
  <c r="S42" i="295"/>
  <c r="K43" i="295"/>
  <c r="K53" i="295"/>
  <c r="L43" i="295"/>
  <c r="L53" i="295"/>
  <c r="Q43" i="295"/>
  <c r="Q37" i="296"/>
  <c r="G40" i="296"/>
  <c r="H40" i="296"/>
  <c r="J40" i="296"/>
  <c r="F41" i="296"/>
  <c r="G41" i="296"/>
  <c r="H41" i="296"/>
  <c r="I41" i="296"/>
  <c r="J41" i="296"/>
  <c r="H42" i="296"/>
  <c r="I42" i="296"/>
  <c r="J42" i="296"/>
  <c r="D50" i="295"/>
  <c r="D54" i="295"/>
  <c r="R54" i="295"/>
  <c r="J43" i="296"/>
  <c r="I9" i="294"/>
  <c r="J10" i="294"/>
  <c r="L33" i="296"/>
  <c r="K10" i="294"/>
  <c r="M33" i="296"/>
  <c r="I12" i="294"/>
  <c r="I15" i="294"/>
  <c r="I60" i="294"/>
  <c r="D15" i="294"/>
  <c r="E15" i="294"/>
  <c r="F15" i="294"/>
  <c r="G15" i="294"/>
  <c r="G60" i="294"/>
  <c r="H15" i="294"/>
  <c r="J15" i="294"/>
  <c r="L15" i="294"/>
  <c r="N37" i="296"/>
  <c r="M15" i="294"/>
  <c r="I21" i="294"/>
  <c r="J21" i="294"/>
  <c r="D22" i="294"/>
  <c r="E22" i="294"/>
  <c r="F22" i="294"/>
  <c r="G22" i="294"/>
  <c r="H22" i="294"/>
  <c r="H22" i="296"/>
  <c r="K22" i="294"/>
  <c r="L22" i="294"/>
  <c r="M22" i="294"/>
  <c r="M60" i="294"/>
  <c r="N22" i="294"/>
  <c r="P44" i="296"/>
  <c r="G37" i="294"/>
  <c r="H37" i="294"/>
  <c r="I37" i="294"/>
  <c r="J37" i="294"/>
  <c r="K37" i="294"/>
  <c r="L37" i="294"/>
  <c r="M37" i="294"/>
  <c r="K39" i="294"/>
  <c r="K48" i="294"/>
  <c r="G48" i="294"/>
  <c r="H48" i="294"/>
  <c r="H60" i="294"/>
  <c r="I48" i="294"/>
  <c r="J48" i="294"/>
  <c r="L48" i="294"/>
  <c r="M48" i="294"/>
  <c r="G59" i="294"/>
  <c r="H59" i="294"/>
  <c r="I59" i="294"/>
  <c r="J59" i="294"/>
  <c r="K59" i="294"/>
  <c r="L59" i="294"/>
  <c r="M59" i="294"/>
  <c r="O59" i="294"/>
  <c r="O60" i="294"/>
  <c r="P59" i="294"/>
  <c r="P60" i="294"/>
  <c r="Q59" i="294"/>
  <c r="Q60" i="294"/>
  <c r="B23" i="247"/>
  <c r="C17" i="247"/>
  <c r="B28" i="247"/>
  <c r="D38" i="247"/>
  <c r="B47" i="247"/>
  <c r="G60" i="247"/>
  <c r="H15" i="223"/>
  <c r="I15" i="223"/>
  <c r="J15" i="223"/>
  <c r="D38" i="223"/>
  <c r="D39" i="223"/>
  <c r="D40" i="223"/>
  <c r="D41" i="223"/>
  <c r="D42" i="223"/>
  <c r="D43" i="223"/>
  <c r="D44" i="223"/>
  <c r="D45" i="223"/>
  <c r="D52" i="223"/>
  <c r="D53" i="223"/>
  <c r="D54" i="223"/>
  <c r="D55" i="223"/>
  <c r="D56" i="223"/>
  <c r="D57" i="223"/>
  <c r="D58" i="223"/>
  <c r="B59" i="223"/>
  <c r="D59" i="223"/>
  <c r="B60" i="223"/>
  <c r="D60" i="223"/>
  <c r="B61" i="223"/>
  <c r="D61" i="223"/>
  <c r="B62" i="223"/>
  <c r="D62" i="223"/>
  <c r="D66" i="223"/>
  <c r="D67" i="223"/>
  <c r="D68" i="223"/>
  <c r="D69" i="223"/>
  <c r="D70" i="223"/>
  <c r="D71" i="223"/>
  <c r="D72" i="223"/>
  <c r="B73" i="223"/>
  <c r="D73" i="223"/>
  <c r="B74" i="223"/>
  <c r="D74" i="223"/>
  <c r="B75" i="223"/>
  <c r="D75" i="223"/>
  <c r="B76" i="223"/>
  <c r="D76" i="223"/>
  <c r="D80" i="223"/>
  <c r="D81" i="223"/>
  <c r="D82" i="223"/>
  <c r="D83" i="223"/>
  <c r="D84" i="223"/>
  <c r="D85" i="223"/>
  <c r="D86" i="223"/>
  <c r="B87" i="223"/>
  <c r="D87" i="223"/>
  <c r="B88" i="223"/>
  <c r="D88" i="223"/>
  <c r="B89" i="223"/>
  <c r="D89" i="223"/>
  <c r="B90" i="223"/>
  <c r="D90" i="223"/>
  <c r="H15" i="222"/>
  <c r="I15" i="222"/>
  <c r="J15" i="222"/>
  <c r="L32" i="221"/>
  <c r="L33" i="221"/>
  <c r="M33" i="221"/>
  <c r="H15" i="221"/>
  <c r="B43" i="221"/>
  <c r="D43" i="221"/>
  <c r="I15" i="221"/>
  <c r="I23" i="221"/>
  <c r="J15" i="221"/>
  <c r="J20" i="221"/>
  <c r="C72" i="221"/>
  <c r="D72" i="221"/>
  <c r="B73" i="221"/>
  <c r="D73" i="221"/>
  <c r="B75" i="221"/>
  <c r="D75" i="221"/>
  <c r="J21" i="221"/>
  <c r="J24" i="221"/>
  <c r="B87" i="221"/>
  <c r="D87" i="221"/>
  <c r="B88" i="221"/>
  <c r="D88" i="221"/>
  <c r="B89" i="221"/>
  <c r="D89" i="221"/>
  <c r="H23" i="221"/>
  <c r="H24" i="221"/>
  <c r="I24" i="221"/>
  <c r="I26" i="221"/>
  <c r="I31" i="221"/>
  <c r="L31" i="221"/>
  <c r="H29" i="221"/>
  <c r="I29" i="221"/>
  <c r="L29" i="221"/>
  <c r="M29" i="221"/>
  <c r="H31" i="221"/>
  <c r="H32" i="221"/>
  <c r="I32" i="221"/>
  <c r="H33" i="221"/>
  <c r="I33" i="221"/>
  <c r="D38" i="221"/>
  <c r="D39" i="221"/>
  <c r="D40" i="221"/>
  <c r="D41" i="221"/>
  <c r="D42" i="221"/>
  <c r="C43" i="221"/>
  <c r="D51" i="221"/>
  <c r="D52" i="221"/>
  <c r="D53" i="221"/>
  <c r="D54" i="221"/>
  <c r="D55" i="221"/>
  <c r="D56" i="221"/>
  <c r="B57" i="221"/>
  <c r="C57" i="221"/>
  <c r="D57" i="221"/>
  <c r="B58" i="221"/>
  <c r="B60" i="221"/>
  <c r="D60" i="221"/>
  <c r="B61" i="221"/>
  <c r="D61" i="221"/>
  <c r="D65" i="221"/>
  <c r="D66" i="221"/>
  <c r="D67" i="221"/>
  <c r="D68" i="221"/>
  <c r="D69" i="221"/>
  <c r="D70" i="221"/>
  <c r="B71" i="221"/>
  <c r="B72" i="221"/>
  <c r="C71" i="221"/>
  <c r="D71" i="221"/>
  <c r="B74" i="221"/>
  <c r="D74" i="221"/>
  <c r="D79" i="221"/>
  <c r="D80" i="221"/>
  <c r="D81" i="221"/>
  <c r="D82" i="221"/>
  <c r="D83" i="221"/>
  <c r="D84" i="221"/>
  <c r="B85" i="221"/>
  <c r="B86" i="221"/>
  <c r="C85" i="221"/>
  <c r="L32" i="220"/>
  <c r="L33" i="220"/>
  <c r="D15" i="220"/>
  <c r="E15" i="220"/>
  <c r="F15" i="220"/>
  <c r="G15" i="220"/>
  <c r="C43" i="220"/>
  <c r="D43" i="220"/>
  <c r="H15" i="220"/>
  <c r="I15" i="220"/>
  <c r="J15" i="220"/>
  <c r="B76" i="220"/>
  <c r="D76" i="220"/>
  <c r="B89" i="220"/>
  <c r="D89" i="220"/>
  <c r="M32" i="220"/>
  <c r="E23" i="220"/>
  <c r="G23" i="220"/>
  <c r="H23" i="220"/>
  <c r="G24" i="220"/>
  <c r="H24" i="220"/>
  <c r="F26" i="220"/>
  <c r="I26" i="220"/>
  <c r="K31" i="220"/>
  <c r="G27" i="220"/>
  <c r="H27" i="220"/>
  <c r="I27" i="220"/>
  <c r="B60" i="220"/>
  <c r="D60" i="220"/>
  <c r="B61" i="220"/>
  <c r="D61" i="220"/>
  <c r="E29" i="220"/>
  <c r="F29" i="220"/>
  <c r="G29" i="220"/>
  <c r="H29" i="220"/>
  <c r="I29" i="220"/>
  <c r="L29" i="220"/>
  <c r="G30" i="220"/>
  <c r="H30" i="220"/>
  <c r="E31" i="220"/>
  <c r="F31" i="220"/>
  <c r="G31" i="220"/>
  <c r="H31" i="220"/>
  <c r="I31" i="220"/>
  <c r="E32" i="220"/>
  <c r="F32" i="220"/>
  <c r="G32" i="220"/>
  <c r="H32" i="220"/>
  <c r="I32" i="220"/>
  <c r="K32" i="220"/>
  <c r="E33" i="220"/>
  <c r="F33" i="220"/>
  <c r="G33" i="220"/>
  <c r="H33" i="220"/>
  <c r="I33" i="220"/>
  <c r="D38" i="220"/>
  <c r="D39" i="220"/>
  <c r="D40" i="220"/>
  <c r="D42" i="220"/>
  <c r="B44" i="220"/>
  <c r="B45" i="220"/>
  <c r="D52" i="220"/>
  <c r="D53" i="220"/>
  <c r="D54" i="220"/>
  <c r="D55" i="220"/>
  <c r="D56" i="220"/>
  <c r="C57" i="220"/>
  <c r="D57" i="220"/>
  <c r="B58" i="220"/>
  <c r="C58" i="220"/>
  <c r="D58" i="220"/>
  <c r="B59" i="220"/>
  <c r="D66" i="220"/>
  <c r="D67" i="220"/>
  <c r="D68" i="220"/>
  <c r="D69" i="220"/>
  <c r="D70" i="220"/>
  <c r="C71" i="220"/>
  <c r="D71" i="220"/>
  <c r="B72" i="220"/>
  <c r="D72" i="220"/>
  <c r="C72" i="220"/>
  <c r="B73" i="220"/>
  <c r="B74" i="220"/>
  <c r="D74" i="220"/>
  <c r="B75" i="220"/>
  <c r="D75" i="220"/>
  <c r="D80" i="220"/>
  <c r="D81" i="220"/>
  <c r="D82" i="220"/>
  <c r="C83" i="220"/>
  <c r="D83" i="220"/>
  <c r="D84" i="220"/>
  <c r="C85" i="220"/>
  <c r="D85" i="220"/>
  <c r="B86" i="220"/>
  <c r="C86" i="220"/>
  <c r="B87" i="220"/>
  <c r="B88" i="220"/>
  <c r="D88" i="220"/>
  <c r="D15" i="219"/>
  <c r="D24" i="219"/>
  <c r="E15" i="219"/>
  <c r="F15" i="219"/>
  <c r="F23" i="219"/>
  <c r="G15" i="219"/>
  <c r="H15" i="219"/>
  <c r="H24" i="219"/>
  <c r="I15" i="219"/>
  <c r="J15" i="219"/>
  <c r="J20" i="219"/>
  <c r="C73" i="219"/>
  <c r="D73" i="219"/>
  <c r="B74" i="219"/>
  <c r="D74" i="219"/>
  <c r="B75" i="219"/>
  <c r="D75" i="219"/>
  <c r="B76" i="219"/>
  <c r="D76" i="219"/>
  <c r="J21" i="219"/>
  <c r="B88" i="219"/>
  <c r="D88" i="219"/>
  <c r="D23" i="219"/>
  <c r="E24" i="219"/>
  <c r="F24" i="219"/>
  <c r="I24" i="219"/>
  <c r="D26" i="219"/>
  <c r="D27" i="219"/>
  <c r="I26" i="219"/>
  <c r="I31" i="219"/>
  <c r="E27" i="219"/>
  <c r="F27" i="219"/>
  <c r="H27" i="219"/>
  <c r="I27" i="219"/>
  <c r="L29" i="219"/>
  <c r="D29" i="219"/>
  <c r="E29" i="219"/>
  <c r="F29" i="219"/>
  <c r="G29" i="219"/>
  <c r="H29" i="219"/>
  <c r="I29" i="219"/>
  <c r="D30" i="219"/>
  <c r="F30" i="219"/>
  <c r="H30" i="219"/>
  <c r="E31" i="219"/>
  <c r="F31" i="219"/>
  <c r="G31" i="219"/>
  <c r="H31" i="219"/>
  <c r="D32" i="219"/>
  <c r="E32" i="219"/>
  <c r="F32" i="219"/>
  <c r="G32" i="219"/>
  <c r="H32" i="219"/>
  <c r="I32" i="219"/>
  <c r="M32" i="219"/>
  <c r="D33" i="219"/>
  <c r="E33" i="219"/>
  <c r="F33" i="219"/>
  <c r="G33" i="219"/>
  <c r="H33" i="219"/>
  <c r="I33" i="219"/>
  <c r="D38" i="219"/>
  <c r="D39" i="219"/>
  <c r="D40" i="219"/>
  <c r="D42" i="219"/>
  <c r="B44" i="219"/>
  <c r="C44" i="219"/>
  <c r="D44" i="219"/>
  <c r="B45" i="219"/>
  <c r="D52" i="219"/>
  <c r="D53" i="219"/>
  <c r="D54" i="219"/>
  <c r="D55" i="219"/>
  <c r="D56" i="219"/>
  <c r="C57" i="219"/>
  <c r="D57" i="219"/>
  <c r="B58" i="219"/>
  <c r="C58" i="219"/>
  <c r="D58" i="219"/>
  <c r="B59" i="219"/>
  <c r="B62" i="219"/>
  <c r="D62" i="219"/>
  <c r="D66" i="219"/>
  <c r="D67" i="219"/>
  <c r="D68" i="219"/>
  <c r="D69" i="219"/>
  <c r="D70" i="219"/>
  <c r="C71" i="219"/>
  <c r="D71" i="219"/>
  <c r="B72" i="219"/>
  <c r="D72" i="219"/>
  <c r="C72" i="219"/>
  <c r="B73" i="219"/>
  <c r="D80" i="219"/>
  <c r="D81" i="219"/>
  <c r="D82" i="219"/>
  <c r="D83" i="219"/>
  <c r="D84" i="219"/>
  <c r="C85" i="219"/>
  <c r="D85" i="219"/>
  <c r="B86" i="219"/>
  <c r="C86" i="219"/>
  <c r="B87" i="219"/>
  <c r="B89" i="219"/>
  <c r="D89" i="219"/>
  <c r="G12" i="218"/>
  <c r="L32" i="218"/>
  <c r="M32" i="218"/>
  <c r="D15" i="218"/>
  <c r="E15" i="218"/>
  <c r="E23" i="218"/>
  <c r="F15" i="218"/>
  <c r="H15" i="218"/>
  <c r="H27" i="218"/>
  <c r="I15" i="218"/>
  <c r="I23" i="218"/>
  <c r="J15" i="218"/>
  <c r="J20" i="218"/>
  <c r="C73" i="218"/>
  <c r="D73" i="218"/>
  <c r="B76" i="218"/>
  <c r="D76" i="218"/>
  <c r="J21" i="218"/>
  <c r="J24" i="218"/>
  <c r="K29" i="218"/>
  <c r="B90" i="218"/>
  <c r="D90" i="218"/>
  <c r="D23" i="218"/>
  <c r="H23" i="218"/>
  <c r="D24" i="218"/>
  <c r="E24" i="218"/>
  <c r="F24" i="218"/>
  <c r="H24" i="218"/>
  <c r="I24" i="218"/>
  <c r="D26" i="218"/>
  <c r="G26" i="218"/>
  <c r="G31" i="218"/>
  <c r="I26" i="218"/>
  <c r="E27" i="218"/>
  <c r="I27" i="218"/>
  <c r="B60" i="218"/>
  <c r="D60" i="218"/>
  <c r="L29" i="218"/>
  <c r="D29" i="218"/>
  <c r="E29" i="218"/>
  <c r="F29" i="218"/>
  <c r="G29" i="218"/>
  <c r="H29" i="218"/>
  <c r="I29" i="218"/>
  <c r="D30" i="218"/>
  <c r="E30" i="218"/>
  <c r="I30" i="218"/>
  <c r="E31" i="218"/>
  <c r="F31" i="218"/>
  <c r="H31" i="218"/>
  <c r="I31" i="218"/>
  <c r="D32" i="218"/>
  <c r="E32" i="218"/>
  <c r="F32" i="218"/>
  <c r="H32" i="218"/>
  <c r="I32" i="218"/>
  <c r="D33" i="218"/>
  <c r="E33" i="218"/>
  <c r="F33" i="218"/>
  <c r="G33" i="218"/>
  <c r="H33" i="218"/>
  <c r="I33" i="218"/>
  <c r="D38" i="218"/>
  <c r="D39" i="218"/>
  <c r="D40" i="218"/>
  <c r="D41" i="218"/>
  <c r="D42" i="218"/>
  <c r="C44" i="218"/>
  <c r="D52" i="218"/>
  <c r="D53" i="218"/>
  <c r="D54" i="218"/>
  <c r="D55" i="218"/>
  <c r="D56" i="218"/>
  <c r="C57" i="218"/>
  <c r="D57" i="218"/>
  <c r="B58" i="218"/>
  <c r="C58" i="218"/>
  <c r="B59" i="218"/>
  <c r="D66" i="218"/>
  <c r="D67" i="218"/>
  <c r="D68" i="218"/>
  <c r="D69" i="218"/>
  <c r="D70" i="218"/>
  <c r="C71" i="218"/>
  <c r="D71" i="218"/>
  <c r="B72" i="218"/>
  <c r="D72" i="218"/>
  <c r="C72" i="218"/>
  <c r="B73" i="218"/>
  <c r="B74" i="218"/>
  <c r="D74" i="218"/>
  <c r="B75" i="218"/>
  <c r="D75" i="218"/>
  <c r="D80" i="218"/>
  <c r="D81" i="218"/>
  <c r="C82" i="218"/>
  <c r="D82" i="218"/>
  <c r="D83" i="218"/>
  <c r="D84" i="218"/>
  <c r="B85" i="218"/>
  <c r="C85" i="218"/>
  <c r="D85" i="218"/>
  <c r="B86" i="218"/>
  <c r="D86" i="218"/>
  <c r="C86" i="218"/>
  <c r="B87" i="218"/>
  <c r="B89" i="218"/>
  <c r="D89" i="218"/>
  <c r="L32" i="217"/>
  <c r="D15" i="217"/>
  <c r="D27" i="217"/>
  <c r="E15" i="217"/>
  <c r="F15" i="217"/>
  <c r="G15" i="217"/>
  <c r="G23" i="217"/>
  <c r="H15" i="217"/>
  <c r="I15" i="217"/>
  <c r="J15" i="217"/>
  <c r="B75" i="217"/>
  <c r="D75" i="217"/>
  <c r="B76" i="217"/>
  <c r="D76" i="217"/>
  <c r="B77" i="217"/>
  <c r="D77" i="217"/>
  <c r="K33" i="217"/>
  <c r="F23" i="217"/>
  <c r="F24" i="217"/>
  <c r="G24" i="217"/>
  <c r="G26" i="217"/>
  <c r="G27" i="217"/>
  <c r="I26" i="217"/>
  <c r="I31" i="217"/>
  <c r="F27" i="217"/>
  <c r="D29" i="217"/>
  <c r="E29" i="217"/>
  <c r="F29" i="217"/>
  <c r="G29" i="217"/>
  <c r="H29" i="217"/>
  <c r="I29" i="217"/>
  <c r="F30" i="217"/>
  <c r="G30" i="217"/>
  <c r="D31" i="217"/>
  <c r="E31" i="217"/>
  <c r="F31" i="217"/>
  <c r="G31" i="217"/>
  <c r="H31" i="217"/>
  <c r="K31" i="217"/>
  <c r="D32" i="217"/>
  <c r="E32" i="217"/>
  <c r="F32" i="217"/>
  <c r="G32" i="217"/>
  <c r="H32" i="217"/>
  <c r="I32" i="217"/>
  <c r="D33" i="217"/>
  <c r="E33" i="217"/>
  <c r="F33" i="217"/>
  <c r="G33" i="217"/>
  <c r="H33" i="217"/>
  <c r="I33" i="217"/>
  <c r="D39" i="217"/>
  <c r="D40" i="217"/>
  <c r="D41" i="217"/>
  <c r="D43" i="217"/>
  <c r="C44" i="217"/>
  <c r="C46" i="217"/>
  <c r="D53" i="217"/>
  <c r="D54" i="217"/>
  <c r="D55" i="217"/>
  <c r="D56" i="217"/>
  <c r="D57" i="217"/>
  <c r="C58" i="217"/>
  <c r="D58" i="217"/>
  <c r="B59" i="217"/>
  <c r="C59" i="217"/>
  <c r="D59" i="217"/>
  <c r="B60" i="217"/>
  <c r="B61" i="217"/>
  <c r="D61" i="217"/>
  <c r="D67" i="217"/>
  <c r="D68" i="217"/>
  <c r="D69" i="217"/>
  <c r="D70" i="217"/>
  <c r="D71" i="217"/>
  <c r="C72" i="217"/>
  <c r="D72" i="217"/>
  <c r="B73" i="217"/>
  <c r="C73" i="217"/>
  <c r="D73" i="217"/>
  <c r="B74" i="217"/>
  <c r="D81" i="217"/>
  <c r="D82" i="217"/>
  <c r="D83" i="217"/>
  <c r="D84" i="217"/>
  <c r="D85" i="217"/>
  <c r="B86" i="217"/>
  <c r="C86" i="217"/>
  <c r="B87" i="217"/>
  <c r="C87" i="217"/>
  <c r="D87" i="217"/>
  <c r="B88" i="217"/>
  <c r="J12" i="216"/>
  <c r="J15" i="216"/>
  <c r="E15" i="216"/>
  <c r="E23" i="216"/>
  <c r="F15" i="216"/>
  <c r="G15" i="216"/>
  <c r="G24" i="216"/>
  <c r="H15" i="216"/>
  <c r="I15" i="216"/>
  <c r="B74" i="216"/>
  <c r="D74" i="216"/>
  <c r="B76" i="216"/>
  <c r="D76" i="216"/>
  <c r="B88" i="216"/>
  <c r="D88" i="216"/>
  <c r="M32" i="216"/>
  <c r="G23" i="216"/>
  <c r="I23" i="216"/>
  <c r="I24" i="216"/>
  <c r="H26" i="216"/>
  <c r="I26" i="216"/>
  <c r="L31" i="216"/>
  <c r="E27" i="216"/>
  <c r="G27" i="216"/>
  <c r="I27" i="216"/>
  <c r="K31" i="216"/>
  <c r="B62" i="216"/>
  <c r="D62" i="216"/>
  <c r="E29" i="216"/>
  <c r="F29" i="216"/>
  <c r="G29" i="216"/>
  <c r="H29" i="216"/>
  <c r="I29" i="216"/>
  <c r="E30" i="216"/>
  <c r="I30" i="216"/>
  <c r="E31" i="216"/>
  <c r="F31" i="216"/>
  <c r="G31" i="216"/>
  <c r="I31" i="216"/>
  <c r="E32" i="216"/>
  <c r="F32" i="216"/>
  <c r="G32" i="216"/>
  <c r="H32" i="216"/>
  <c r="I32" i="216"/>
  <c r="E33" i="216"/>
  <c r="F33" i="216"/>
  <c r="G33" i="216"/>
  <c r="H33" i="216"/>
  <c r="I33" i="216"/>
  <c r="D38" i="216"/>
  <c r="D39" i="216"/>
  <c r="D40" i="216"/>
  <c r="D41" i="216"/>
  <c r="D42" i="216"/>
  <c r="C44" i="216"/>
  <c r="C45" i="216"/>
  <c r="D52" i="216"/>
  <c r="D53" i="216"/>
  <c r="D54" i="216"/>
  <c r="D55" i="216"/>
  <c r="D56" i="216"/>
  <c r="C57" i="216"/>
  <c r="D57" i="216"/>
  <c r="B58" i="216"/>
  <c r="C58" i="216"/>
  <c r="B59" i="216"/>
  <c r="B61" i="216"/>
  <c r="D61" i="216"/>
  <c r="D66" i="216"/>
  <c r="D67" i="216"/>
  <c r="D68" i="216"/>
  <c r="D69" i="216"/>
  <c r="D70" i="216"/>
  <c r="B71" i="216"/>
  <c r="C71" i="216"/>
  <c r="B72" i="216"/>
  <c r="C72" i="216"/>
  <c r="D72" i="216"/>
  <c r="B73" i="216"/>
  <c r="B75" i="216"/>
  <c r="D75" i="216"/>
  <c r="D80" i="216"/>
  <c r="D81" i="216"/>
  <c r="D82" i="216"/>
  <c r="D83" i="216"/>
  <c r="D84" i="216"/>
  <c r="C85" i="216"/>
  <c r="D85" i="216"/>
  <c r="B86" i="216"/>
  <c r="C86" i="216"/>
  <c r="D86" i="216"/>
  <c r="B87" i="216"/>
  <c r="J12" i="215"/>
  <c r="K32" i="215"/>
  <c r="K33" i="215"/>
  <c r="B15" i="215"/>
  <c r="B23" i="215"/>
  <c r="C15" i="215"/>
  <c r="D15" i="215"/>
  <c r="E15" i="215"/>
  <c r="E27" i="215"/>
  <c r="F15" i="215"/>
  <c r="F23" i="215"/>
  <c r="G15" i="215"/>
  <c r="H15" i="215"/>
  <c r="I15" i="215"/>
  <c r="J15" i="215"/>
  <c r="B74" i="215"/>
  <c r="D74" i="215"/>
  <c r="B75" i="215"/>
  <c r="D75" i="215"/>
  <c r="B87" i="215"/>
  <c r="D87" i="215"/>
  <c r="L29" i="215"/>
  <c r="C23" i="215"/>
  <c r="D23" i="215"/>
  <c r="E23" i="215"/>
  <c r="G23" i="215"/>
  <c r="H23" i="215"/>
  <c r="I23" i="215"/>
  <c r="C24" i="215"/>
  <c r="D24" i="215"/>
  <c r="E24" i="215"/>
  <c r="G24" i="215"/>
  <c r="H24" i="215"/>
  <c r="I24" i="215"/>
  <c r="C26" i="215"/>
  <c r="I26" i="215"/>
  <c r="D27" i="215"/>
  <c r="G27" i="215"/>
  <c r="H27" i="215"/>
  <c r="K29" i="215"/>
  <c r="B60" i="215"/>
  <c r="D60" i="215"/>
  <c r="M31" i="215"/>
  <c r="B29" i="215"/>
  <c r="C29" i="215"/>
  <c r="D29" i="215"/>
  <c r="E29" i="215"/>
  <c r="F29" i="215"/>
  <c r="G29" i="215"/>
  <c r="H29" i="215"/>
  <c r="C30" i="215"/>
  <c r="D30" i="215"/>
  <c r="E30" i="215"/>
  <c r="G30" i="215"/>
  <c r="H30" i="215"/>
  <c r="I30" i="215"/>
  <c r="B31" i="215"/>
  <c r="D31" i="215"/>
  <c r="E31" i="215"/>
  <c r="F31" i="215"/>
  <c r="G31" i="215"/>
  <c r="H31" i="215"/>
  <c r="I31" i="215"/>
  <c r="B32" i="215"/>
  <c r="C32" i="215"/>
  <c r="D32" i="215"/>
  <c r="E32" i="215"/>
  <c r="F32" i="215"/>
  <c r="G32" i="215"/>
  <c r="H32" i="215"/>
  <c r="I32" i="215"/>
  <c r="B33" i="215"/>
  <c r="C33" i="215"/>
  <c r="D33" i="215"/>
  <c r="E33" i="215"/>
  <c r="F33" i="215"/>
  <c r="G33" i="215"/>
  <c r="H33" i="215"/>
  <c r="I33" i="215"/>
  <c r="C38" i="215"/>
  <c r="D38" i="215"/>
  <c r="D39" i="215"/>
  <c r="D40" i="215"/>
  <c r="D41" i="215"/>
  <c r="C42" i="215"/>
  <c r="D42" i="215"/>
  <c r="B43" i="215"/>
  <c r="C43" i="215"/>
  <c r="D43" i="215"/>
  <c r="B44" i="215"/>
  <c r="D51" i="215"/>
  <c r="D52" i="215"/>
  <c r="D53" i="215"/>
  <c r="D54" i="215"/>
  <c r="D55" i="215"/>
  <c r="C56" i="215"/>
  <c r="D56" i="215"/>
  <c r="B57" i="215"/>
  <c r="C57" i="215"/>
  <c r="D57" i="215"/>
  <c r="B58" i="215"/>
  <c r="B59" i="215"/>
  <c r="D59" i="215"/>
  <c r="B61" i="215"/>
  <c r="D61" i="215"/>
  <c r="D65" i="215"/>
  <c r="D66" i="215"/>
  <c r="D67" i="215"/>
  <c r="C68" i="215"/>
  <c r="D68" i="215"/>
  <c r="D69" i="215"/>
  <c r="D70" i="215"/>
  <c r="B71" i="215"/>
  <c r="D71" i="215"/>
  <c r="C71" i="215"/>
  <c r="B72" i="215"/>
  <c r="B73" i="215"/>
  <c r="D73" i="215"/>
  <c r="D79" i="215"/>
  <c r="D80" i="215"/>
  <c r="D81" i="215"/>
  <c r="D82" i="215"/>
  <c r="D83" i="215"/>
  <c r="D84" i="215"/>
  <c r="B85" i="215"/>
  <c r="C85" i="215"/>
  <c r="D85" i="215"/>
  <c r="B86" i="215"/>
  <c r="J12" i="214"/>
  <c r="B15" i="214"/>
  <c r="C15" i="214"/>
  <c r="D15" i="214"/>
  <c r="E15" i="214"/>
  <c r="E27" i="214"/>
  <c r="F15" i="214"/>
  <c r="G15" i="214"/>
  <c r="H15" i="214"/>
  <c r="I15" i="214"/>
  <c r="B74" i="214"/>
  <c r="D74" i="214"/>
  <c r="B75" i="214"/>
  <c r="D75" i="214"/>
  <c r="B76" i="214"/>
  <c r="D76" i="214"/>
  <c r="B88" i="214"/>
  <c r="D88" i="214"/>
  <c r="L33" i="214"/>
  <c r="D23" i="214"/>
  <c r="E23" i="214"/>
  <c r="I23" i="214"/>
  <c r="B24" i="214"/>
  <c r="E24" i="214"/>
  <c r="F24" i="214"/>
  <c r="C26" i="214"/>
  <c r="G26" i="214"/>
  <c r="I26" i="214"/>
  <c r="I31" i="214"/>
  <c r="B27" i="214"/>
  <c r="B61" i="214"/>
  <c r="D61" i="214"/>
  <c r="M31" i="214"/>
  <c r="B29" i="214"/>
  <c r="C29" i="214"/>
  <c r="D29" i="214"/>
  <c r="E29" i="214"/>
  <c r="F29" i="214"/>
  <c r="G29" i="214"/>
  <c r="I29" i="214"/>
  <c r="B30" i="214"/>
  <c r="G30" i="214"/>
  <c r="B31" i="214"/>
  <c r="C31" i="214"/>
  <c r="D31" i="214"/>
  <c r="E31" i="214"/>
  <c r="F31" i="214"/>
  <c r="G31" i="214"/>
  <c r="B32" i="214"/>
  <c r="C32" i="214"/>
  <c r="D32" i="214"/>
  <c r="E32" i="214"/>
  <c r="F32" i="214"/>
  <c r="G32" i="214"/>
  <c r="H32" i="214"/>
  <c r="I32" i="214"/>
  <c r="K32" i="214"/>
  <c r="B33" i="214"/>
  <c r="C33" i="214"/>
  <c r="D33" i="214"/>
  <c r="E33" i="214"/>
  <c r="F33" i="214"/>
  <c r="G33" i="214"/>
  <c r="H33" i="214"/>
  <c r="I33" i="214"/>
  <c r="C41" i="214"/>
  <c r="D41" i="214"/>
  <c r="C43" i="214"/>
  <c r="D43" i="214"/>
  <c r="C44" i="214"/>
  <c r="D52" i="214"/>
  <c r="D53" i="214"/>
  <c r="D54" i="214"/>
  <c r="D55" i="214"/>
  <c r="D56" i="214"/>
  <c r="B57" i="214"/>
  <c r="C57" i="214"/>
  <c r="B58" i="214"/>
  <c r="C58" i="214"/>
  <c r="D58" i="214"/>
  <c r="B59" i="214"/>
  <c r="D66" i="214"/>
  <c r="D67" i="214"/>
  <c r="C68" i="214"/>
  <c r="D68" i="214"/>
  <c r="D69" i="214"/>
  <c r="D70" i="214"/>
  <c r="C71" i="214"/>
  <c r="D71" i="214"/>
  <c r="C72" i="214"/>
  <c r="D72" i="214"/>
  <c r="D80" i="214"/>
  <c r="D81" i="214"/>
  <c r="C82" i="214"/>
  <c r="D82" i="214"/>
  <c r="C83" i="214"/>
  <c r="D83" i="214"/>
  <c r="D84" i="214"/>
  <c r="C85" i="214"/>
  <c r="D85" i="214"/>
  <c r="C86" i="214"/>
  <c r="D86" i="214"/>
  <c r="B89" i="214"/>
  <c r="D89" i="214"/>
  <c r="B21" i="231"/>
  <c r="B26" i="231"/>
  <c r="D33" i="231"/>
  <c r="B45" i="231"/>
  <c r="G59" i="231"/>
  <c r="B23" i="230"/>
  <c r="C13" i="230"/>
  <c r="B28" i="230"/>
  <c r="D38" i="230"/>
  <c r="B47" i="230"/>
  <c r="G60" i="230"/>
  <c r="B21" i="178"/>
  <c r="C14" i="178"/>
  <c r="B26" i="178"/>
  <c r="G45" i="178"/>
  <c r="B21" i="176"/>
  <c r="C14" i="176"/>
  <c r="B26" i="176"/>
  <c r="B44" i="176"/>
  <c r="D54" i="176"/>
  <c r="F54" i="176"/>
  <c r="G58" i="176"/>
  <c r="B21" i="175"/>
  <c r="C14" i="175"/>
  <c r="B26" i="175"/>
  <c r="G45" i="175"/>
  <c r="D27" i="191"/>
  <c r="D28" i="191"/>
  <c r="D29" i="191"/>
  <c r="D30" i="191"/>
  <c r="D31" i="191"/>
  <c r="D32" i="191"/>
  <c r="D33" i="191"/>
  <c r="D34" i="191"/>
  <c r="G41" i="191"/>
  <c r="D27" i="190"/>
  <c r="D28" i="190"/>
  <c r="D35" i="190"/>
  <c r="D29" i="190"/>
  <c r="D30" i="190"/>
  <c r="D31" i="190"/>
  <c r="D32" i="190"/>
  <c r="D33" i="190"/>
  <c r="D34" i="190"/>
  <c r="G41" i="190"/>
  <c r="G41" i="189"/>
  <c r="J17" i="318"/>
  <c r="J51" i="318"/>
  <c r="O12" i="318"/>
  <c r="K13" i="318"/>
  <c r="M14" i="129"/>
  <c r="O13" i="318"/>
  <c r="K14" i="318"/>
  <c r="M15" i="129"/>
  <c r="O14" i="318"/>
  <c r="C17" i="318"/>
  <c r="C51" i="318"/>
  <c r="O15" i="318"/>
  <c r="K16" i="318"/>
  <c r="M17" i="129"/>
  <c r="C19" i="293"/>
  <c r="D17" i="318"/>
  <c r="F17" i="318"/>
  <c r="F51" i="318"/>
  <c r="G17" i="318"/>
  <c r="O17" i="318"/>
  <c r="I17" i="318"/>
  <c r="K19" i="318"/>
  <c r="M20" i="129"/>
  <c r="O19" i="318"/>
  <c r="K20" i="318"/>
  <c r="M21" i="129"/>
  <c r="O20" i="318"/>
  <c r="K21" i="318"/>
  <c r="M22" i="129"/>
  <c r="O21" i="318"/>
  <c r="C23" i="318"/>
  <c r="O22" i="318"/>
  <c r="D23" i="318"/>
  <c r="E23" i="318"/>
  <c r="F23" i="318"/>
  <c r="G23" i="318"/>
  <c r="O23" i="318"/>
  <c r="I23" i="318"/>
  <c r="J23" i="318"/>
  <c r="E25" i="318"/>
  <c r="G25" i="318"/>
  <c r="G27" i="318"/>
  <c r="E26" i="318"/>
  <c r="E27" i="318"/>
  <c r="G26" i="318"/>
  <c r="C27" i="318"/>
  <c r="D27" i="318"/>
  <c r="F27" i="318"/>
  <c r="H27" i="318"/>
  <c r="I27" i="318"/>
  <c r="J27" i="318"/>
  <c r="K29" i="318"/>
  <c r="M30" i="129"/>
  <c r="K30" i="318"/>
  <c r="M31" i="129"/>
  <c r="U33" i="298"/>
  <c r="K31" i="318"/>
  <c r="M32" i="129"/>
  <c r="U30" i="298"/>
  <c r="K32" i="318"/>
  <c r="M33" i="129"/>
  <c r="U31" i="298"/>
  <c r="C33" i="318"/>
  <c r="D33" i="318"/>
  <c r="D51" i="318"/>
  <c r="E33" i="318"/>
  <c r="F33" i="318"/>
  <c r="G33" i="318"/>
  <c r="H33" i="318"/>
  <c r="I33" i="318"/>
  <c r="J33" i="318"/>
  <c r="I35" i="318"/>
  <c r="K35" i="318"/>
  <c r="K36" i="318"/>
  <c r="K37" i="318"/>
  <c r="M38" i="129"/>
  <c r="U41" i="298"/>
  <c r="C38" i="318"/>
  <c r="D38" i="318"/>
  <c r="E38" i="318"/>
  <c r="F38" i="318"/>
  <c r="G38" i="318"/>
  <c r="H38" i="318"/>
  <c r="J38" i="318"/>
  <c r="E40" i="318"/>
  <c r="K40" i="318"/>
  <c r="M41" i="129"/>
  <c r="U50" i="298"/>
  <c r="K41" i="318"/>
  <c r="M42" i="129"/>
  <c r="K42" i="318"/>
  <c r="M43" i="129"/>
  <c r="U52" i="298"/>
  <c r="K43" i="318"/>
  <c r="K44" i="318"/>
  <c r="M45" i="129"/>
  <c r="E45" i="318"/>
  <c r="K46" i="318"/>
  <c r="M47" i="129"/>
  <c r="U56" i="298"/>
  <c r="K47" i="318"/>
  <c r="M48" i="129"/>
  <c r="C49" i="318"/>
  <c r="D49" i="318"/>
  <c r="F49" i="318"/>
  <c r="G49" i="318"/>
  <c r="H49" i="318"/>
  <c r="J49" i="318"/>
  <c r="H17" i="312"/>
  <c r="J17" i="312"/>
  <c r="O13" i="312"/>
  <c r="K14" i="312"/>
  <c r="J15" i="129"/>
  <c r="O14" i="312"/>
  <c r="K15" i="312"/>
  <c r="J16" i="129"/>
  <c r="O15" i="312"/>
  <c r="K16" i="312"/>
  <c r="J17" i="129"/>
  <c r="O16" i="312"/>
  <c r="D17" i="312"/>
  <c r="F17" i="312"/>
  <c r="G17" i="312"/>
  <c r="O17" i="312"/>
  <c r="I17" i="312"/>
  <c r="O18" i="312"/>
  <c r="O19" i="312"/>
  <c r="O20" i="312"/>
  <c r="O21" i="312"/>
  <c r="O22" i="312"/>
  <c r="C23" i="312"/>
  <c r="D23" i="312"/>
  <c r="F23" i="312"/>
  <c r="G23" i="312"/>
  <c r="O23" i="312"/>
  <c r="I23" i="312"/>
  <c r="J23" i="312"/>
  <c r="K25" i="312"/>
  <c r="J26" i="129"/>
  <c r="E27" i="312"/>
  <c r="C27" i="312"/>
  <c r="D27" i="312"/>
  <c r="F27" i="312"/>
  <c r="G27" i="312"/>
  <c r="H27" i="312"/>
  <c r="I27" i="312"/>
  <c r="J27" i="312"/>
  <c r="K29" i="312"/>
  <c r="K30" i="312"/>
  <c r="J31" i="129"/>
  <c r="T33" i="298"/>
  <c r="K31" i="312"/>
  <c r="K32" i="312"/>
  <c r="C33" i="312"/>
  <c r="D33" i="312"/>
  <c r="E33" i="312"/>
  <c r="F33" i="312"/>
  <c r="G33" i="312"/>
  <c r="H33" i="312"/>
  <c r="I33" i="312"/>
  <c r="J33" i="312"/>
  <c r="K36" i="312"/>
  <c r="J37" i="129"/>
  <c r="T40" i="298"/>
  <c r="K37" i="312"/>
  <c r="J38" i="129"/>
  <c r="T41" i="298"/>
  <c r="C38" i="312"/>
  <c r="D38" i="312"/>
  <c r="E38" i="312"/>
  <c r="F38" i="312"/>
  <c r="G38" i="312"/>
  <c r="H38" i="312"/>
  <c r="J38" i="312"/>
  <c r="K40" i="312"/>
  <c r="K41" i="312"/>
  <c r="J42" i="129"/>
  <c r="T51" i="298"/>
  <c r="K42" i="312"/>
  <c r="J43" i="129"/>
  <c r="T52" i="298"/>
  <c r="K43" i="312"/>
  <c r="J44" i="129"/>
  <c r="T53" i="298"/>
  <c r="K44" i="312"/>
  <c r="J45" i="129"/>
  <c r="K45" i="312"/>
  <c r="K46" i="312"/>
  <c r="K47" i="312"/>
  <c r="J48" i="129"/>
  <c r="C49" i="312"/>
  <c r="D49" i="312"/>
  <c r="E49" i="312"/>
  <c r="F49" i="312"/>
  <c r="G49" i="312"/>
  <c r="H49" i="312"/>
  <c r="J49" i="312"/>
  <c r="E12" i="307"/>
  <c r="K12" i="307"/>
  <c r="G13" i="129"/>
  <c r="H12" i="307"/>
  <c r="J12" i="307"/>
  <c r="J17" i="307"/>
  <c r="O12" i="307"/>
  <c r="E13" i="307"/>
  <c r="H13" i="307"/>
  <c r="H17" i="307"/>
  <c r="O13" i="307"/>
  <c r="E14" i="307"/>
  <c r="H14" i="307"/>
  <c r="O14" i="307"/>
  <c r="E15" i="307"/>
  <c r="H15" i="307"/>
  <c r="O15" i="307"/>
  <c r="K16" i="307"/>
  <c r="G17" i="129"/>
  <c r="O16" i="307"/>
  <c r="D17" i="307"/>
  <c r="F17" i="307"/>
  <c r="G17" i="307"/>
  <c r="O17" i="307"/>
  <c r="I17" i="307"/>
  <c r="O18" i="307"/>
  <c r="E19" i="307"/>
  <c r="H19" i="307"/>
  <c r="O19" i="307"/>
  <c r="E20" i="307"/>
  <c r="H20" i="307"/>
  <c r="O20" i="307"/>
  <c r="E21" i="307"/>
  <c r="H21" i="307"/>
  <c r="O21" i="307"/>
  <c r="H22" i="307"/>
  <c r="O22" i="307"/>
  <c r="D23" i="307"/>
  <c r="F23" i="307"/>
  <c r="G23" i="307"/>
  <c r="I23" i="307"/>
  <c r="J23" i="307"/>
  <c r="K25" i="307"/>
  <c r="G26" i="129"/>
  <c r="E26" i="307"/>
  <c r="G26" i="307"/>
  <c r="C27" i="307"/>
  <c r="D27" i="307"/>
  <c r="F27" i="307"/>
  <c r="G27" i="307"/>
  <c r="H27" i="307"/>
  <c r="I27" i="307"/>
  <c r="J27" i="307"/>
  <c r="K29" i="307"/>
  <c r="G30" i="129"/>
  <c r="S32" i="298"/>
  <c r="K30" i="307"/>
  <c r="K31" i="307"/>
  <c r="G32" i="129"/>
  <c r="K32" i="307"/>
  <c r="G33" i="129"/>
  <c r="S31" i="298"/>
  <c r="C33" i="307"/>
  <c r="D33" i="307"/>
  <c r="E33" i="307"/>
  <c r="F33" i="307"/>
  <c r="G33" i="307"/>
  <c r="H33" i="307"/>
  <c r="I33" i="307"/>
  <c r="J33" i="307"/>
  <c r="I35" i="307"/>
  <c r="I38" i="307"/>
  <c r="K36" i="307"/>
  <c r="K37" i="307"/>
  <c r="S41" i="298"/>
  <c r="C38" i="307"/>
  <c r="D38" i="307"/>
  <c r="E38" i="307"/>
  <c r="F38" i="307"/>
  <c r="G38" i="307"/>
  <c r="H38" i="307"/>
  <c r="J38" i="307"/>
  <c r="E40" i="307"/>
  <c r="E49" i="307"/>
  <c r="K41" i="307"/>
  <c r="K42" i="307"/>
  <c r="G43" i="129"/>
  <c r="S52" i="298"/>
  <c r="K43" i="307"/>
  <c r="G44" i="129"/>
  <c r="S53" i="298"/>
  <c r="K44" i="307"/>
  <c r="G45" i="129"/>
  <c r="E22" i="310"/>
  <c r="E45" i="307"/>
  <c r="K45" i="307"/>
  <c r="G46" i="129"/>
  <c r="S55" i="298"/>
  <c r="K46" i="307"/>
  <c r="G47" i="129"/>
  <c r="K47" i="307"/>
  <c r="G48" i="129"/>
  <c r="S57" i="298"/>
  <c r="C49" i="307"/>
  <c r="D49" i="307"/>
  <c r="F49" i="307"/>
  <c r="G49" i="307"/>
  <c r="H49" i="307"/>
  <c r="J49" i="307"/>
  <c r="E12" i="245"/>
  <c r="K10" i="110"/>
  <c r="F12" i="245"/>
  <c r="K12" i="110"/>
  <c r="G12" i="245"/>
  <c r="K13" i="110"/>
  <c r="C13" i="245"/>
  <c r="E13" i="245"/>
  <c r="F13" i="245"/>
  <c r="G13" i="245"/>
  <c r="N13" i="87"/>
  <c r="I13" i="245"/>
  <c r="C14" i="245"/>
  <c r="D14" i="245"/>
  <c r="N11" i="87"/>
  <c r="E14" i="245"/>
  <c r="F14" i="245"/>
  <c r="F17" i="245"/>
  <c r="F54" i="245"/>
  <c r="G14" i="245"/>
  <c r="E15" i="245"/>
  <c r="N10" i="86"/>
  <c r="F15" i="245"/>
  <c r="N12" i="86"/>
  <c r="G15" i="245"/>
  <c r="N13" i="86"/>
  <c r="E16" i="245"/>
  <c r="F10" i="253"/>
  <c r="I16" i="245"/>
  <c r="H17" i="245"/>
  <c r="E20" i="245"/>
  <c r="L10" i="116"/>
  <c r="F20" i="245"/>
  <c r="G20" i="245"/>
  <c r="L13" i="116"/>
  <c r="C21" i="245"/>
  <c r="D21" i="245"/>
  <c r="E21" i="245"/>
  <c r="H21" i="245"/>
  <c r="H28" i="245"/>
  <c r="E24" i="245"/>
  <c r="F24" i="245"/>
  <c r="L12" i="122"/>
  <c r="G24" i="245"/>
  <c r="L13" i="122"/>
  <c r="E25" i="245"/>
  <c r="F25" i="245"/>
  <c r="L12" i="125"/>
  <c r="C26" i="245"/>
  <c r="D26" i="245"/>
  <c r="H26" i="245"/>
  <c r="C27" i="245"/>
  <c r="H9" i="132"/>
  <c r="E27" i="245"/>
  <c r="H10" i="132"/>
  <c r="F27" i="245"/>
  <c r="H12" i="132"/>
  <c r="C28" i="245"/>
  <c r="D28" i="245"/>
  <c r="C31" i="245"/>
  <c r="E31" i="245"/>
  <c r="H31" i="245"/>
  <c r="I32" i="245"/>
  <c r="E33" i="245"/>
  <c r="H33" i="245"/>
  <c r="H34" i="245"/>
  <c r="I34" i="245"/>
  <c r="C35" i="245"/>
  <c r="D35" i="245"/>
  <c r="F35" i="245"/>
  <c r="G35" i="245"/>
  <c r="E38" i="245"/>
  <c r="E41" i="245"/>
  <c r="I38" i="245"/>
  <c r="I39" i="245"/>
  <c r="I40" i="245"/>
  <c r="C41" i="245"/>
  <c r="D41" i="245"/>
  <c r="F41" i="245"/>
  <c r="G41" i="245"/>
  <c r="H41" i="245"/>
  <c r="C43" i="245"/>
  <c r="E43" i="245"/>
  <c r="C44" i="245"/>
  <c r="I44" i="245"/>
  <c r="E45" i="245"/>
  <c r="I45" i="245"/>
  <c r="I46" i="245"/>
  <c r="I47" i="245"/>
  <c r="E48" i="245"/>
  <c r="I48" i="245"/>
  <c r="I49" i="245"/>
  <c r="I50" i="245"/>
  <c r="D52" i="245"/>
  <c r="E52" i="245"/>
  <c r="F52" i="245"/>
  <c r="G52" i="245"/>
  <c r="C55" i="245"/>
  <c r="D55" i="245"/>
  <c r="C56" i="245"/>
  <c r="D56" i="245"/>
  <c r="F56" i="245"/>
  <c r="G56" i="245"/>
  <c r="E12" i="291"/>
  <c r="I12" i="291"/>
  <c r="F12" i="291"/>
  <c r="E13" i="291"/>
  <c r="I13" i="291"/>
  <c r="F13" i="291"/>
  <c r="D14" i="291"/>
  <c r="E14" i="291"/>
  <c r="F14" i="291"/>
  <c r="E15" i="291"/>
  <c r="I15" i="291"/>
  <c r="F15" i="291"/>
  <c r="E16" i="291"/>
  <c r="I16" i="291"/>
  <c r="I17" i="291"/>
  <c r="C18" i="291"/>
  <c r="G18" i="291"/>
  <c r="G72" i="291"/>
  <c r="H18" i="291"/>
  <c r="E21" i="291"/>
  <c r="F21" i="291"/>
  <c r="G21" i="291"/>
  <c r="G22" i="291"/>
  <c r="G29" i="291"/>
  <c r="G75" i="291"/>
  <c r="C22" i="291"/>
  <c r="D22" i="291"/>
  <c r="E22" i="291"/>
  <c r="H22" i="291"/>
  <c r="E25" i="291"/>
  <c r="F25" i="291"/>
  <c r="G25" i="291"/>
  <c r="E26" i="291"/>
  <c r="F26" i="291"/>
  <c r="C27" i="291"/>
  <c r="C29" i="291"/>
  <c r="D27" i="291"/>
  <c r="G27" i="291"/>
  <c r="H27" i="291"/>
  <c r="H29" i="291"/>
  <c r="E28" i="291"/>
  <c r="I28" i="291"/>
  <c r="F28" i="291"/>
  <c r="I32" i="291"/>
  <c r="E33" i="291"/>
  <c r="H33" i="291"/>
  <c r="K33" i="291"/>
  <c r="I34" i="291"/>
  <c r="H35" i="291"/>
  <c r="I35" i="291"/>
  <c r="H36" i="291"/>
  <c r="I37" i="291"/>
  <c r="I38" i="291"/>
  <c r="I39" i="291"/>
  <c r="C40" i="291"/>
  <c r="D40" i="291"/>
  <c r="F40" i="291"/>
  <c r="G40" i="291"/>
  <c r="E43" i="291"/>
  <c r="E44" i="291"/>
  <c r="I44" i="291"/>
  <c r="I45" i="291"/>
  <c r="I46" i="291"/>
  <c r="E47" i="291"/>
  <c r="I47" i="291"/>
  <c r="E48" i="291"/>
  <c r="I48" i="291"/>
  <c r="E49" i="291"/>
  <c r="I49" i="291"/>
  <c r="E50" i="291"/>
  <c r="I50" i="291"/>
  <c r="C51" i="291"/>
  <c r="D51" i="291"/>
  <c r="E51" i="291"/>
  <c r="F51" i="291"/>
  <c r="G51" i="291"/>
  <c r="H51" i="291"/>
  <c r="E53" i="291"/>
  <c r="I53" i="291"/>
  <c r="I54" i="291"/>
  <c r="C54" i="291"/>
  <c r="D54" i="291"/>
  <c r="F54" i="291"/>
  <c r="G54" i="291"/>
  <c r="H54" i="291"/>
  <c r="I58" i="291"/>
  <c r="C59" i="291"/>
  <c r="D59" i="291"/>
  <c r="E59" i="291"/>
  <c r="F59" i="291"/>
  <c r="G59" i="291"/>
  <c r="H59" i="291"/>
  <c r="I59" i="291"/>
  <c r="E61" i="291"/>
  <c r="I61" i="291"/>
  <c r="C62" i="291"/>
  <c r="E62" i="291"/>
  <c r="E63" i="291"/>
  <c r="I63" i="291"/>
  <c r="I64" i="291"/>
  <c r="I65" i="291"/>
  <c r="E66" i="291"/>
  <c r="I66" i="291"/>
  <c r="I67" i="291"/>
  <c r="E68" i="291"/>
  <c r="I68" i="291"/>
  <c r="H69" i="291"/>
  <c r="D70" i="291"/>
  <c r="E70" i="291"/>
  <c r="F70" i="291"/>
  <c r="G70" i="291"/>
  <c r="C74" i="291"/>
  <c r="D74" i="291"/>
  <c r="F74" i="291"/>
  <c r="G74" i="291"/>
  <c r="H74" i="291"/>
  <c r="O12" i="313"/>
  <c r="C17" i="313"/>
  <c r="K13" i="313"/>
  <c r="O13" i="313"/>
  <c r="O14" i="313"/>
  <c r="O15" i="313"/>
  <c r="K16" i="313"/>
  <c r="M17" i="127"/>
  <c r="O16" i="313"/>
  <c r="D17" i="313"/>
  <c r="F17" i="313"/>
  <c r="F51" i="313"/>
  <c r="G17" i="313"/>
  <c r="O17" i="313"/>
  <c r="H17" i="313"/>
  <c r="H51" i="313"/>
  <c r="I17" i="313"/>
  <c r="O18" i="313"/>
  <c r="I23" i="313"/>
  <c r="O19" i="313"/>
  <c r="K20" i="313"/>
  <c r="O20" i="313"/>
  <c r="K21" i="313"/>
  <c r="O21" i="313"/>
  <c r="O22" i="313"/>
  <c r="C23" i="313"/>
  <c r="D23" i="313"/>
  <c r="F23" i="313"/>
  <c r="G23" i="313"/>
  <c r="J23" i="313"/>
  <c r="E25" i="313"/>
  <c r="G25" i="313"/>
  <c r="E26" i="313"/>
  <c r="G26" i="313"/>
  <c r="C27" i="313"/>
  <c r="D27" i="313"/>
  <c r="F27" i="313"/>
  <c r="H27" i="313"/>
  <c r="I27" i="313"/>
  <c r="J27" i="313"/>
  <c r="K29" i="313"/>
  <c r="K30" i="313"/>
  <c r="T33" i="294"/>
  <c r="K31" i="313"/>
  <c r="T30" i="294"/>
  <c r="K32" i="313"/>
  <c r="T31" i="294"/>
  <c r="C33" i="313"/>
  <c r="D33" i="313"/>
  <c r="E33" i="313"/>
  <c r="F33" i="313"/>
  <c r="G33" i="313"/>
  <c r="H33" i="313"/>
  <c r="I33" i="313"/>
  <c r="J33" i="313"/>
  <c r="I35" i="313"/>
  <c r="K35" i="313"/>
  <c r="K36" i="313"/>
  <c r="I37" i="313"/>
  <c r="K37" i="313"/>
  <c r="C38" i="313"/>
  <c r="D38" i="313"/>
  <c r="E38" i="313"/>
  <c r="F38" i="313"/>
  <c r="G38" i="313"/>
  <c r="H38" i="313"/>
  <c r="J38" i="313"/>
  <c r="D40" i="313"/>
  <c r="E40" i="313"/>
  <c r="G40" i="313"/>
  <c r="H40" i="313"/>
  <c r="H49" i="313"/>
  <c r="D41" i="313"/>
  <c r="G41" i="313"/>
  <c r="D42" i="313"/>
  <c r="G42" i="313"/>
  <c r="H42" i="313"/>
  <c r="D43" i="313"/>
  <c r="G43" i="313"/>
  <c r="H43" i="313"/>
  <c r="D44" i="313"/>
  <c r="G44" i="313"/>
  <c r="H44" i="313"/>
  <c r="D45" i="313"/>
  <c r="E45" i="313"/>
  <c r="G45" i="313"/>
  <c r="H45" i="313"/>
  <c r="D46" i="313"/>
  <c r="K46" i="313"/>
  <c r="G46" i="313"/>
  <c r="H46" i="313"/>
  <c r="D47" i="313"/>
  <c r="G47" i="313"/>
  <c r="H47" i="313"/>
  <c r="D48" i="313"/>
  <c r="E48" i="313"/>
  <c r="G48" i="313"/>
  <c r="H48" i="313"/>
  <c r="C49" i="313"/>
  <c r="F49" i="313"/>
  <c r="J49" i="313"/>
  <c r="C17" i="311"/>
  <c r="C51" i="311"/>
  <c r="K16" i="311"/>
  <c r="J17" i="127"/>
  <c r="D17" i="311"/>
  <c r="F17" i="311"/>
  <c r="F51" i="311"/>
  <c r="G17" i="311"/>
  <c r="O17" i="311"/>
  <c r="I17" i="311"/>
  <c r="K20" i="311"/>
  <c r="J21" i="127"/>
  <c r="C23" i="311"/>
  <c r="D23" i="311"/>
  <c r="F23" i="311"/>
  <c r="G23" i="311"/>
  <c r="I23" i="311"/>
  <c r="J23" i="311"/>
  <c r="E25" i="311"/>
  <c r="G25" i="311"/>
  <c r="G27" i="311"/>
  <c r="E26" i="311"/>
  <c r="K26" i="311"/>
  <c r="J27" i="127"/>
  <c r="S26" i="294"/>
  <c r="G26" i="311"/>
  <c r="C27" i="311"/>
  <c r="D27" i="311"/>
  <c r="F27" i="311"/>
  <c r="H27" i="311"/>
  <c r="I27" i="311"/>
  <c r="J27" i="311"/>
  <c r="K29" i="311"/>
  <c r="J30" i="127"/>
  <c r="S32" i="294"/>
  <c r="K30" i="311"/>
  <c r="J31" i="127"/>
  <c r="K31" i="311"/>
  <c r="J32" i="127"/>
  <c r="S30" i="294"/>
  <c r="K32" i="311"/>
  <c r="J33" i="127"/>
  <c r="S31" i="294"/>
  <c r="C33" i="311"/>
  <c r="D33" i="311"/>
  <c r="E33" i="311"/>
  <c r="F33" i="311"/>
  <c r="G33" i="311"/>
  <c r="H33" i="311"/>
  <c r="I33" i="311"/>
  <c r="J33" i="311"/>
  <c r="I35" i="311"/>
  <c r="K35" i="311"/>
  <c r="K36" i="311"/>
  <c r="I37" i="311"/>
  <c r="K37" i="311"/>
  <c r="C38" i="311"/>
  <c r="D38" i="311"/>
  <c r="E38" i="311"/>
  <c r="F38" i="311"/>
  <c r="G38" i="311"/>
  <c r="H38" i="311"/>
  <c r="I38" i="311"/>
  <c r="J38" i="311"/>
  <c r="K40" i="311"/>
  <c r="K41" i="311"/>
  <c r="J42" i="127"/>
  <c r="S51" i="294"/>
  <c r="K43" i="311"/>
  <c r="K44" i="311"/>
  <c r="K45" i="311"/>
  <c r="K46" i="311"/>
  <c r="K47" i="311"/>
  <c r="J48" i="127"/>
  <c r="S57" i="294"/>
  <c r="D48" i="311"/>
  <c r="E48" i="311"/>
  <c r="G48" i="311"/>
  <c r="H48" i="311"/>
  <c r="C49" i="311"/>
  <c r="F49" i="311"/>
  <c r="G49" i="311"/>
  <c r="J49" i="311"/>
  <c r="O12" i="306"/>
  <c r="O13" i="306"/>
  <c r="O14" i="306"/>
  <c r="K15" i="306"/>
  <c r="G16" i="127"/>
  <c r="O15" i="306"/>
  <c r="K16" i="306"/>
  <c r="G17" i="127"/>
  <c r="O16" i="306"/>
  <c r="C17" i="306"/>
  <c r="D17" i="306"/>
  <c r="F17" i="306"/>
  <c r="G17" i="306"/>
  <c r="O17" i="306"/>
  <c r="I17" i="306"/>
  <c r="O18" i="306"/>
  <c r="I23" i="306"/>
  <c r="O19" i="306"/>
  <c r="O20" i="306"/>
  <c r="K21" i="306"/>
  <c r="O21" i="306"/>
  <c r="K22" i="306"/>
  <c r="O22" i="306"/>
  <c r="C23" i="306"/>
  <c r="D23" i="306"/>
  <c r="F23" i="306"/>
  <c r="G23" i="306"/>
  <c r="O23" i="306"/>
  <c r="J23" i="306"/>
  <c r="E25" i="306"/>
  <c r="G25" i="306"/>
  <c r="E26" i="306"/>
  <c r="K26" i="306"/>
  <c r="C27" i="306"/>
  <c r="D27" i="306"/>
  <c r="F27" i="306"/>
  <c r="G27" i="306"/>
  <c r="H27" i="306"/>
  <c r="I27" i="306"/>
  <c r="J27" i="306"/>
  <c r="K29" i="306"/>
  <c r="G30" i="127"/>
  <c r="R32" i="294"/>
  <c r="K30" i="306"/>
  <c r="K31" i="306"/>
  <c r="G32" i="127"/>
  <c r="R30" i="294"/>
  <c r="K32" i="306"/>
  <c r="G33" i="127"/>
  <c r="C33" i="306"/>
  <c r="D33" i="306"/>
  <c r="E33" i="306"/>
  <c r="F33" i="306"/>
  <c r="G33" i="306"/>
  <c r="H33" i="306"/>
  <c r="I33" i="306"/>
  <c r="J33" i="306"/>
  <c r="I35" i="306"/>
  <c r="K35" i="306"/>
  <c r="K36" i="306"/>
  <c r="I37" i="306"/>
  <c r="K37" i="306"/>
  <c r="C38" i="306"/>
  <c r="D38" i="306"/>
  <c r="E38" i="306"/>
  <c r="F38" i="306"/>
  <c r="G38" i="306"/>
  <c r="H38" i="306"/>
  <c r="J38" i="306"/>
  <c r="G49" i="306"/>
  <c r="K47" i="306"/>
  <c r="D48" i="306"/>
  <c r="E48" i="306"/>
  <c r="G48" i="306"/>
  <c r="H48" i="306"/>
  <c r="F49" i="306"/>
  <c r="J49" i="306"/>
  <c r="W6" i="308"/>
  <c r="X6" i="308"/>
  <c r="G9" i="308"/>
  <c r="H7" i="308"/>
  <c r="W7" i="308"/>
  <c r="X7" i="308"/>
  <c r="K9" i="308"/>
  <c r="X8" i="308"/>
  <c r="E9" i="308"/>
  <c r="O9" i="308"/>
  <c r="S9" i="308"/>
  <c r="T9" i="308"/>
  <c r="R10" i="308"/>
  <c r="W10" i="308"/>
  <c r="X10" i="308"/>
  <c r="J11" i="308"/>
  <c r="O13" i="308"/>
  <c r="U13" i="308"/>
  <c r="V13" i="308"/>
  <c r="E13" i="308"/>
  <c r="W12" i="308"/>
  <c r="F13" i="308"/>
  <c r="K13" i="308"/>
  <c r="S13" i="308"/>
  <c r="R14" i="308"/>
  <c r="W14" i="308"/>
  <c r="X14" i="308"/>
  <c r="E17" i="308"/>
  <c r="J15" i="308"/>
  <c r="X15" i="308"/>
  <c r="W15" i="308"/>
  <c r="K17" i="308"/>
  <c r="X16" i="308"/>
  <c r="O17" i="308"/>
  <c r="S17" i="308"/>
  <c r="T17" i="308"/>
  <c r="U17" i="308"/>
  <c r="V17" i="308"/>
  <c r="L19" i="308"/>
  <c r="W18" i="308"/>
  <c r="J19" i="308"/>
  <c r="W19" i="308"/>
  <c r="X19" i="308"/>
  <c r="Z19" i="308"/>
  <c r="S20" i="308"/>
  <c r="T20" i="308"/>
  <c r="U20" i="308"/>
  <c r="V20" i="308"/>
  <c r="W21" i="308"/>
  <c r="X21" i="308"/>
  <c r="J22" i="308"/>
  <c r="K23" i="308"/>
  <c r="W22" i="308"/>
  <c r="O23" i="308"/>
  <c r="X22" i="308"/>
  <c r="M23" i="308"/>
  <c r="W23" i="308"/>
  <c r="V23" i="308"/>
  <c r="R24" i="308"/>
  <c r="W24" i="308"/>
  <c r="X24" i="308"/>
  <c r="I25" i="308"/>
  <c r="J25" i="308"/>
  <c r="P25" i="308"/>
  <c r="Q25" i="308"/>
  <c r="R25" i="308"/>
  <c r="W25" i="308"/>
  <c r="Y25" i="308"/>
  <c r="X25" i="308"/>
  <c r="Z25" i="308"/>
  <c r="C26" i="308"/>
  <c r="D26" i="308"/>
  <c r="D27" i="308"/>
  <c r="J26" i="308"/>
  <c r="W26" i="308"/>
  <c r="X26" i="308"/>
  <c r="E27" i="308"/>
  <c r="F27" i="308"/>
  <c r="G27" i="308"/>
  <c r="J27" i="308"/>
  <c r="K27" i="308"/>
  <c r="M27" i="308"/>
  <c r="N27" i="308"/>
  <c r="O27" i="308"/>
  <c r="S27" i="308"/>
  <c r="T27" i="308"/>
  <c r="U27" i="308"/>
  <c r="W27" i="308"/>
  <c r="V27" i="308"/>
  <c r="E34" i="308"/>
  <c r="J32" i="308"/>
  <c r="X32" i="308"/>
  <c r="W32" i="308"/>
  <c r="K34" i="308"/>
  <c r="X33" i="308"/>
  <c r="N34" i="308"/>
  <c r="O34" i="308"/>
  <c r="S34" i="308"/>
  <c r="T34" i="308"/>
  <c r="U34" i="308"/>
  <c r="V34" i="308"/>
  <c r="W37" i="308"/>
  <c r="X37" i="308"/>
  <c r="J38" i="308"/>
  <c r="K39" i="308"/>
  <c r="X38" i="308"/>
  <c r="W38" i="308"/>
  <c r="F39" i="308"/>
  <c r="G39" i="308"/>
  <c r="S39" i="308"/>
  <c r="S48" i="308"/>
  <c r="T39" i="308"/>
  <c r="U39" i="308"/>
  <c r="V39" i="308"/>
  <c r="R40" i="308"/>
  <c r="W40" i="308"/>
  <c r="X40" i="308"/>
  <c r="J41" i="308"/>
  <c r="M43" i="308"/>
  <c r="W43" i="308"/>
  <c r="X41" i="308"/>
  <c r="W41" i="308"/>
  <c r="W42" i="308"/>
  <c r="X42" i="308"/>
  <c r="N43" i="308"/>
  <c r="X43" i="308"/>
  <c r="S43" i="308"/>
  <c r="T43" i="308"/>
  <c r="R44" i="308"/>
  <c r="W44" i="308"/>
  <c r="X44" i="308"/>
  <c r="W45" i="308"/>
  <c r="J46" i="308"/>
  <c r="K47" i="308"/>
  <c r="W46" i="308"/>
  <c r="X46" i="308"/>
  <c r="O47" i="308"/>
  <c r="G47" i="308"/>
  <c r="S47" i="308"/>
  <c r="T47" i="308"/>
  <c r="U47" i="308"/>
  <c r="V47" i="308"/>
  <c r="C62" i="308"/>
  <c r="D62" i="308"/>
  <c r="R62" i="308"/>
  <c r="E62" i="308"/>
  <c r="F62" i="308"/>
  <c r="G62" i="308"/>
  <c r="M62" i="308"/>
  <c r="W62" i="308"/>
  <c r="N62" i="308"/>
  <c r="O62" i="308"/>
  <c r="K63" i="308"/>
  <c r="K75" i="308"/>
  <c r="S63" i="308"/>
  <c r="K64" i="308"/>
  <c r="S64" i="308"/>
  <c r="T64" i="308"/>
  <c r="T76" i="308"/>
  <c r="U64" i="308"/>
  <c r="U76" i="308"/>
  <c r="V64" i="308"/>
  <c r="C66" i="308"/>
  <c r="D66" i="308"/>
  <c r="E66" i="308"/>
  <c r="F66" i="308"/>
  <c r="G66" i="308"/>
  <c r="K66" i="308"/>
  <c r="K74" i="308"/>
  <c r="M66" i="308"/>
  <c r="N66" i="308"/>
  <c r="X66" i="308"/>
  <c r="O66" i="308"/>
  <c r="R66" i="308"/>
  <c r="W66" i="308"/>
  <c r="S67" i="308"/>
  <c r="T67" i="308"/>
  <c r="N68" i="308"/>
  <c r="S68" i="308"/>
  <c r="S69" i="308"/>
  <c r="T68" i="308"/>
  <c r="T69" i="308"/>
  <c r="C70" i="308"/>
  <c r="W70" i="308"/>
  <c r="X70" i="308"/>
  <c r="W71" i="308"/>
  <c r="X71" i="308"/>
  <c r="W72" i="308"/>
  <c r="X72" i="308"/>
  <c r="D73" i="308"/>
  <c r="E73" i="308"/>
  <c r="F73" i="308"/>
  <c r="G73" i="308"/>
  <c r="K73" i="308"/>
  <c r="M73" i="308"/>
  <c r="N73" i="308"/>
  <c r="X73" i="308"/>
  <c r="O73" i="308"/>
  <c r="W73" i="308"/>
  <c r="E74" i="308"/>
  <c r="V76" i="308"/>
  <c r="E62" i="280"/>
  <c r="E12" i="243"/>
  <c r="J10" i="110"/>
  <c r="F12" i="243"/>
  <c r="J12" i="110"/>
  <c r="G12" i="243"/>
  <c r="E13" i="243"/>
  <c r="F13" i="243"/>
  <c r="G13" i="243"/>
  <c r="M13" i="87"/>
  <c r="C14" i="243"/>
  <c r="M9" i="87"/>
  <c r="D14" i="243"/>
  <c r="M11" i="87"/>
  <c r="E14" i="243"/>
  <c r="F14" i="243"/>
  <c r="G14" i="243"/>
  <c r="E15" i="243"/>
  <c r="F15" i="243"/>
  <c r="M12" i="86"/>
  <c r="G15" i="243"/>
  <c r="M13" i="86"/>
  <c r="I16" i="243"/>
  <c r="I17" i="243"/>
  <c r="D18" i="243"/>
  <c r="D72" i="243"/>
  <c r="H18" i="243"/>
  <c r="H72" i="243"/>
  <c r="F21" i="243"/>
  <c r="K12" i="116"/>
  <c r="G21" i="243"/>
  <c r="K13" i="116"/>
  <c r="I21" i="243"/>
  <c r="I22" i="243"/>
  <c r="C22" i="243"/>
  <c r="C29" i="243"/>
  <c r="D22" i="243"/>
  <c r="E22" i="243"/>
  <c r="F22" i="243"/>
  <c r="G22" i="243"/>
  <c r="H22" i="243"/>
  <c r="H29" i="243"/>
  <c r="H73" i="243"/>
  <c r="F25" i="243"/>
  <c r="K12" i="122"/>
  <c r="G25" i="243"/>
  <c r="K13" i="122"/>
  <c r="F26" i="243"/>
  <c r="K12" i="125"/>
  <c r="I26" i="243"/>
  <c r="C27" i="243"/>
  <c r="D27" i="243"/>
  <c r="D29" i="243"/>
  <c r="D73" i="243"/>
  <c r="E27" i="243"/>
  <c r="E29" i="243"/>
  <c r="E62" i="243"/>
  <c r="I62" i="243"/>
  <c r="I70" i="243"/>
  <c r="E47" i="243"/>
  <c r="I47" i="243"/>
  <c r="E49" i="243"/>
  <c r="I49" i="243"/>
  <c r="E50" i="243"/>
  <c r="I50" i="243"/>
  <c r="F27" i="243"/>
  <c r="H27" i="243"/>
  <c r="F28" i="243"/>
  <c r="F29" i="243"/>
  <c r="F73" i="243"/>
  <c r="I32" i="243"/>
  <c r="C33" i="243"/>
  <c r="E33" i="243"/>
  <c r="I33" i="243"/>
  <c r="I34" i="243"/>
  <c r="E35" i="243"/>
  <c r="I35" i="243"/>
  <c r="E36" i="243"/>
  <c r="I36" i="243"/>
  <c r="I37" i="243"/>
  <c r="I38" i="243"/>
  <c r="I39" i="243"/>
  <c r="C40" i="243"/>
  <c r="D40" i="243"/>
  <c r="F40" i="243"/>
  <c r="G40" i="243"/>
  <c r="H40" i="243"/>
  <c r="E43" i="243"/>
  <c r="E51" i="243"/>
  <c r="E44" i="243"/>
  <c r="I44" i="243"/>
  <c r="I45" i="243"/>
  <c r="I46" i="243"/>
  <c r="E48" i="243"/>
  <c r="I48" i="243"/>
  <c r="C51" i="243"/>
  <c r="D51" i="243"/>
  <c r="F51" i="243"/>
  <c r="G51" i="243"/>
  <c r="H51" i="243"/>
  <c r="E53" i="243"/>
  <c r="I53" i="243"/>
  <c r="I54" i="243"/>
  <c r="C54" i="243"/>
  <c r="D54" i="243"/>
  <c r="F54" i="243"/>
  <c r="G54" i="243"/>
  <c r="H54" i="243"/>
  <c r="I58" i="243"/>
  <c r="C59" i="243"/>
  <c r="D59" i="243"/>
  <c r="E59" i="243"/>
  <c r="F59" i="243"/>
  <c r="G59" i="243"/>
  <c r="H59" i="243"/>
  <c r="I59" i="243"/>
  <c r="I61" i="243"/>
  <c r="C62" i="243"/>
  <c r="C70" i="243"/>
  <c r="I63" i="243"/>
  <c r="I64" i="243"/>
  <c r="E65" i="243"/>
  <c r="I65" i="243"/>
  <c r="E66" i="243"/>
  <c r="I66" i="243"/>
  <c r="E67" i="243"/>
  <c r="E68" i="243"/>
  <c r="I68" i="243"/>
  <c r="H69" i="243"/>
  <c r="D70" i="243"/>
  <c r="F70" i="243"/>
  <c r="G70" i="243"/>
  <c r="C74" i="243"/>
  <c r="D74" i="243"/>
  <c r="F74" i="243"/>
  <c r="G74" i="243"/>
  <c r="H74" i="243"/>
  <c r="J11" i="193"/>
  <c r="K11" i="193"/>
  <c r="L11" i="193"/>
  <c r="J12" i="193"/>
  <c r="J17" i="193"/>
  <c r="L12" i="193"/>
  <c r="C17" i="193"/>
  <c r="D17" i="193"/>
  <c r="D20" i="193"/>
  <c r="D34" i="193"/>
  <c r="E17" i="193"/>
  <c r="F17" i="193"/>
  <c r="F20" i="193"/>
  <c r="G17" i="193"/>
  <c r="H17" i="193"/>
  <c r="H20" i="193"/>
  <c r="H34" i="193"/>
  <c r="I17" i="193"/>
  <c r="L17" i="193"/>
  <c r="J18" i="193"/>
  <c r="K18" i="193"/>
  <c r="L18" i="193"/>
  <c r="C20" i="193"/>
  <c r="C34" i="193"/>
  <c r="E20" i="193"/>
  <c r="E34" i="193"/>
  <c r="G20" i="193"/>
  <c r="G34" i="193"/>
  <c r="I20" i="193"/>
  <c r="I34" i="193"/>
  <c r="J24" i="193"/>
  <c r="J25" i="193"/>
  <c r="K24" i="193"/>
  <c r="K25" i="193"/>
  <c r="L24" i="193"/>
  <c r="L25" i="193"/>
  <c r="C25" i="193"/>
  <c r="D25" i="193"/>
  <c r="E25" i="193"/>
  <c r="E31" i="193"/>
  <c r="E35" i="193"/>
  <c r="F25" i="193"/>
  <c r="G25" i="193"/>
  <c r="H25" i="193"/>
  <c r="I25" i="193"/>
  <c r="J27" i="193"/>
  <c r="K29" i="193"/>
  <c r="L29" i="193"/>
  <c r="C29" i="193"/>
  <c r="C31" i="193"/>
  <c r="C35" i="193"/>
  <c r="C37" i="193"/>
  <c r="D29" i="193"/>
  <c r="E29" i="193"/>
  <c r="F29" i="193"/>
  <c r="G29" i="193"/>
  <c r="H29" i="193"/>
  <c r="I29" i="193"/>
  <c r="J30" i="193"/>
  <c r="F31" i="193"/>
  <c r="F35" i="193"/>
  <c r="I31" i="193"/>
  <c r="I35" i="193"/>
  <c r="F34" i="193"/>
  <c r="J55" i="193"/>
  <c r="K55" i="193"/>
  <c r="C55" i="193"/>
  <c r="D55" i="193"/>
  <c r="E55" i="193"/>
  <c r="E58" i="193"/>
  <c r="E72" i="193"/>
  <c r="F55" i="193"/>
  <c r="G55" i="193"/>
  <c r="H55" i="193"/>
  <c r="I55" i="193"/>
  <c r="I58" i="193"/>
  <c r="I72" i="193"/>
  <c r="L55" i="193"/>
  <c r="C58" i="193"/>
  <c r="C72" i="193"/>
  <c r="D58" i="193"/>
  <c r="F58" i="193"/>
  <c r="G58" i="193"/>
  <c r="H58" i="193"/>
  <c r="J63" i="193"/>
  <c r="K63" i="193"/>
  <c r="L63" i="193"/>
  <c r="L69" i="193"/>
  <c r="L73" i="193"/>
  <c r="C63" i="193"/>
  <c r="D63" i="193"/>
  <c r="D69" i="193"/>
  <c r="D73" i="193"/>
  <c r="E63" i="193"/>
  <c r="F63" i="193"/>
  <c r="G63" i="193"/>
  <c r="H63" i="193"/>
  <c r="H69" i="193"/>
  <c r="H73" i="193"/>
  <c r="H75" i="193"/>
  <c r="I63" i="193"/>
  <c r="L67" i="193"/>
  <c r="K67" i="193"/>
  <c r="C67" i="193"/>
  <c r="D67" i="193"/>
  <c r="E67" i="193"/>
  <c r="E69" i="193"/>
  <c r="F67" i="193"/>
  <c r="G67" i="193"/>
  <c r="G69" i="193"/>
  <c r="G73" i="193"/>
  <c r="G75" i="193"/>
  <c r="H67" i="193"/>
  <c r="I67" i="193"/>
  <c r="I69" i="193"/>
  <c r="I73" i="193"/>
  <c r="C69" i="193"/>
  <c r="C73" i="193"/>
  <c r="F69" i="193"/>
  <c r="F73" i="193"/>
  <c r="F75" i="193"/>
  <c r="D72" i="193"/>
  <c r="F72" i="193"/>
  <c r="G72" i="193"/>
  <c r="H72" i="193"/>
  <c r="E73" i="193"/>
  <c r="C15" i="213"/>
  <c r="D15" i="213"/>
  <c r="D52" i="213"/>
  <c r="E15" i="213"/>
  <c r="F15" i="213"/>
  <c r="F52" i="213"/>
  <c r="G15" i="213"/>
  <c r="H15" i="213"/>
  <c r="J20" i="213"/>
  <c r="K20" i="213"/>
  <c r="C20" i="213"/>
  <c r="D20" i="213"/>
  <c r="E20" i="213"/>
  <c r="F20" i="213"/>
  <c r="G20" i="213"/>
  <c r="H20" i="213"/>
  <c r="I20" i="213"/>
  <c r="L20" i="213"/>
  <c r="C24" i="213"/>
  <c r="C26" i="213"/>
  <c r="D24" i="213"/>
  <c r="E24" i="213"/>
  <c r="F24" i="213"/>
  <c r="F26" i="213"/>
  <c r="G24" i="213"/>
  <c r="G26" i="213"/>
  <c r="H24" i="213"/>
  <c r="K24" i="213"/>
  <c r="J31" i="213"/>
  <c r="K31" i="213"/>
  <c r="C31" i="213"/>
  <c r="C53" i="213"/>
  <c r="D31" i="213"/>
  <c r="E31" i="213"/>
  <c r="E52" i="213"/>
  <c r="F31" i="213"/>
  <c r="G31" i="213"/>
  <c r="H31" i="213"/>
  <c r="I31" i="213"/>
  <c r="C37" i="213"/>
  <c r="D37" i="213"/>
  <c r="E37" i="213"/>
  <c r="F37" i="213"/>
  <c r="G37" i="213"/>
  <c r="H37" i="213"/>
  <c r="J37" i="213"/>
  <c r="K40" i="213"/>
  <c r="L40" i="213"/>
  <c r="C40" i="213"/>
  <c r="D40" i="213"/>
  <c r="E40" i="213"/>
  <c r="F40" i="213"/>
  <c r="G40" i="213"/>
  <c r="H40" i="213"/>
  <c r="I40" i="213"/>
  <c r="J40" i="213"/>
  <c r="I50" i="213"/>
  <c r="C50" i="213"/>
  <c r="D50" i="213"/>
  <c r="E50" i="213"/>
  <c r="F50" i="213"/>
  <c r="G50" i="213"/>
  <c r="H50" i="213"/>
  <c r="H52" i="213"/>
  <c r="F53" i="213"/>
  <c r="C54" i="213"/>
  <c r="D54" i="213"/>
  <c r="E54" i="213"/>
  <c r="F54" i="213"/>
  <c r="G54" i="213"/>
  <c r="H54" i="213"/>
  <c r="I54" i="213"/>
  <c r="J73" i="213"/>
  <c r="J76" i="213"/>
  <c r="J90" i="213"/>
  <c r="L73" i="213"/>
  <c r="C73" i="213"/>
  <c r="C76" i="213"/>
  <c r="C90" i="213"/>
  <c r="D73" i="213"/>
  <c r="E73" i="213"/>
  <c r="F73" i="213"/>
  <c r="F76" i="213"/>
  <c r="F90" i="213"/>
  <c r="G73" i="213"/>
  <c r="G76" i="213"/>
  <c r="G90" i="213"/>
  <c r="H73" i="213"/>
  <c r="I73" i="213"/>
  <c r="K73" i="213"/>
  <c r="D76" i="213"/>
  <c r="D90" i="213"/>
  <c r="E76" i="213"/>
  <c r="H76" i="213"/>
  <c r="H90" i="213"/>
  <c r="I76" i="213"/>
  <c r="J81" i="213"/>
  <c r="K81" i="213"/>
  <c r="L81" i="213"/>
  <c r="C81" i="213"/>
  <c r="D81" i="213"/>
  <c r="D87" i="213"/>
  <c r="D91" i="213"/>
  <c r="D93" i="213"/>
  <c r="E81" i="213"/>
  <c r="E87" i="213"/>
  <c r="E91" i="213"/>
  <c r="F81" i="213"/>
  <c r="G81" i="213"/>
  <c r="H81" i="213"/>
  <c r="H87" i="213"/>
  <c r="I81" i="213"/>
  <c r="K85" i="213"/>
  <c r="L85" i="213"/>
  <c r="L87" i="213"/>
  <c r="L91" i="213"/>
  <c r="C85" i="213"/>
  <c r="D85" i="213"/>
  <c r="E85" i="213"/>
  <c r="F85" i="213"/>
  <c r="G85" i="213"/>
  <c r="H85" i="213"/>
  <c r="I85" i="213"/>
  <c r="C87" i="213"/>
  <c r="C91" i="213"/>
  <c r="G87" i="213"/>
  <c r="G91" i="213"/>
  <c r="I87" i="213"/>
  <c r="I91" i="213"/>
  <c r="I93" i="213"/>
  <c r="E90" i="213"/>
  <c r="I90" i="213"/>
  <c r="H91" i="213"/>
  <c r="H93" i="213"/>
  <c r="L15" i="192"/>
  <c r="C15" i="192"/>
  <c r="D15" i="192"/>
  <c r="E15" i="192"/>
  <c r="F15" i="192"/>
  <c r="G15" i="192"/>
  <c r="H15" i="192"/>
  <c r="I20" i="192"/>
  <c r="K20" i="192"/>
  <c r="L20" i="192"/>
  <c r="C20" i="192"/>
  <c r="C26" i="192"/>
  <c r="C53" i="192"/>
  <c r="D20" i="192"/>
  <c r="E20" i="192"/>
  <c r="F20" i="192"/>
  <c r="G20" i="192"/>
  <c r="G26" i="192"/>
  <c r="G53" i="192"/>
  <c r="H20" i="192"/>
  <c r="J20" i="192"/>
  <c r="I24" i="192"/>
  <c r="I26" i="192"/>
  <c r="L24" i="192"/>
  <c r="C24" i="192"/>
  <c r="D24" i="192"/>
  <c r="D26" i="192"/>
  <c r="E24" i="192"/>
  <c r="F24" i="192"/>
  <c r="F26" i="192"/>
  <c r="F53" i="192"/>
  <c r="G24" i="192"/>
  <c r="H24" i="192"/>
  <c r="H26" i="192"/>
  <c r="C31" i="192"/>
  <c r="D31" i="192"/>
  <c r="E31" i="192"/>
  <c r="E52" i="192"/>
  <c r="F31" i="192"/>
  <c r="G31" i="192"/>
  <c r="H31" i="192"/>
  <c r="I31" i="192"/>
  <c r="L37" i="192"/>
  <c r="C37" i="192"/>
  <c r="D37" i="192"/>
  <c r="E37" i="192"/>
  <c r="F37" i="192"/>
  <c r="G37" i="192"/>
  <c r="H37" i="192"/>
  <c r="J40" i="192"/>
  <c r="K40" i="192"/>
  <c r="L40" i="192"/>
  <c r="K54" i="192"/>
  <c r="C50" i="192"/>
  <c r="D50" i="192"/>
  <c r="E50" i="192"/>
  <c r="F50" i="192"/>
  <c r="G50" i="192"/>
  <c r="H50" i="192"/>
  <c r="F52" i="192"/>
  <c r="H53" i="192"/>
  <c r="C54" i="192"/>
  <c r="D54" i="192"/>
  <c r="E54" i="192"/>
  <c r="F54" i="192"/>
  <c r="G54" i="192"/>
  <c r="H54" i="192"/>
  <c r="J73" i="192"/>
  <c r="K73" i="192"/>
  <c r="L73" i="192"/>
  <c r="C73" i="192"/>
  <c r="C76" i="192"/>
  <c r="C90" i="192"/>
  <c r="D73" i="192"/>
  <c r="D76" i="192"/>
  <c r="D90" i="192"/>
  <c r="D93" i="192"/>
  <c r="E73" i="192"/>
  <c r="F73" i="192"/>
  <c r="G73" i="192"/>
  <c r="G76" i="192"/>
  <c r="G90" i="192"/>
  <c r="H73" i="192"/>
  <c r="I73" i="192"/>
  <c r="I76" i="192"/>
  <c r="I90" i="192"/>
  <c r="E76" i="192"/>
  <c r="E90" i="192"/>
  <c r="F76" i="192"/>
  <c r="H76" i="192"/>
  <c r="J81" i="192"/>
  <c r="K81" i="192"/>
  <c r="L81" i="192"/>
  <c r="C81" i="192"/>
  <c r="D81" i="192"/>
  <c r="D87" i="192"/>
  <c r="D91" i="192"/>
  <c r="E81" i="192"/>
  <c r="F81" i="192"/>
  <c r="F87" i="192"/>
  <c r="F91" i="192"/>
  <c r="G81" i="192"/>
  <c r="H81" i="192"/>
  <c r="I81" i="192"/>
  <c r="J85" i="192"/>
  <c r="C85" i="192"/>
  <c r="D85" i="192"/>
  <c r="E85" i="192"/>
  <c r="F85" i="192"/>
  <c r="G85" i="192"/>
  <c r="H85" i="192"/>
  <c r="I85" i="192"/>
  <c r="I87" i="192"/>
  <c r="I91" i="192"/>
  <c r="E87" i="192"/>
  <c r="E91" i="192"/>
  <c r="H87" i="192"/>
  <c r="H91" i="192"/>
  <c r="F90" i="192"/>
  <c r="H90" i="192"/>
  <c r="H93" i="192"/>
  <c r="D9" i="163"/>
  <c r="E9" i="163"/>
  <c r="F9" i="163"/>
  <c r="F13" i="163"/>
  <c r="F26" i="163"/>
  <c r="F28" i="163"/>
  <c r="G9" i="163"/>
  <c r="G13" i="163"/>
  <c r="G26" i="163"/>
  <c r="G28" i="163"/>
  <c r="H9" i="163"/>
  <c r="I9" i="163"/>
  <c r="J9" i="163"/>
  <c r="J13" i="163"/>
  <c r="J26" i="163"/>
  <c r="J28" i="163"/>
  <c r="K9" i="163"/>
  <c r="K13" i="163"/>
  <c r="K26" i="163"/>
  <c r="K28" i="163"/>
  <c r="L9" i="163"/>
  <c r="M9" i="163"/>
  <c r="D10" i="163"/>
  <c r="E10" i="163"/>
  <c r="F10" i="163"/>
  <c r="G10" i="163"/>
  <c r="H10" i="163"/>
  <c r="I10" i="163"/>
  <c r="J10" i="163"/>
  <c r="K10" i="163"/>
  <c r="L10" i="163"/>
  <c r="M10" i="163"/>
  <c r="D11" i="163"/>
  <c r="E11" i="163"/>
  <c r="F11" i="163"/>
  <c r="G11" i="163"/>
  <c r="H11" i="163"/>
  <c r="I11" i="163"/>
  <c r="J11" i="163"/>
  <c r="K11" i="163"/>
  <c r="L11" i="163"/>
  <c r="M11" i="163"/>
  <c r="D12" i="163"/>
  <c r="E12" i="163"/>
  <c r="F12" i="163"/>
  <c r="G12" i="163"/>
  <c r="H12" i="163"/>
  <c r="I12" i="163"/>
  <c r="J12" i="163"/>
  <c r="K12" i="163"/>
  <c r="D13" i="163"/>
  <c r="E13" i="163"/>
  <c r="E26" i="163"/>
  <c r="H13" i="163"/>
  <c r="H26" i="163"/>
  <c r="H28" i="163"/>
  <c r="I13" i="163"/>
  <c r="I26" i="163"/>
  <c r="I28" i="163"/>
  <c r="L13" i="163"/>
  <c r="M13" i="163"/>
  <c r="M26" i="163"/>
  <c r="D16" i="163"/>
  <c r="D17" i="163"/>
  <c r="E16" i="163"/>
  <c r="E17" i="163"/>
  <c r="F16" i="163"/>
  <c r="G16" i="163"/>
  <c r="H16" i="163"/>
  <c r="H17" i="163"/>
  <c r="I16" i="163"/>
  <c r="I17" i="163"/>
  <c r="J16" i="163"/>
  <c r="J17" i="163"/>
  <c r="K16" i="163"/>
  <c r="K17" i="163"/>
  <c r="L16" i="163"/>
  <c r="L17" i="163"/>
  <c r="M16" i="163"/>
  <c r="M17" i="163"/>
  <c r="F17" i="163"/>
  <c r="G17" i="163"/>
  <c r="D19" i="163"/>
  <c r="D21" i="163"/>
  <c r="E19" i="163"/>
  <c r="E21" i="163"/>
  <c r="F19" i="163"/>
  <c r="G19" i="163"/>
  <c r="H19" i="163"/>
  <c r="I19" i="163"/>
  <c r="I21" i="163"/>
  <c r="J19" i="163"/>
  <c r="D20" i="163"/>
  <c r="E20" i="163"/>
  <c r="F20" i="163"/>
  <c r="F21" i="163"/>
  <c r="G20" i="163"/>
  <c r="G21" i="163"/>
  <c r="H20" i="163"/>
  <c r="I20" i="163"/>
  <c r="J20" i="163"/>
  <c r="J21" i="163"/>
  <c r="H21" i="163"/>
  <c r="D22" i="163"/>
  <c r="E22" i="163"/>
  <c r="F22" i="163"/>
  <c r="G22" i="163"/>
  <c r="H22" i="163"/>
  <c r="I22" i="163"/>
  <c r="J22" i="163"/>
  <c r="K22" i="163"/>
  <c r="L22" i="163"/>
  <c r="M22" i="163"/>
  <c r="H23" i="163"/>
  <c r="H27" i="163"/>
  <c r="D26" i="163"/>
  <c r="D28" i="163"/>
  <c r="L26" i="163"/>
  <c r="L28" i="163"/>
  <c r="E28" i="163"/>
  <c r="M28" i="163"/>
  <c r="D38" i="163"/>
  <c r="D42" i="163"/>
  <c r="E38" i="163"/>
  <c r="F38" i="163"/>
  <c r="F42" i="163"/>
  <c r="F55" i="163"/>
  <c r="F57" i="163"/>
  <c r="G38" i="163"/>
  <c r="G42" i="163"/>
  <c r="G55" i="163"/>
  <c r="G57" i="163"/>
  <c r="H38" i="163"/>
  <c r="H42" i="163"/>
  <c r="I38" i="163"/>
  <c r="I42" i="163"/>
  <c r="I55" i="163"/>
  <c r="I57" i="163"/>
  <c r="J38" i="163"/>
  <c r="K38" i="163"/>
  <c r="K42" i="163"/>
  <c r="K55" i="163"/>
  <c r="K57" i="163"/>
  <c r="L38" i="163"/>
  <c r="L42" i="163"/>
  <c r="L55" i="163"/>
  <c r="L57" i="163"/>
  <c r="M38" i="163"/>
  <c r="D39" i="163"/>
  <c r="E39" i="163"/>
  <c r="F39" i="163"/>
  <c r="G39" i="163"/>
  <c r="H39" i="163"/>
  <c r="I39" i="163"/>
  <c r="J39" i="163"/>
  <c r="K39" i="163"/>
  <c r="L39" i="163"/>
  <c r="M39" i="163"/>
  <c r="G40" i="163"/>
  <c r="H40" i="163"/>
  <c r="I40" i="163"/>
  <c r="J40" i="163"/>
  <c r="K40" i="163"/>
  <c r="L40" i="163"/>
  <c r="M40" i="163"/>
  <c r="F41" i="163"/>
  <c r="G41" i="163"/>
  <c r="H41" i="163"/>
  <c r="I41" i="163"/>
  <c r="J41" i="163"/>
  <c r="E42" i="163"/>
  <c r="E55" i="163"/>
  <c r="E57" i="163"/>
  <c r="J42" i="163"/>
  <c r="J55" i="163"/>
  <c r="J57" i="163"/>
  <c r="M42" i="163"/>
  <c r="M55" i="163"/>
  <c r="M57" i="163"/>
  <c r="F45" i="163"/>
  <c r="F46" i="163"/>
  <c r="G45" i="163"/>
  <c r="H45" i="163"/>
  <c r="I45" i="163"/>
  <c r="I46" i="163"/>
  <c r="I52" i="163"/>
  <c r="I56" i="163"/>
  <c r="J45" i="163"/>
  <c r="J46" i="163"/>
  <c r="K45" i="163"/>
  <c r="L45" i="163"/>
  <c r="L46" i="163"/>
  <c r="M45" i="163"/>
  <c r="M46" i="163"/>
  <c r="D46" i="163"/>
  <c r="E46" i="163"/>
  <c r="G46" i="163"/>
  <c r="H46" i="163"/>
  <c r="K46" i="163"/>
  <c r="F48" i="163"/>
  <c r="F50" i="163"/>
  <c r="G48" i="163"/>
  <c r="G50" i="163"/>
  <c r="H48" i="163"/>
  <c r="I48" i="163"/>
  <c r="J48" i="163"/>
  <c r="H49" i="163"/>
  <c r="I49" i="163"/>
  <c r="I50" i="163"/>
  <c r="J49" i="163"/>
  <c r="D50" i="163"/>
  <c r="E50" i="163"/>
  <c r="E52" i="163"/>
  <c r="E56" i="163"/>
  <c r="J51" i="163"/>
  <c r="K51" i="163"/>
  <c r="L51" i="163"/>
  <c r="M51" i="163"/>
  <c r="D55" i="163"/>
  <c r="D57" i="163"/>
  <c r="H55" i="163"/>
  <c r="H57" i="163"/>
  <c r="E12" i="171"/>
  <c r="F12" i="171"/>
  <c r="I12" i="110"/>
  <c r="G12" i="171"/>
  <c r="E13" i="171"/>
  <c r="F13" i="171"/>
  <c r="D14" i="171"/>
  <c r="L11" i="87"/>
  <c r="E14" i="171"/>
  <c r="I14" i="171"/>
  <c r="F14" i="171"/>
  <c r="G14" i="171"/>
  <c r="L13" i="87"/>
  <c r="E15" i="171"/>
  <c r="L10" i="86"/>
  <c r="F15" i="171"/>
  <c r="G15" i="171"/>
  <c r="L13" i="86"/>
  <c r="I16" i="171"/>
  <c r="I17" i="171"/>
  <c r="C18" i="171"/>
  <c r="C72" i="171"/>
  <c r="H18" i="171"/>
  <c r="E21" i="171"/>
  <c r="J10" i="116"/>
  <c r="F21" i="171"/>
  <c r="J12" i="116"/>
  <c r="I21" i="171"/>
  <c r="I22" i="171"/>
  <c r="C22" i="171"/>
  <c r="C29" i="171"/>
  <c r="D22" i="171"/>
  <c r="F22" i="171"/>
  <c r="G22" i="171"/>
  <c r="G29" i="171"/>
  <c r="H22" i="171"/>
  <c r="E25" i="171"/>
  <c r="F25" i="171"/>
  <c r="I26" i="171"/>
  <c r="C27" i="171"/>
  <c r="D27" i="171"/>
  <c r="G27" i="171"/>
  <c r="H27" i="171"/>
  <c r="I28" i="171"/>
  <c r="H29" i="171"/>
  <c r="H73" i="171"/>
  <c r="I32" i="171"/>
  <c r="E33" i="171"/>
  <c r="I33" i="171"/>
  <c r="I34" i="171"/>
  <c r="E35" i="171"/>
  <c r="I35" i="171"/>
  <c r="E36" i="171"/>
  <c r="I36" i="171"/>
  <c r="I37" i="171"/>
  <c r="I38" i="171"/>
  <c r="I39" i="171"/>
  <c r="C40" i="171"/>
  <c r="D40" i="171"/>
  <c r="F40" i="171"/>
  <c r="G40" i="171"/>
  <c r="H40" i="171"/>
  <c r="E43" i="171"/>
  <c r="I44" i="171"/>
  <c r="I45" i="171"/>
  <c r="I46" i="171"/>
  <c r="E47" i="171"/>
  <c r="I47" i="171"/>
  <c r="E48" i="171"/>
  <c r="I48" i="171"/>
  <c r="E49" i="171"/>
  <c r="E50" i="171"/>
  <c r="I50" i="171"/>
  <c r="C51" i="171"/>
  <c r="D51" i="171"/>
  <c r="F51" i="171"/>
  <c r="G51" i="171"/>
  <c r="H51" i="171"/>
  <c r="E53" i="171"/>
  <c r="E54" i="171"/>
  <c r="C54" i="171"/>
  <c r="D54" i="171"/>
  <c r="F54" i="171"/>
  <c r="G54" i="171"/>
  <c r="H54" i="171"/>
  <c r="I58" i="171"/>
  <c r="C59" i="171"/>
  <c r="D59" i="171"/>
  <c r="E59" i="171"/>
  <c r="F59" i="171"/>
  <c r="G59" i="171"/>
  <c r="H59" i="171"/>
  <c r="I59" i="171"/>
  <c r="E61" i="171"/>
  <c r="I61" i="171"/>
  <c r="I70" i="171"/>
  <c r="E62" i="171"/>
  <c r="I62" i="171"/>
  <c r="E63" i="171"/>
  <c r="I63" i="171"/>
  <c r="E64" i="171"/>
  <c r="I64" i="171"/>
  <c r="E65" i="171"/>
  <c r="I65" i="171"/>
  <c r="E66" i="171"/>
  <c r="I66" i="171"/>
  <c r="E67" i="171"/>
  <c r="I67" i="171"/>
  <c r="E68" i="171"/>
  <c r="I68" i="171"/>
  <c r="H69" i="171"/>
  <c r="H70" i="171"/>
  <c r="H75" i="171"/>
  <c r="B39" i="172"/>
  <c r="C70" i="171"/>
  <c r="D70" i="171"/>
  <c r="F70" i="171"/>
  <c r="G70" i="171"/>
  <c r="G73" i="171"/>
  <c r="C74" i="171"/>
  <c r="D74" i="171"/>
  <c r="F74" i="171"/>
  <c r="G74" i="171"/>
  <c r="H74" i="171"/>
  <c r="E12" i="241"/>
  <c r="K10" i="109"/>
  <c r="F12" i="241"/>
  <c r="K12" i="109"/>
  <c r="G12" i="241"/>
  <c r="K13" i="109"/>
  <c r="C13" i="241"/>
  <c r="E13" i="241"/>
  <c r="F13" i="241"/>
  <c r="N12" i="83"/>
  <c r="G13" i="241"/>
  <c r="C14" i="241"/>
  <c r="D14" i="241"/>
  <c r="E14" i="241"/>
  <c r="F14" i="241"/>
  <c r="G14" i="241"/>
  <c r="C15" i="241"/>
  <c r="N9" i="82"/>
  <c r="N15" i="82"/>
  <c r="E15" i="241"/>
  <c r="N10" i="82"/>
  <c r="F15" i="241"/>
  <c r="N12" i="82"/>
  <c r="G15" i="241"/>
  <c r="N13" i="82"/>
  <c r="I15" i="241"/>
  <c r="E16" i="241"/>
  <c r="I16" i="241"/>
  <c r="F17" i="241"/>
  <c r="H17" i="241"/>
  <c r="E20" i="241"/>
  <c r="F20" i="241"/>
  <c r="L12" i="115"/>
  <c r="G20" i="241"/>
  <c r="L13" i="115"/>
  <c r="C21" i="241"/>
  <c r="D21" i="241"/>
  <c r="F21" i="241"/>
  <c r="H21" i="241"/>
  <c r="H28" i="241"/>
  <c r="E24" i="241"/>
  <c r="L10" i="121"/>
  <c r="F24" i="241"/>
  <c r="L12" i="121"/>
  <c r="G24" i="241"/>
  <c r="L13" i="121"/>
  <c r="I24" i="241"/>
  <c r="E25" i="241"/>
  <c r="L10" i="124"/>
  <c r="F25" i="241"/>
  <c r="L12" i="124"/>
  <c r="G25" i="241"/>
  <c r="I25" i="241"/>
  <c r="C26" i="241"/>
  <c r="C28" i="241"/>
  <c r="C55" i="241"/>
  <c r="D26" i="241"/>
  <c r="D28" i="241"/>
  <c r="H26" i="241"/>
  <c r="C27" i="241"/>
  <c r="H9" i="131"/>
  <c r="E27" i="241"/>
  <c r="H10" i="131"/>
  <c r="F27" i="241"/>
  <c r="H12" i="131"/>
  <c r="G27" i="241"/>
  <c r="H13" i="131"/>
  <c r="C31" i="241"/>
  <c r="E31" i="241"/>
  <c r="H31" i="241"/>
  <c r="I32" i="241"/>
  <c r="E33" i="241"/>
  <c r="H33" i="241"/>
  <c r="H34" i="241"/>
  <c r="I34" i="241"/>
  <c r="D35" i="241"/>
  <c r="F35" i="241"/>
  <c r="G35" i="241"/>
  <c r="E38" i="241"/>
  <c r="I39" i="241"/>
  <c r="I40" i="241"/>
  <c r="C41" i="241"/>
  <c r="D41" i="241"/>
  <c r="F41" i="241"/>
  <c r="G41" i="241"/>
  <c r="H41" i="241"/>
  <c r="C43" i="241"/>
  <c r="I43" i="241"/>
  <c r="D43" i="241"/>
  <c r="E43" i="241"/>
  <c r="F43" i="241"/>
  <c r="G43" i="241"/>
  <c r="C44" i="241"/>
  <c r="D44" i="241"/>
  <c r="I44" i="241"/>
  <c r="F44" i="241"/>
  <c r="G44" i="241"/>
  <c r="D45" i="241"/>
  <c r="E45" i="241"/>
  <c r="I45" i="241"/>
  <c r="F45" i="241"/>
  <c r="G45" i="241"/>
  <c r="D46" i="241"/>
  <c r="F46" i="241"/>
  <c r="G46" i="241"/>
  <c r="D47" i="241"/>
  <c r="F47" i="241"/>
  <c r="G47" i="241"/>
  <c r="D48" i="241"/>
  <c r="E48" i="241"/>
  <c r="F48" i="241"/>
  <c r="G48" i="241"/>
  <c r="C49" i="241"/>
  <c r="D49" i="241"/>
  <c r="F49" i="241"/>
  <c r="G49" i="241"/>
  <c r="C50" i="241"/>
  <c r="D50" i="241"/>
  <c r="F50" i="241"/>
  <c r="G50" i="241"/>
  <c r="C51" i="241"/>
  <c r="D51" i="241"/>
  <c r="E51" i="241"/>
  <c r="F51" i="241"/>
  <c r="G51" i="241"/>
  <c r="H52" i="241"/>
  <c r="E12" i="289"/>
  <c r="F12" i="289"/>
  <c r="G12" i="289"/>
  <c r="E13" i="289"/>
  <c r="F13" i="289"/>
  <c r="G13" i="289"/>
  <c r="D14" i="289"/>
  <c r="E14" i="289"/>
  <c r="F14" i="289"/>
  <c r="G14" i="289"/>
  <c r="E15" i="289"/>
  <c r="F15" i="289"/>
  <c r="G15" i="289"/>
  <c r="E16" i="289"/>
  <c r="I16" i="289"/>
  <c r="I17" i="289"/>
  <c r="C18" i="289"/>
  <c r="D18" i="289"/>
  <c r="H18" i="289"/>
  <c r="E21" i="289"/>
  <c r="F21" i="289"/>
  <c r="G21" i="289"/>
  <c r="C22" i="289"/>
  <c r="D22" i="289"/>
  <c r="E22" i="289"/>
  <c r="F22" i="289"/>
  <c r="F29" i="289"/>
  <c r="F73" i="289"/>
  <c r="H22" i="289"/>
  <c r="H29" i="289"/>
  <c r="E25" i="289"/>
  <c r="F25" i="289"/>
  <c r="F27" i="289"/>
  <c r="G25" i="289"/>
  <c r="G27" i="289"/>
  <c r="E26" i="289"/>
  <c r="F26" i="289"/>
  <c r="G26" i="289"/>
  <c r="C27" i="289"/>
  <c r="C29" i="289"/>
  <c r="D27" i="289"/>
  <c r="H27" i="289"/>
  <c r="E28" i="289"/>
  <c r="F28" i="289"/>
  <c r="G28" i="289"/>
  <c r="D29" i="289"/>
  <c r="D73" i="289"/>
  <c r="I32" i="289"/>
  <c r="H33" i="289"/>
  <c r="I34" i="289"/>
  <c r="H35" i="289"/>
  <c r="I35" i="289"/>
  <c r="H36" i="289"/>
  <c r="I36" i="289"/>
  <c r="I37" i="289"/>
  <c r="I38" i="289"/>
  <c r="I39" i="289"/>
  <c r="C40" i="289"/>
  <c r="D40" i="289"/>
  <c r="E40" i="289"/>
  <c r="F40" i="289"/>
  <c r="G40" i="289"/>
  <c r="E43" i="289"/>
  <c r="E44" i="289"/>
  <c r="I44" i="289"/>
  <c r="I45" i="289"/>
  <c r="I46" i="289"/>
  <c r="E47" i="289"/>
  <c r="I47" i="289"/>
  <c r="E48" i="289"/>
  <c r="I48" i="289"/>
  <c r="E49" i="289"/>
  <c r="I49" i="289"/>
  <c r="E50" i="289"/>
  <c r="I50" i="289"/>
  <c r="C51" i="289"/>
  <c r="D51" i="289"/>
  <c r="F51" i="289"/>
  <c r="G51" i="289"/>
  <c r="H51" i="289"/>
  <c r="E53" i="289"/>
  <c r="I53" i="289"/>
  <c r="I54" i="289"/>
  <c r="C54" i="289"/>
  <c r="D54" i="289"/>
  <c r="E54" i="289"/>
  <c r="F54" i="289"/>
  <c r="G54" i="289"/>
  <c r="H54" i="289"/>
  <c r="I58" i="289"/>
  <c r="I59" i="289"/>
  <c r="C59" i="289"/>
  <c r="D59" i="289"/>
  <c r="E59" i="289"/>
  <c r="F59" i="289"/>
  <c r="G59" i="289"/>
  <c r="H59" i="289"/>
  <c r="D61" i="289"/>
  <c r="D70" i="289"/>
  <c r="E61" i="289"/>
  <c r="F61" i="289"/>
  <c r="G61" i="289"/>
  <c r="I61" i="289"/>
  <c r="I70" i="289"/>
  <c r="C62" i="289"/>
  <c r="I62" i="289"/>
  <c r="D62" i="289"/>
  <c r="E62" i="289"/>
  <c r="F62" i="289"/>
  <c r="G62" i="289"/>
  <c r="D63" i="289"/>
  <c r="E63" i="289"/>
  <c r="F63" i="289"/>
  <c r="G63" i="289"/>
  <c r="I63" i="289"/>
  <c r="D64" i="289"/>
  <c r="I64" i="289"/>
  <c r="F64" i="289"/>
  <c r="G64" i="289"/>
  <c r="D65" i="289"/>
  <c r="I65" i="289"/>
  <c r="F65" i="289"/>
  <c r="G65" i="289"/>
  <c r="D66" i="289"/>
  <c r="E66" i="289"/>
  <c r="F66" i="289"/>
  <c r="G66" i="289"/>
  <c r="I66" i="289"/>
  <c r="C67" i="289"/>
  <c r="D67" i="289"/>
  <c r="F67" i="289"/>
  <c r="G67" i="289"/>
  <c r="I67" i="289"/>
  <c r="C68" i="289"/>
  <c r="I68" i="289"/>
  <c r="D68" i="289"/>
  <c r="E68" i="289"/>
  <c r="F68" i="289"/>
  <c r="G68" i="289"/>
  <c r="C69" i="289"/>
  <c r="I69" i="289"/>
  <c r="D69" i="289"/>
  <c r="E69" i="289"/>
  <c r="F69" i="289"/>
  <c r="G69" i="289"/>
  <c r="F70" i="289"/>
  <c r="G70" i="289"/>
  <c r="H70" i="289"/>
  <c r="C72" i="289"/>
  <c r="D72" i="289"/>
  <c r="H74" i="289"/>
  <c r="W6" i="293"/>
  <c r="X6" i="293"/>
  <c r="X7" i="293"/>
  <c r="S9" i="293"/>
  <c r="T9" i="293"/>
  <c r="R10" i="293"/>
  <c r="W10" i="293"/>
  <c r="X10" i="293"/>
  <c r="U63" i="293"/>
  <c r="U75" i="293"/>
  <c r="U77" i="293"/>
  <c r="S10" i="300"/>
  <c r="X12" i="293"/>
  <c r="O64" i="293"/>
  <c r="W12" i="293"/>
  <c r="R14" i="293"/>
  <c r="W14" i="293"/>
  <c r="X14" i="293"/>
  <c r="S11" i="296"/>
  <c r="W15" i="293"/>
  <c r="S11" i="300"/>
  <c r="X16" i="293"/>
  <c r="S17" i="293"/>
  <c r="S23" i="293"/>
  <c r="T17" i="293"/>
  <c r="U17" i="293"/>
  <c r="V17" i="293"/>
  <c r="X18" i="293"/>
  <c r="Z18" i="293"/>
  <c r="S13" i="300"/>
  <c r="W19" i="293"/>
  <c r="S20" i="293"/>
  <c r="T20" i="293"/>
  <c r="U20" i="293"/>
  <c r="U23" i="293"/>
  <c r="V20" i="293"/>
  <c r="W21" i="293"/>
  <c r="X21" i="293"/>
  <c r="X22" i="293"/>
  <c r="R24" i="293"/>
  <c r="W24" i="293"/>
  <c r="X24" i="293"/>
  <c r="P25" i="293"/>
  <c r="Q25" i="293"/>
  <c r="R25" i="293"/>
  <c r="W25" i="293"/>
  <c r="Y25" i="293"/>
  <c r="X25" i="293"/>
  <c r="Z25" i="293"/>
  <c r="D26" i="293"/>
  <c r="D27" i="293"/>
  <c r="W26" i="293"/>
  <c r="X26" i="293"/>
  <c r="Z26" i="293"/>
  <c r="S27" i="293"/>
  <c r="T27" i="293"/>
  <c r="U27" i="293"/>
  <c r="V27" i="293"/>
  <c r="X27" i="293"/>
  <c r="W27" i="293"/>
  <c r="W33" i="293"/>
  <c r="S34" i="293"/>
  <c r="T34" i="293"/>
  <c r="U34" i="293"/>
  <c r="V34" i="293"/>
  <c r="X37" i="293"/>
  <c r="S39" i="293"/>
  <c r="T39" i="293"/>
  <c r="U39" i="293"/>
  <c r="V39" i="293"/>
  <c r="R40" i="293"/>
  <c r="W40" i="293"/>
  <c r="X40" i="293"/>
  <c r="W41" i="293"/>
  <c r="X41" i="293"/>
  <c r="X42" i="293"/>
  <c r="W42" i="293"/>
  <c r="S43" i="293"/>
  <c r="T43" i="293"/>
  <c r="R44" i="293"/>
  <c r="W44" i="293"/>
  <c r="X44" i="293"/>
  <c r="E47" i="293"/>
  <c r="W45" i="293"/>
  <c r="X45" i="293"/>
  <c r="W46" i="293"/>
  <c r="X46" i="293"/>
  <c r="F47" i="293"/>
  <c r="G47" i="293"/>
  <c r="S47" i="293"/>
  <c r="T47" i="293"/>
  <c r="U47" i="293"/>
  <c r="V47" i="293"/>
  <c r="Q62" i="293"/>
  <c r="D62" i="293"/>
  <c r="E62" i="293"/>
  <c r="F62" i="293"/>
  <c r="G62" i="293"/>
  <c r="G74" i="293"/>
  <c r="M62" i="293"/>
  <c r="N62" i="293"/>
  <c r="O62" i="293"/>
  <c r="P62" i="293"/>
  <c r="X62" i="293"/>
  <c r="N63" i="293"/>
  <c r="F64" i="293"/>
  <c r="S64" i="293"/>
  <c r="T64" i="293"/>
  <c r="U64" i="293"/>
  <c r="U76" i="293"/>
  <c r="V64" i="293"/>
  <c r="D66" i="293"/>
  <c r="E66" i="293"/>
  <c r="F66" i="293"/>
  <c r="G66" i="293"/>
  <c r="K66" i="293"/>
  <c r="K74" i="293"/>
  <c r="M66" i="293"/>
  <c r="N66" i="293"/>
  <c r="X66" i="293"/>
  <c r="O66" i="293"/>
  <c r="W66" i="293"/>
  <c r="S67" i="293"/>
  <c r="T67" i="293"/>
  <c r="E68" i="293"/>
  <c r="S68" i="293"/>
  <c r="T68" i="293"/>
  <c r="W70" i="293"/>
  <c r="X70" i="293"/>
  <c r="W71" i="293"/>
  <c r="X71" i="293"/>
  <c r="W72" i="293"/>
  <c r="X72" i="293"/>
  <c r="D73" i="293"/>
  <c r="E73" i="293"/>
  <c r="F73" i="293"/>
  <c r="G73" i="293"/>
  <c r="K73" i="293"/>
  <c r="M73" i="293"/>
  <c r="W73" i="293"/>
  <c r="N73" i="293"/>
  <c r="X73" i="293"/>
  <c r="O73" i="293"/>
  <c r="F74" i="293"/>
  <c r="N74" i="293"/>
  <c r="S76" i="293"/>
  <c r="V76" i="293"/>
  <c r="W6" i="292"/>
  <c r="X6" i="292"/>
  <c r="F64" i="292"/>
  <c r="W8" i="292"/>
  <c r="X8" i="292"/>
  <c r="S9" i="292"/>
  <c r="T9" i="292"/>
  <c r="R10" i="292"/>
  <c r="W10" i="292"/>
  <c r="X10" i="292"/>
  <c r="S13" i="292"/>
  <c r="V13" i="292"/>
  <c r="R14" i="292"/>
  <c r="W14" i="292"/>
  <c r="X14" i="292"/>
  <c r="X15" i="292"/>
  <c r="S17" i="292"/>
  <c r="T17" i="292"/>
  <c r="T23" i="292"/>
  <c r="U17" i="292"/>
  <c r="V17" i="292"/>
  <c r="W18" i="292"/>
  <c r="W19" i="292"/>
  <c r="X19" i="292"/>
  <c r="Z19" i="292"/>
  <c r="S20" i="292"/>
  <c r="T20" i="292"/>
  <c r="U20" i="292"/>
  <c r="V20" i="292"/>
  <c r="W22" i="292"/>
  <c r="R24" i="292"/>
  <c r="W24" i="292"/>
  <c r="X24" i="292"/>
  <c r="P25" i="292"/>
  <c r="Q25" i="292"/>
  <c r="R25" i="292"/>
  <c r="W25" i="292"/>
  <c r="Y25" i="292"/>
  <c r="X25" i="292"/>
  <c r="Z25" i="292"/>
  <c r="W26" i="292"/>
  <c r="X26" i="292"/>
  <c r="S27" i="292"/>
  <c r="T27" i="292"/>
  <c r="U27" i="292"/>
  <c r="V27" i="292"/>
  <c r="X32" i="292"/>
  <c r="W33" i="292"/>
  <c r="O68" i="292"/>
  <c r="X33" i="292"/>
  <c r="S34" i="292"/>
  <c r="T34" i="292"/>
  <c r="U34" i="292"/>
  <c r="V34" i="292"/>
  <c r="W37" i="292"/>
  <c r="W38" i="292"/>
  <c r="S39" i="292"/>
  <c r="T39" i="292"/>
  <c r="U39" i="292"/>
  <c r="V39" i="292"/>
  <c r="R40" i="292"/>
  <c r="W40" i="292"/>
  <c r="X40" i="292"/>
  <c r="S43" i="292"/>
  <c r="T43" i="292"/>
  <c r="R44" i="292"/>
  <c r="W44" i="292"/>
  <c r="X44" i="292"/>
  <c r="W45" i="292"/>
  <c r="S47" i="292"/>
  <c r="T47" i="292"/>
  <c r="U47" i="292"/>
  <c r="V47" i="292"/>
  <c r="D62" i="292"/>
  <c r="D74" i="292"/>
  <c r="E62" i="292"/>
  <c r="F62" i="292"/>
  <c r="G62" i="292"/>
  <c r="M62" i="292"/>
  <c r="N62" i="292"/>
  <c r="Q62" i="292"/>
  <c r="O62" i="292"/>
  <c r="R62" i="292"/>
  <c r="S63" i="292"/>
  <c r="V63" i="292"/>
  <c r="V65" i="292"/>
  <c r="G64" i="292"/>
  <c r="M64" i="292"/>
  <c r="N64" i="292"/>
  <c r="N76" i="292"/>
  <c r="X76" i="292"/>
  <c r="S64" i="292"/>
  <c r="T64" i="292"/>
  <c r="T76" i="292"/>
  <c r="U64" i="292"/>
  <c r="U76" i="292"/>
  <c r="V64" i="292"/>
  <c r="V76" i="292"/>
  <c r="D66" i="292"/>
  <c r="E66" i="292"/>
  <c r="E74" i="292"/>
  <c r="F66" i="292"/>
  <c r="F74" i="292"/>
  <c r="G66" i="292"/>
  <c r="K66" i="292"/>
  <c r="M66" i="292"/>
  <c r="P66" i="292"/>
  <c r="N66" i="292"/>
  <c r="Q66" i="292"/>
  <c r="O66" i="292"/>
  <c r="R66" i="292"/>
  <c r="W66" i="292"/>
  <c r="X66" i="292"/>
  <c r="G67" i="292"/>
  <c r="S67" i="292"/>
  <c r="T67" i="292"/>
  <c r="S68" i="292"/>
  <c r="T68" i="292"/>
  <c r="S69" i="292"/>
  <c r="W70" i="292"/>
  <c r="X70" i="292"/>
  <c r="W71" i="292"/>
  <c r="X71" i="292"/>
  <c r="W72" i="292"/>
  <c r="X72" i="292"/>
  <c r="D73" i="292"/>
  <c r="E73" i="292"/>
  <c r="F73" i="292"/>
  <c r="G73" i="292"/>
  <c r="K73" i="292"/>
  <c r="M73" i="292"/>
  <c r="W73" i="292"/>
  <c r="N73" i="292"/>
  <c r="X73" i="292"/>
  <c r="O73" i="292"/>
  <c r="K74" i="292"/>
  <c r="S76" i="292"/>
  <c r="E12" i="239"/>
  <c r="F12" i="239"/>
  <c r="J12" i="109"/>
  <c r="G12" i="239"/>
  <c r="J13" i="109"/>
  <c r="I12" i="239"/>
  <c r="E13" i="239"/>
  <c r="F13" i="239"/>
  <c r="G13" i="239"/>
  <c r="I13" i="239"/>
  <c r="C14" i="239"/>
  <c r="M9" i="83"/>
  <c r="D14" i="239"/>
  <c r="M11" i="83"/>
  <c r="E14" i="239"/>
  <c r="F14" i="239"/>
  <c r="G14" i="239"/>
  <c r="E15" i="239"/>
  <c r="M10" i="82"/>
  <c r="F15" i="239"/>
  <c r="M12" i="82"/>
  <c r="G15" i="239"/>
  <c r="M13" i="82"/>
  <c r="I16" i="239"/>
  <c r="I17" i="239"/>
  <c r="C18" i="239"/>
  <c r="C72" i="239"/>
  <c r="D18" i="239"/>
  <c r="H18" i="239"/>
  <c r="H72" i="239"/>
  <c r="E21" i="239"/>
  <c r="K10" i="115"/>
  <c r="G21" i="239"/>
  <c r="C22" i="239"/>
  <c r="D22" i="239"/>
  <c r="E22" i="239"/>
  <c r="F22" i="239"/>
  <c r="H22" i="239"/>
  <c r="E25" i="239"/>
  <c r="G25" i="239"/>
  <c r="K13" i="121"/>
  <c r="G26" i="239"/>
  <c r="I26" i="239"/>
  <c r="C27" i="239"/>
  <c r="C29" i="239"/>
  <c r="D27" i="239"/>
  <c r="D29" i="239"/>
  <c r="D73" i="239"/>
  <c r="F27" i="239"/>
  <c r="H27" i="239"/>
  <c r="H29" i="239"/>
  <c r="F28" i="239"/>
  <c r="G12" i="131"/>
  <c r="G28" i="239"/>
  <c r="G13" i="131"/>
  <c r="I32" i="239"/>
  <c r="C33" i="239"/>
  <c r="E33" i="239"/>
  <c r="I34" i="239"/>
  <c r="E35" i="239"/>
  <c r="I35" i="239"/>
  <c r="E36" i="239"/>
  <c r="I36" i="239"/>
  <c r="I37" i="239"/>
  <c r="I38" i="239"/>
  <c r="I39" i="239"/>
  <c r="D40" i="239"/>
  <c r="F40" i="239"/>
  <c r="G40" i="239"/>
  <c r="H40" i="239"/>
  <c r="E43" i="239"/>
  <c r="E51" i="239"/>
  <c r="E44" i="239"/>
  <c r="I44" i="239"/>
  <c r="I45" i="239"/>
  <c r="I46" i="239"/>
  <c r="E47" i="239"/>
  <c r="I47" i="239"/>
  <c r="E48" i="239"/>
  <c r="I48" i="239"/>
  <c r="E49" i="239"/>
  <c r="I49" i="239"/>
  <c r="E50" i="239"/>
  <c r="I50" i="239"/>
  <c r="C51" i="239"/>
  <c r="D51" i="239"/>
  <c r="F51" i="239"/>
  <c r="G51" i="239"/>
  <c r="H51" i="239"/>
  <c r="I53" i="239"/>
  <c r="I54" i="239"/>
  <c r="C54" i="239"/>
  <c r="D54" i="239"/>
  <c r="E54" i="239"/>
  <c r="F54" i="239"/>
  <c r="G54" i="239"/>
  <c r="H54" i="239"/>
  <c r="I58" i="239"/>
  <c r="I59" i="239"/>
  <c r="C59" i="239"/>
  <c r="D59" i="239"/>
  <c r="E59" i="239"/>
  <c r="F59" i="239"/>
  <c r="G59" i="239"/>
  <c r="H59" i="239"/>
  <c r="D61" i="239"/>
  <c r="F61" i="239"/>
  <c r="G61" i="239"/>
  <c r="C62" i="239"/>
  <c r="D62" i="239"/>
  <c r="E62" i="239"/>
  <c r="F62" i="239"/>
  <c r="G62" i="239"/>
  <c r="D63" i="239"/>
  <c r="F63" i="239"/>
  <c r="G63" i="239"/>
  <c r="D64" i="239"/>
  <c r="F64" i="239"/>
  <c r="G64" i="239"/>
  <c r="D65" i="239"/>
  <c r="E65" i="239"/>
  <c r="I65" i="239"/>
  <c r="F65" i="239"/>
  <c r="G65" i="239"/>
  <c r="D66" i="239"/>
  <c r="E66" i="239"/>
  <c r="I66" i="239"/>
  <c r="F66" i="239"/>
  <c r="G66" i="239"/>
  <c r="C67" i="239"/>
  <c r="D67" i="239"/>
  <c r="E67" i="239"/>
  <c r="I67" i="239"/>
  <c r="F67" i="239"/>
  <c r="G67" i="239"/>
  <c r="C68" i="239"/>
  <c r="D68" i="239"/>
  <c r="E68" i="239"/>
  <c r="F68" i="239"/>
  <c r="G68" i="239"/>
  <c r="C69" i="239"/>
  <c r="D69" i="239"/>
  <c r="E69" i="239"/>
  <c r="F69" i="239"/>
  <c r="G69" i="239"/>
  <c r="H69" i="239"/>
  <c r="H70" i="239"/>
  <c r="F12" i="169"/>
  <c r="I12" i="169"/>
  <c r="F13" i="169"/>
  <c r="I13" i="169"/>
  <c r="I14" i="169"/>
  <c r="E15" i="169"/>
  <c r="E17" i="169"/>
  <c r="F15" i="169"/>
  <c r="G15" i="169"/>
  <c r="F16" i="169"/>
  <c r="H16" i="169"/>
  <c r="H17" i="169"/>
  <c r="H60" i="169"/>
  <c r="C17" i="169"/>
  <c r="D17" i="169"/>
  <c r="G17" i="169"/>
  <c r="G60" i="169"/>
  <c r="I20" i="169"/>
  <c r="C21" i="169"/>
  <c r="D21" i="169"/>
  <c r="E21" i="169"/>
  <c r="E28" i="169"/>
  <c r="F21" i="169"/>
  <c r="G21" i="169"/>
  <c r="H21" i="169"/>
  <c r="I21" i="169"/>
  <c r="I24" i="169"/>
  <c r="I25" i="169"/>
  <c r="C26" i="169"/>
  <c r="C28" i="169"/>
  <c r="C61" i="169"/>
  <c r="D26" i="169"/>
  <c r="D28" i="169"/>
  <c r="D61" i="169"/>
  <c r="E26" i="169"/>
  <c r="F26" i="169"/>
  <c r="G26" i="169"/>
  <c r="H26" i="169"/>
  <c r="H28" i="169"/>
  <c r="H61" i="169"/>
  <c r="I27" i="169"/>
  <c r="E31" i="169"/>
  <c r="I31" i="169"/>
  <c r="I35" i="169"/>
  <c r="E32" i="169"/>
  <c r="I32" i="169"/>
  <c r="E33" i="169"/>
  <c r="I33" i="169"/>
  <c r="E34" i="169"/>
  <c r="I34" i="169"/>
  <c r="C35" i="169"/>
  <c r="D35" i="169"/>
  <c r="D60" i="169"/>
  <c r="F35" i="169"/>
  <c r="G35" i="169"/>
  <c r="H35" i="169"/>
  <c r="E38" i="169"/>
  <c r="E43" i="169"/>
  <c r="E39" i="169"/>
  <c r="E40" i="169"/>
  <c r="I40" i="169"/>
  <c r="E41" i="169"/>
  <c r="I41" i="169"/>
  <c r="E42" i="169"/>
  <c r="C43" i="169"/>
  <c r="D43" i="169"/>
  <c r="F43" i="169"/>
  <c r="G43" i="169"/>
  <c r="H43" i="169"/>
  <c r="E45" i="169"/>
  <c r="I45" i="169"/>
  <c r="I46" i="169"/>
  <c r="C46" i="169"/>
  <c r="D46" i="169"/>
  <c r="F46" i="169"/>
  <c r="G46" i="169"/>
  <c r="H46" i="169"/>
  <c r="E50" i="169"/>
  <c r="E51" i="169"/>
  <c r="I51" i="169"/>
  <c r="E52" i="169"/>
  <c r="I52" i="169"/>
  <c r="E53" i="169"/>
  <c r="I53" i="169"/>
  <c r="E54" i="169"/>
  <c r="I54" i="169"/>
  <c r="E55" i="169"/>
  <c r="I55" i="169"/>
  <c r="E56" i="169"/>
  <c r="I56" i="169"/>
  <c r="H57" i="169"/>
  <c r="H58" i="169"/>
  <c r="H62" i="169"/>
  <c r="H63" i="169"/>
  <c r="B39" i="170"/>
  <c r="D58" i="169"/>
  <c r="F58" i="169"/>
  <c r="G58" i="169"/>
  <c r="C60" i="169"/>
  <c r="F62" i="169"/>
  <c r="I7" i="145"/>
  <c r="I9" i="145"/>
  <c r="I13" i="145"/>
  <c r="O7" i="145"/>
  <c r="I8" i="145"/>
  <c r="C9" i="145"/>
  <c r="D9" i="145"/>
  <c r="D13" i="145"/>
  <c r="D37" i="145"/>
  <c r="E9" i="145"/>
  <c r="F9" i="145"/>
  <c r="G9" i="145"/>
  <c r="H9" i="145"/>
  <c r="H13" i="145"/>
  <c r="H37" i="145"/>
  <c r="I10" i="145"/>
  <c r="O10" i="145"/>
  <c r="I11" i="145"/>
  <c r="O11" i="145"/>
  <c r="I12" i="145"/>
  <c r="C13" i="145"/>
  <c r="C37" i="145"/>
  <c r="E13" i="145"/>
  <c r="F13" i="145"/>
  <c r="G13" i="145"/>
  <c r="G37" i="145"/>
  <c r="I16" i="145"/>
  <c r="O16" i="145"/>
  <c r="C17" i="145"/>
  <c r="D17" i="145"/>
  <c r="D24" i="145"/>
  <c r="E17" i="145"/>
  <c r="F17" i="145"/>
  <c r="G17" i="145"/>
  <c r="H17" i="145"/>
  <c r="H24" i="145"/>
  <c r="H38" i="145"/>
  <c r="I17" i="145"/>
  <c r="I20" i="145"/>
  <c r="O20" i="145"/>
  <c r="I21" i="145"/>
  <c r="C22" i="145"/>
  <c r="D22" i="145"/>
  <c r="E22" i="145"/>
  <c r="E24" i="145"/>
  <c r="F22" i="145"/>
  <c r="G22" i="145"/>
  <c r="H22" i="145"/>
  <c r="I23" i="145"/>
  <c r="O23" i="145"/>
  <c r="I28" i="145"/>
  <c r="I29" i="145"/>
  <c r="I32" i="145"/>
  <c r="I33" i="145"/>
  <c r="D34" i="145"/>
  <c r="F34" i="145"/>
  <c r="G34" i="145"/>
  <c r="H34" i="145"/>
  <c r="F37" i="145"/>
  <c r="D38" i="145"/>
  <c r="D39" i="145"/>
  <c r="F39" i="145"/>
  <c r="G39" i="145"/>
  <c r="H39" i="145"/>
  <c r="I7" i="95"/>
  <c r="I11" i="95"/>
  <c r="I8" i="95"/>
  <c r="I9" i="95"/>
  <c r="I10" i="95"/>
  <c r="C11" i="95"/>
  <c r="C47" i="95"/>
  <c r="D11" i="95"/>
  <c r="E11" i="95"/>
  <c r="F11" i="95"/>
  <c r="G11" i="95"/>
  <c r="G47" i="95"/>
  <c r="H11" i="95"/>
  <c r="I14" i="95"/>
  <c r="I15" i="95"/>
  <c r="C15" i="95"/>
  <c r="D15" i="95"/>
  <c r="E15" i="95"/>
  <c r="F15" i="95"/>
  <c r="G15" i="95"/>
  <c r="G22" i="95"/>
  <c r="G48" i="95"/>
  <c r="H15" i="95"/>
  <c r="I18" i="95"/>
  <c r="I19" i="95"/>
  <c r="I20" i="95"/>
  <c r="C20" i="95"/>
  <c r="D20" i="95"/>
  <c r="E20" i="95"/>
  <c r="F20" i="95"/>
  <c r="G20" i="95"/>
  <c r="H20" i="95"/>
  <c r="I21" i="95"/>
  <c r="F22" i="95"/>
  <c r="I26" i="95"/>
  <c r="C28" i="95"/>
  <c r="D28" i="95"/>
  <c r="F28" i="95"/>
  <c r="G28" i="95"/>
  <c r="H28" i="95"/>
  <c r="I30" i="95"/>
  <c r="I31" i="95"/>
  <c r="I32" i="95"/>
  <c r="C33" i="95"/>
  <c r="D33" i="95"/>
  <c r="F33" i="95"/>
  <c r="G33" i="95"/>
  <c r="H33" i="95"/>
  <c r="I35" i="95"/>
  <c r="I36" i="95"/>
  <c r="C36" i="95"/>
  <c r="D36" i="95"/>
  <c r="F36" i="95"/>
  <c r="G36" i="95"/>
  <c r="H36" i="95"/>
  <c r="I38" i="95"/>
  <c r="I39" i="95"/>
  <c r="I41" i="95"/>
  <c r="I42" i="95"/>
  <c r="I43" i="95"/>
  <c r="I44" i="95"/>
  <c r="C45" i="95"/>
  <c r="D45" i="95"/>
  <c r="F45" i="95"/>
  <c r="G45" i="95"/>
  <c r="H45" i="95"/>
  <c r="C49" i="95"/>
  <c r="D49" i="95"/>
  <c r="F49" i="95"/>
  <c r="G49" i="95"/>
  <c r="H49" i="95"/>
  <c r="E12" i="167"/>
  <c r="F12" i="167"/>
  <c r="G12" i="167"/>
  <c r="E13" i="167"/>
  <c r="F13" i="167"/>
  <c r="G13" i="167"/>
  <c r="D14" i="167"/>
  <c r="L11" i="83"/>
  <c r="E14" i="167"/>
  <c r="F14" i="167"/>
  <c r="G14" i="167"/>
  <c r="I14" i="167"/>
  <c r="E15" i="167"/>
  <c r="L10" i="82"/>
  <c r="F15" i="167"/>
  <c r="L12" i="82"/>
  <c r="G15" i="167"/>
  <c r="L13" i="82"/>
  <c r="I15" i="167"/>
  <c r="I16" i="167"/>
  <c r="I17" i="167"/>
  <c r="C18" i="167"/>
  <c r="D18" i="167"/>
  <c r="E18" i="167"/>
  <c r="H18" i="167"/>
  <c r="H72" i="167"/>
  <c r="E21" i="167"/>
  <c r="I21" i="167"/>
  <c r="I22" i="167"/>
  <c r="F21" i="167"/>
  <c r="J12" i="115"/>
  <c r="C22" i="167"/>
  <c r="D22" i="167"/>
  <c r="F22" i="167"/>
  <c r="G22" i="167"/>
  <c r="H22" i="167"/>
  <c r="E25" i="167"/>
  <c r="F25" i="167"/>
  <c r="F26" i="167"/>
  <c r="J12" i="124"/>
  <c r="C27" i="167"/>
  <c r="D27" i="167"/>
  <c r="G27" i="167"/>
  <c r="H27" i="167"/>
  <c r="I28" i="167"/>
  <c r="I32" i="167"/>
  <c r="E33" i="167"/>
  <c r="I33" i="167"/>
  <c r="I34" i="167"/>
  <c r="E35" i="167"/>
  <c r="I35" i="167"/>
  <c r="E36" i="167"/>
  <c r="I36" i="167"/>
  <c r="I37" i="167"/>
  <c r="I38" i="167"/>
  <c r="I39" i="167"/>
  <c r="C40" i="167"/>
  <c r="D40" i="167"/>
  <c r="E40" i="167"/>
  <c r="F40" i="167"/>
  <c r="G40" i="167"/>
  <c r="H40" i="167"/>
  <c r="I43" i="167"/>
  <c r="I44" i="167"/>
  <c r="I45" i="167"/>
  <c r="I46" i="167"/>
  <c r="I47" i="167"/>
  <c r="I48" i="167"/>
  <c r="I49" i="167"/>
  <c r="I50" i="167"/>
  <c r="C51" i="167"/>
  <c r="D51" i="167"/>
  <c r="E51" i="167"/>
  <c r="F51" i="167"/>
  <c r="G51" i="167"/>
  <c r="H51" i="167"/>
  <c r="I53" i="167"/>
  <c r="I54" i="167"/>
  <c r="C54" i="167"/>
  <c r="D54" i="167"/>
  <c r="E54" i="167"/>
  <c r="F54" i="167"/>
  <c r="G54" i="167"/>
  <c r="H54" i="167"/>
  <c r="I58" i="167"/>
  <c r="I59" i="167"/>
  <c r="C59" i="167"/>
  <c r="D59" i="167"/>
  <c r="E59" i="167"/>
  <c r="F59" i="167"/>
  <c r="G59" i="167"/>
  <c r="H59" i="167"/>
  <c r="D61" i="167"/>
  <c r="E61" i="167"/>
  <c r="E70" i="167"/>
  <c r="E75" i="167"/>
  <c r="B36" i="168"/>
  <c r="F61" i="167"/>
  <c r="G61" i="167"/>
  <c r="C62" i="167"/>
  <c r="C73" i="167"/>
  <c r="D62" i="167"/>
  <c r="D72" i="167"/>
  <c r="E62" i="167"/>
  <c r="E72" i="167"/>
  <c r="F62" i="167"/>
  <c r="G62" i="167"/>
  <c r="D63" i="167"/>
  <c r="I63" i="167"/>
  <c r="E63" i="167"/>
  <c r="F63" i="167"/>
  <c r="G63" i="167"/>
  <c r="C64" i="167"/>
  <c r="D64" i="167"/>
  <c r="F64" i="167"/>
  <c r="G64" i="167"/>
  <c r="D65" i="167"/>
  <c r="E65" i="167"/>
  <c r="F65" i="167"/>
  <c r="G65" i="167"/>
  <c r="D66" i="167"/>
  <c r="E66" i="167"/>
  <c r="F66" i="167"/>
  <c r="G66" i="167"/>
  <c r="C67" i="167"/>
  <c r="D67" i="167"/>
  <c r="E67" i="167"/>
  <c r="F67" i="167"/>
  <c r="G67" i="167"/>
  <c r="C68" i="167"/>
  <c r="D68" i="167"/>
  <c r="E68" i="167"/>
  <c r="F68" i="167"/>
  <c r="G68" i="167"/>
  <c r="C69" i="167"/>
  <c r="D69" i="167"/>
  <c r="E69" i="167"/>
  <c r="F69" i="167"/>
  <c r="G69" i="167"/>
  <c r="H69" i="167"/>
  <c r="I69" i="167"/>
  <c r="W6" i="238"/>
  <c r="X6" i="238"/>
  <c r="C7" i="238"/>
  <c r="E7" i="238"/>
  <c r="F7" i="238"/>
  <c r="N26" i="82"/>
  <c r="G7" i="238"/>
  <c r="H7" i="238"/>
  <c r="K7" i="238"/>
  <c r="N28" i="82"/>
  <c r="M7" i="238"/>
  <c r="N7" i="238"/>
  <c r="O7" i="238"/>
  <c r="O9" i="238"/>
  <c r="C8" i="238"/>
  <c r="Y8" i="238"/>
  <c r="N26" i="86"/>
  <c r="X8" i="238"/>
  <c r="W8" i="238"/>
  <c r="F9" i="238"/>
  <c r="G9" i="238"/>
  <c r="S9" i="238"/>
  <c r="T9" i="238"/>
  <c r="R10" i="238"/>
  <c r="W10" i="238"/>
  <c r="X10" i="238"/>
  <c r="C11" i="238"/>
  <c r="I11" i="238"/>
  <c r="E11" i="238"/>
  <c r="F11" i="238"/>
  <c r="G11" i="238"/>
  <c r="J11" i="238"/>
  <c r="K11" i="238"/>
  <c r="M11" i="238"/>
  <c r="N11" i="238"/>
  <c r="O11" i="238"/>
  <c r="O13" i="238"/>
  <c r="S13" i="238"/>
  <c r="S28" i="238"/>
  <c r="T13" i="238"/>
  <c r="V63" i="238"/>
  <c r="C12" i="238"/>
  <c r="D12" i="238"/>
  <c r="X12" i="238"/>
  <c r="P12" i="238"/>
  <c r="E13" i="238"/>
  <c r="M13" i="238"/>
  <c r="R14" i="238"/>
  <c r="W14" i="238"/>
  <c r="X14" i="238"/>
  <c r="C15" i="238"/>
  <c r="P15" i="238"/>
  <c r="E15" i="238"/>
  <c r="F15" i="238"/>
  <c r="G15" i="238"/>
  <c r="K15" i="238"/>
  <c r="M15" i="238"/>
  <c r="W15" i="238"/>
  <c r="N15" i="238"/>
  <c r="O15" i="238"/>
  <c r="X15" i="238"/>
  <c r="C16" i="238"/>
  <c r="I16" i="238"/>
  <c r="W16" i="238"/>
  <c r="F17" i="238"/>
  <c r="N17" i="238"/>
  <c r="S17" i="238"/>
  <c r="T17" i="238"/>
  <c r="U17" i="238"/>
  <c r="V17" i="238"/>
  <c r="C18" i="238"/>
  <c r="Q18" i="238"/>
  <c r="E18" i="238"/>
  <c r="F18" i="238"/>
  <c r="G18" i="238"/>
  <c r="K18" i="238"/>
  <c r="K20" i="238"/>
  <c r="L19" i="238"/>
  <c r="M18" i="238"/>
  <c r="N18" i="238"/>
  <c r="O18" i="238"/>
  <c r="X18" i="238"/>
  <c r="C19" i="238"/>
  <c r="Q19" i="238"/>
  <c r="F28" i="253"/>
  <c r="O20" i="238"/>
  <c r="E20" i="238"/>
  <c r="S20" i="238"/>
  <c r="T20" i="238"/>
  <c r="U20" i="238"/>
  <c r="V20" i="238"/>
  <c r="C21" i="238"/>
  <c r="P21" i="238"/>
  <c r="E21" i="238"/>
  <c r="F21" i="238"/>
  <c r="G21" i="238"/>
  <c r="K21" i="238"/>
  <c r="M21" i="238"/>
  <c r="K20" i="109"/>
  <c r="H46" i="109"/>
  <c r="N21" i="238"/>
  <c r="O21" i="238"/>
  <c r="C22" i="238"/>
  <c r="R22" i="238"/>
  <c r="K28" i="110"/>
  <c r="B59" i="110"/>
  <c r="X22" i="238"/>
  <c r="E23" i="238"/>
  <c r="S23" i="238"/>
  <c r="T23" i="238"/>
  <c r="R24" i="238"/>
  <c r="W24" i="238"/>
  <c r="X24" i="238"/>
  <c r="I25" i="238"/>
  <c r="J25" i="238"/>
  <c r="P25" i="238"/>
  <c r="Q25" i="238"/>
  <c r="R25" i="238"/>
  <c r="W25" i="238"/>
  <c r="Y25" i="238"/>
  <c r="X25" i="238"/>
  <c r="Z25" i="238"/>
  <c r="C26" i="238"/>
  <c r="C27" i="238"/>
  <c r="J26" i="238"/>
  <c r="W26" i="238"/>
  <c r="X26" i="238"/>
  <c r="E27" i="238"/>
  <c r="F27" i="238"/>
  <c r="G27" i="238"/>
  <c r="J27" i="238"/>
  <c r="K27" i="238"/>
  <c r="M27" i="238"/>
  <c r="N27" i="238"/>
  <c r="O27" i="238"/>
  <c r="S27" i="238"/>
  <c r="T27" i="238"/>
  <c r="U27" i="238"/>
  <c r="V27" i="238"/>
  <c r="C32" i="238"/>
  <c r="D32" i="238"/>
  <c r="E32" i="238"/>
  <c r="F32" i="238"/>
  <c r="G32" i="238"/>
  <c r="K32" i="238"/>
  <c r="L28" i="115"/>
  <c r="B61" i="115"/>
  <c r="M32" i="238"/>
  <c r="N32" i="238"/>
  <c r="O32" i="238"/>
  <c r="W32" i="238"/>
  <c r="C33" i="238"/>
  <c r="I33" i="238"/>
  <c r="L28" i="116"/>
  <c r="B61" i="116"/>
  <c r="X33" i="238"/>
  <c r="K34" i="238"/>
  <c r="S34" i="238"/>
  <c r="T34" i="238"/>
  <c r="U34" i="238"/>
  <c r="V34" i="238"/>
  <c r="C37" i="238"/>
  <c r="E37" i="238"/>
  <c r="F37" i="238"/>
  <c r="L26" i="121"/>
  <c r="G37" i="238"/>
  <c r="K37" i="238"/>
  <c r="M37" i="238"/>
  <c r="N37" i="238"/>
  <c r="X37" i="238"/>
  <c r="O37" i="238"/>
  <c r="C38" i="238"/>
  <c r="I38" i="238"/>
  <c r="L28" i="122"/>
  <c r="B61" i="122"/>
  <c r="R38" i="238"/>
  <c r="F39" i="238"/>
  <c r="G39" i="238"/>
  <c r="S39" i="238"/>
  <c r="S48" i="238"/>
  <c r="T39" i="238"/>
  <c r="T48" i="238"/>
  <c r="U39" i="238"/>
  <c r="V39" i="238"/>
  <c r="R40" i="238"/>
  <c r="W40" i="238"/>
  <c r="X40" i="238"/>
  <c r="C41" i="238"/>
  <c r="I41" i="238"/>
  <c r="E41" i="238"/>
  <c r="F41" i="238"/>
  <c r="L26" i="124"/>
  <c r="G41" i="238"/>
  <c r="K41" i="238"/>
  <c r="M41" i="238"/>
  <c r="L20" i="124"/>
  <c r="H46" i="124"/>
  <c r="N41" i="238"/>
  <c r="O41" i="238"/>
  <c r="P41" i="238"/>
  <c r="X41" i="238"/>
  <c r="C42" i="238"/>
  <c r="L28" i="125"/>
  <c r="B61" i="125"/>
  <c r="L20" i="125"/>
  <c r="H47" i="125"/>
  <c r="X42" i="238"/>
  <c r="F43" i="238"/>
  <c r="G43" i="238"/>
  <c r="M43" i="238"/>
  <c r="N43" i="238"/>
  <c r="X43" i="238"/>
  <c r="S43" i="238"/>
  <c r="T43" i="238"/>
  <c r="R44" i="238"/>
  <c r="W44" i="238"/>
  <c r="X44" i="238"/>
  <c r="C45" i="238"/>
  <c r="D45" i="238"/>
  <c r="D47" i="238"/>
  <c r="E45" i="238"/>
  <c r="F45" i="238"/>
  <c r="H26" i="131"/>
  <c r="G45" i="238"/>
  <c r="G47" i="238"/>
  <c r="K45" i="238"/>
  <c r="H28" i="131"/>
  <c r="B53" i="131"/>
  <c r="M45" i="238"/>
  <c r="H20" i="131"/>
  <c r="G43" i="131"/>
  <c r="N45" i="238"/>
  <c r="O45" i="238"/>
  <c r="C46" i="238"/>
  <c r="R46" i="238"/>
  <c r="J46" i="238"/>
  <c r="H28" i="132"/>
  <c r="B53" i="132"/>
  <c r="H20" i="132"/>
  <c r="G43" i="132"/>
  <c r="E47" i="238"/>
  <c r="J47" i="238"/>
  <c r="F47" i="238"/>
  <c r="K47" i="238"/>
  <c r="S47" i="238"/>
  <c r="T47" i="238"/>
  <c r="U47" i="238"/>
  <c r="V47" i="238"/>
  <c r="C52" i="238"/>
  <c r="C54" i="238"/>
  <c r="C53" i="238"/>
  <c r="C56" i="238"/>
  <c r="C58" i="238"/>
  <c r="C57" i="238"/>
  <c r="C62" i="238"/>
  <c r="D62" i="238"/>
  <c r="E62" i="238"/>
  <c r="F62" i="238"/>
  <c r="G62" i="238"/>
  <c r="G74" i="238"/>
  <c r="M62" i="238"/>
  <c r="N62" i="238"/>
  <c r="O62" i="238"/>
  <c r="Q62" i="238"/>
  <c r="R62" i="238"/>
  <c r="S63" i="238"/>
  <c r="S65" i="238"/>
  <c r="T63" i="238"/>
  <c r="T65" i="238"/>
  <c r="S64" i="238"/>
  <c r="T64" i="238"/>
  <c r="U64" i="238"/>
  <c r="U76" i="238"/>
  <c r="V64" i="238"/>
  <c r="V76" i="238"/>
  <c r="C66" i="238"/>
  <c r="D66" i="238"/>
  <c r="E66" i="238"/>
  <c r="F66" i="238"/>
  <c r="G66" i="238"/>
  <c r="K66" i="238"/>
  <c r="K74" i="238"/>
  <c r="M66" i="238"/>
  <c r="W66" i="238"/>
  <c r="N66" i="238"/>
  <c r="O66" i="238"/>
  <c r="P66" i="238"/>
  <c r="Q66" i="238"/>
  <c r="X66" i="238"/>
  <c r="S67" i="238"/>
  <c r="S69" i="238"/>
  <c r="T67" i="238"/>
  <c r="S68" i="238"/>
  <c r="T68" i="238"/>
  <c r="T76" i="238"/>
  <c r="C70" i="238"/>
  <c r="W70" i="238"/>
  <c r="X70" i="238"/>
  <c r="W71" i="238"/>
  <c r="X71" i="238"/>
  <c r="W72" i="238"/>
  <c r="X72" i="238"/>
  <c r="D73" i="238"/>
  <c r="E73" i="238"/>
  <c r="F73" i="238"/>
  <c r="G73" i="238"/>
  <c r="K73" i="238"/>
  <c r="M73" i="238"/>
  <c r="W73" i="238"/>
  <c r="N73" i="238"/>
  <c r="O73" i="238"/>
  <c r="X73" i="238"/>
  <c r="C74" i="238"/>
  <c r="H66" i="238"/>
  <c r="O74" i="238"/>
  <c r="S76" i="238"/>
  <c r="W6" i="290"/>
  <c r="X6" i="290"/>
  <c r="C7" i="290"/>
  <c r="I7" i="290"/>
  <c r="K9" i="290"/>
  <c r="C8" i="290"/>
  <c r="X8" i="290"/>
  <c r="C9" i="290"/>
  <c r="S9" i="290"/>
  <c r="T9" i="290"/>
  <c r="R10" i="290"/>
  <c r="W10" i="290"/>
  <c r="X10" i="290"/>
  <c r="C11" i="290"/>
  <c r="P11" i="290"/>
  <c r="E13" i="290"/>
  <c r="U63" i="290"/>
  <c r="U13" i="290"/>
  <c r="U28" i="290"/>
  <c r="AB11" i="290"/>
  <c r="AC11" i="290"/>
  <c r="C12" i="290"/>
  <c r="S13" i="290"/>
  <c r="V13" i="290"/>
  <c r="R14" i="290"/>
  <c r="W14" i="290"/>
  <c r="X14" i="290"/>
  <c r="C15" i="290"/>
  <c r="W15" i="290"/>
  <c r="P15" i="290"/>
  <c r="C16" i="290"/>
  <c r="I16" i="290"/>
  <c r="X16" i="290"/>
  <c r="Z16" i="290"/>
  <c r="R16" i="290"/>
  <c r="Q16" i="290"/>
  <c r="F17" i="290"/>
  <c r="S17" i="290"/>
  <c r="T17" i="290"/>
  <c r="U17" i="290"/>
  <c r="U23" i="290"/>
  <c r="V17" i="290"/>
  <c r="C18" i="290"/>
  <c r="G20" i="290"/>
  <c r="L19" i="290"/>
  <c r="W18" i="290"/>
  <c r="O19" i="290"/>
  <c r="C19" i="290"/>
  <c r="K20" i="290"/>
  <c r="W19" i="290"/>
  <c r="X19" i="290"/>
  <c r="S20" i="290"/>
  <c r="T20" i="290"/>
  <c r="U20" i="290"/>
  <c r="V20" i="290"/>
  <c r="C21" i="290"/>
  <c r="K23" i="290"/>
  <c r="P21" i="290"/>
  <c r="X21" i="290"/>
  <c r="C22" i="290"/>
  <c r="D22" i="290"/>
  <c r="I22" i="290"/>
  <c r="W22" i="290"/>
  <c r="Y22" i="290"/>
  <c r="R22" i="290"/>
  <c r="E23" i="290"/>
  <c r="R24" i="290"/>
  <c r="W24" i="290"/>
  <c r="X24" i="290"/>
  <c r="I25" i="290"/>
  <c r="J25" i="290"/>
  <c r="P25" i="290"/>
  <c r="Q25" i="290"/>
  <c r="R25" i="290"/>
  <c r="W25" i="290"/>
  <c r="Y25" i="290"/>
  <c r="X25" i="290"/>
  <c r="Z25" i="290"/>
  <c r="C26" i="290"/>
  <c r="J26" i="290"/>
  <c r="R26" i="290"/>
  <c r="W26" i="290"/>
  <c r="X26" i="290"/>
  <c r="Z26" i="290"/>
  <c r="E27" i="290"/>
  <c r="F27" i="290"/>
  <c r="G27" i="290"/>
  <c r="J27" i="290"/>
  <c r="K27" i="290"/>
  <c r="M27" i="290"/>
  <c r="N27" i="290"/>
  <c r="O27" i="290"/>
  <c r="S27" i="290"/>
  <c r="T27" i="290"/>
  <c r="U27" i="290"/>
  <c r="W27" i="290"/>
  <c r="V27" i="290"/>
  <c r="C32" i="290"/>
  <c r="I32" i="290"/>
  <c r="K34" i="290"/>
  <c r="X32" i="290"/>
  <c r="Z32" i="290"/>
  <c r="C33" i="290"/>
  <c r="I33" i="290"/>
  <c r="C34" i="290"/>
  <c r="F34" i="290"/>
  <c r="I34" i="290"/>
  <c r="S34" i="290"/>
  <c r="T34" i="290"/>
  <c r="U34" i="290"/>
  <c r="V34" i="290"/>
  <c r="C37" i="290"/>
  <c r="F39" i="290"/>
  <c r="W37" i="290"/>
  <c r="X37" i="290"/>
  <c r="C38" i="290"/>
  <c r="I38" i="290"/>
  <c r="X38" i="290"/>
  <c r="Z38" i="290"/>
  <c r="R38" i="290"/>
  <c r="S39" i="290"/>
  <c r="T39" i="290"/>
  <c r="U39" i="290"/>
  <c r="V39" i="290"/>
  <c r="R40" i="290"/>
  <c r="W40" i="290"/>
  <c r="X40" i="290"/>
  <c r="C41" i="290"/>
  <c r="E41" i="290"/>
  <c r="F43" i="290"/>
  <c r="X41" i="290"/>
  <c r="C42" i="290"/>
  <c r="W42" i="290"/>
  <c r="C43" i="290"/>
  <c r="E43" i="290"/>
  <c r="S43" i="290"/>
  <c r="T43" i="290"/>
  <c r="R44" i="290"/>
  <c r="W44" i="290"/>
  <c r="X44" i="290"/>
  <c r="C45" i="290"/>
  <c r="P45" i="290"/>
  <c r="X45" i="290"/>
  <c r="W45" i="290"/>
  <c r="C46" i="290"/>
  <c r="W46" i="290"/>
  <c r="X46" i="290"/>
  <c r="C47" i="290"/>
  <c r="M47" i="290"/>
  <c r="P47" i="290"/>
  <c r="N47" i="290"/>
  <c r="S47" i="290"/>
  <c r="T47" i="290"/>
  <c r="U47" i="290"/>
  <c r="V47" i="290"/>
  <c r="C52" i="290"/>
  <c r="C54" i="290"/>
  <c r="C53" i="290"/>
  <c r="C72" i="290"/>
  <c r="C56" i="290"/>
  <c r="C57" i="290"/>
  <c r="C58" i="290"/>
  <c r="C62" i="290"/>
  <c r="Q62" i="290"/>
  <c r="D62" i="290"/>
  <c r="E62" i="290"/>
  <c r="E74" i="290"/>
  <c r="F62" i="290"/>
  <c r="F74" i="290"/>
  <c r="G62" i="290"/>
  <c r="M62" i="290"/>
  <c r="N62" i="290"/>
  <c r="O62" i="290"/>
  <c r="P62" i="290"/>
  <c r="S63" i="290"/>
  <c r="V63" i="290"/>
  <c r="S64" i="290"/>
  <c r="S76" i="290"/>
  <c r="T64" i="290"/>
  <c r="U64" i="290"/>
  <c r="U76" i="290"/>
  <c r="V64" i="290"/>
  <c r="C66" i="290"/>
  <c r="D66" i="290"/>
  <c r="E66" i="290"/>
  <c r="F66" i="290"/>
  <c r="G66" i="290"/>
  <c r="K66" i="290"/>
  <c r="M66" i="290"/>
  <c r="N66" i="290"/>
  <c r="X66" i="290"/>
  <c r="O66" i="290"/>
  <c r="W66" i="290"/>
  <c r="S67" i="290"/>
  <c r="T67" i="290"/>
  <c r="F68" i="290"/>
  <c r="S68" i="290"/>
  <c r="T68" i="290"/>
  <c r="C70" i="290"/>
  <c r="W70" i="290"/>
  <c r="X70" i="290"/>
  <c r="W71" i="290"/>
  <c r="X71" i="290"/>
  <c r="W72" i="290"/>
  <c r="X72" i="290"/>
  <c r="D73" i="290"/>
  <c r="E73" i="290"/>
  <c r="F73" i="290"/>
  <c r="G73" i="290"/>
  <c r="K73" i="290"/>
  <c r="M73" i="290"/>
  <c r="W73" i="290"/>
  <c r="N73" i="290"/>
  <c r="X73" i="290"/>
  <c r="O73" i="290"/>
  <c r="D74" i="290"/>
  <c r="G74" i="290"/>
  <c r="K74" i="290"/>
  <c r="V76" i="290"/>
  <c r="W6" i="237"/>
  <c r="X6" i="237"/>
  <c r="C7" i="237"/>
  <c r="C9" i="237"/>
  <c r="I9" i="237"/>
  <c r="J7" i="237"/>
  <c r="M28" i="82"/>
  <c r="W7" i="237"/>
  <c r="C8" i="237"/>
  <c r="I8" i="237"/>
  <c r="M26" i="86"/>
  <c r="M9" i="237"/>
  <c r="X8" i="237"/>
  <c r="S9" i="237"/>
  <c r="T9" i="237"/>
  <c r="R10" i="237"/>
  <c r="W10" i="237"/>
  <c r="X10" i="237"/>
  <c r="C11" i="237"/>
  <c r="C13" i="237"/>
  <c r="P13" i="237"/>
  <c r="I11" i="237"/>
  <c r="U63" i="237"/>
  <c r="V13" i="237"/>
  <c r="C12" i="237"/>
  <c r="B45" i="249"/>
  <c r="M13" i="237"/>
  <c r="T64" i="237"/>
  <c r="T76" i="237"/>
  <c r="R14" i="237"/>
  <c r="W14" i="237"/>
  <c r="X14" i="237"/>
  <c r="C15" i="237"/>
  <c r="Q15" i="237"/>
  <c r="J15" i="237"/>
  <c r="K17" i="237"/>
  <c r="O17" i="237"/>
  <c r="W15" i="237"/>
  <c r="C16" i="237"/>
  <c r="W16" i="237"/>
  <c r="E17" i="237"/>
  <c r="S17" i="237"/>
  <c r="T17" i="237"/>
  <c r="U17" i="237"/>
  <c r="U23" i="237"/>
  <c r="V17" i="237"/>
  <c r="C18" i="237"/>
  <c r="C20" i="237"/>
  <c r="K20" i="237"/>
  <c r="W18" i="237"/>
  <c r="O20" i="237"/>
  <c r="C19" i="237"/>
  <c r="E26" i="253"/>
  <c r="E28" i="253"/>
  <c r="E20" i="253"/>
  <c r="S20" i="237"/>
  <c r="S23" i="237"/>
  <c r="T20" i="237"/>
  <c r="U20" i="237"/>
  <c r="V20" i="237"/>
  <c r="C21" i="237"/>
  <c r="C23" i="237"/>
  <c r="R23" i="237"/>
  <c r="J28" i="109"/>
  <c r="C22" i="237"/>
  <c r="X22" i="237"/>
  <c r="T23" i="237"/>
  <c r="R24" i="237"/>
  <c r="W24" i="237"/>
  <c r="X24" i="237"/>
  <c r="I25" i="237"/>
  <c r="J25" i="237"/>
  <c r="P25" i="237"/>
  <c r="Q25" i="237"/>
  <c r="R25" i="237"/>
  <c r="W25" i="237"/>
  <c r="Y25" i="237"/>
  <c r="X25" i="237"/>
  <c r="Z25" i="237"/>
  <c r="C26" i="237"/>
  <c r="C27" i="237"/>
  <c r="Y27" i="237"/>
  <c r="J26" i="237"/>
  <c r="W26" i="237"/>
  <c r="X26" i="237"/>
  <c r="E27" i="237"/>
  <c r="F27" i="237"/>
  <c r="G27" i="237"/>
  <c r="K27" i="237"/>
  <c r="M27" i="237"/>
  <c r="W27" i="237"/>
  <c r="N27" i="237"/>
  <c r="O27" i="237"/>
  <c r="S27" i="237"/>
  <c r="T27" i="237"/>
  <c r="U27" i="237"/>
  <c r="V27" i="237"/>
  <c r="C32" i="237"/>
  <c r="K26" i="115"/>
  <c r="X32" i="237"/>
  <c r="C33" i="237"/>
  <c r="F34" i="237"/>
  <c r="G68" i="237"/>
  <c r="K28" i="116"/>
  <c r="B60" i="116"/>
  <c r="S34" i="237"/>
  <c r="T34" i="237"/>
  <c r="U34" i="237"/>
  <c r="V34" i="237"/>
  <c r="C37" i="237"/>
  <c r="P37" i="237"/>
  <c r="E37" i="237"/>
  <c r="F37" i="237"/>
  <c r="G37" i="237"/>
  <c r="J37" i="237"/>
  <c r="K37" i="237"/>
  <c r="M37" i="237"/>
  <c r="K20" i="121"/>
  <c r="H46" i="121"/>
  <c r="N37" i="237"/>
  <c r="O37" i="237"/>
  <c r="W37" i="237"/>
  <c r="X37" i="237"/>
  <c r="C38" i="237"/>
  <c r="D38" i="237"/>
  <c r="E38" i="237"/>
  <c r="F38" i="237"/>
  <c r="K26" i="122"/>
  <c r="G38" i="237"/>
  <c r="J38" i="237"/>
  <c r="K38" i="237"/>
  <c r="K28" i="122"/>
  <c r="B60" i="122"/>
  <c r="M38" i="237"/>
  <c r="N38" i="237"/>
  <c r="X38" i="237"/>
  <c r="O38" i="237"/>
  <c r="E39" i="237"/>
  <c r="M39" i="237"/>
  <c r="S39" i="237"/>
  <c r="T39" i="237"/>
  <c r="U39" i="237"/>
  <c r="V39" i="237"/>
  <c r="R40" i="237"/>
  <c r="W40" i="237"/>
  <c r="X40" i="237"/>
  <c r="C41" i="237"/>
  <c r="C43" i="237"/>
  <c r="E41" i="237"/>
  <c r="F41" i="237"/>
  <c r="G41" i="237"/>
  <c r="K41" i="237"/>
  <c r="K28" i="124"/>
  <c r="B58" i="124"/>
  <c r="M41" i="237"/>
  <c r="K20" i="124"/>
  <c r="H45" i="124"/>
  <c r="N41" i="237"/>
  <c r="O41" i="237"/>
  <c r="W41" i="237"/>
  <c r="C42" i="237"/>
  <c r="P42" i="237"/>
  <c r="E42" i="237"/>
  <c r="F42" i="237"/>
  <c r="G42" i="237"/>
  <c r="J42" i="237"/>
  <c r="K42" i="237"/>
  <c r="K28" i="125"/>
  <c r="B60" i="125"/>
  <c r="M42" i="237"/>
  <c r="K20" i="125"/>
  <c r="H46" i="125"/>
  <c r="N42" i="237"/>
  <c r="O42" i="237"/>
  <c r="W42" i="237"/>
  <c r="E43" i="237"/>
  <c r="S43" i="237"/>
  <c r="T43" i="237"/>
  <c r="R44" i="237"/>
  <c r="W44" i="237"/>
  <c r="X44" i="237"/>
  <c r="C45" i="237"/>
  <c r="E45" i="237"/>
  <c r="F45" i="237"/>
  <c r="K45" i="237"/>
  <c r="G28" i="131"/>
  <c r="B52" i="131"/>
  <c r="O45" i="237"/>
  <c r="R45" i="237"/>
  <c r="C46" i="237"/>
  <c r="B58" i="249"/>
  <c r="E46" i="237"/>
  <c r="F46" i="237"/>
  <c r="G46" i="237"/>
  <c r="J46" i="237"/>
  <c r="K46" i="237"/>
  <c r="G28" i="132"/>
  <c r="B52" i="132"/>
  <c r="M46" i="237"/>
  <c r="G20" i="132"/>
  <c r="G42" i="132"/>
  <c r="N46" i="237"/>
  <c r="O46" i="237"/>
  <c r="W46" i="237"/>
  <c r="S47" i="237"/>
  <c r="T47" i="237"/>
  <c r="U47" i="237"/>
  <c r="V47" i="237"/>
  <c r="C52" i="237"/>
  <c r="C54" i="237"/>
  <c r="C53" i="237"/>
  <c r="C56" i="237"/>
  <c r="C58" i="237"/>
  <c r="C57" i="237"/>
  <c r="C62" i="237"/>
  <c r="D62" i="237"/>
  <c r="R62" i="237"/>
  <c r="E62" i="237"/>
  <c r="F62" i="237"/>
  <c r="G62" i="237"/>
  <c r="M62" i="237"/>
  <c r="P62" i="237"/>
  <c r="N62" i="237"/>
  <c r="O62" i="237"/>
  <c r="W62" i="237"/>
  <c r="S63" i="237"/>
  <c r="S75" i="237"/>
  <c r="U64" i="237"/>
  <c r="U76" i="237"/>
  <c r="V64" i="237"/>
  <c r="C66" i="237"/>
  <c r="D66" i="237"/>
  <c r="E66" i="237"/>
  <c r="F66" i="237"/>
  <c r="G66" i="237"/>
  <c r="G74" i="237"/>
  <c r="M66" i="237"/>
  <c r="W66" i="237"/>
  <c r="N66" i="237"/>
  <c r="O66" i="237"/>
  <c r="R66" i="237"/>
  <c r="S67" i="237"/>
  <c r="T67" i="237"/>
  <c r="M68" i="237"/>
  <c r="W68" i="237"/>
  <c r="S68" i="237"/>
  <c r="T68" i="237"/>
  <c r="S69" i="237"/>
  <c r="C70" i="237"/>
  <c r="W70" i="237"/>
  <c r="X70" i="237"/>
  <c r="W71" i="237"/>
  <c r="X71" i="237"/>
  <c r="W72" i="237"/>
  <c r="X72" i="237"/>
  <c r="D73" i="237"/>
  <c r="E73" i="237"/>
  <c r="F73" i="237"/>
  <c r="G73" i="237"/>
  <c r="M73" i="237"/>
  <c r="W73" i="237"/>
  <c r="N73" i="237"/>
  <c r="X73" i="237"/>
  <c r="O73" i="237"/>
  <c r="C74" i="237"/>
  <c r="D74" i="237"/>
  <c r="V76" i="237"/>
  <c r="F12" i="165"/>
  <c r="I12" i="165"/>
  <c r="E13" i="165"/>
  <c r="F13" i="165"/>
  <c r="AB12" i="173"/>
  <c r="E14" i="165"/>
  <c r="F14" i="165"/>
  <c r="F15" i="165"/>
  <c r="I15" i="165"/>
  <c r="C16" i="165"/>
  <c r="D16" i="165"/>
  <c r="G16" i="165"/>
  <c r="H16" i="165"/>
  <c r="H59" i="165"/>
  <c r="I19" i="165"/>
  <c r="I20" i="165"/>
  <c r="C20" i="165"/>
  <c r="D20" i="165"/>
  <c r="E20" i="165"/>
  <c r="F20" i="165"/>
  <c r="G20" i="165"/>
  <c r="H20" i="165"/>
  <c r="I23" i="165"/>
  <c r="I24" i="165"/>
  <c r="I25" i="165"/>
  <c r="C25" i="165"/>
  <c r="D25" i="165"/>
  <c r="E25" i="165"/>
  <c r="F25" i="165"/>
  <c r="G25" i="165"/>
  <c r="H25" i="165"/>
  <c r="I26" i="165"/>
  <c r="D27" i="165"/>
  <c r="D60" i="165"/>
  <c r="H27" i="165"/>
  <c r="H60" i="165"/>
  <c r="E30" i="165"/>
  <c r="I30" i="165"/>
  <c r="I34" i="165"/>
  <c r="E31" i="165"/>
  <c r="I31" i="165"/>
  <c r="E32" i="165"/>
  <c r="I32" i="165"/>
  <c r="E33" i="165"/>
  <c r="I33" i="165"/>
  <c r="C34" i="165"/>
  <c r="D34" i="165"/>
  <c r="F34" i="165"/>
  <c r="G34" i="165"/>
  <c r="H34" i="165"/>
  <c r="E37" i="165"/>
  <c r="E42" i="165"/>
  <c r="E38" i="165"/>
  <c r="I38" i="165"/>
  <c r="E39" i="165"/>
  <c r="I39" i="165"/>
  <c r="E40" i="165"/>
  <c r="I40" i="165"/>
  <c r="E41" i="165"/>
  <c r="I41" i="165"/>
  <c r="C42" i="165"/>
  <c r="D42" i="165"/>
  <c r="F42" i="165"/>
  <c r="G42" i="165"/>
  <c r="H42" i="165"/>
  <c r="E44" i="165"/>
  <c r="I44" i="165"/>
  <c r="I45" i="165"/>
  <c r="C45" i="165"/>
  <c r="D45" i="165"/>
  <c r="F45" i="165"/>
  <c r="G45" i="165"/>
  <c r="H45" i="165"/>
  <c r="D49" i="165"/>
  <c r="E49" i="165"/>
  <c r="F49" i="165"/>
  <c r="G49" i="165"/>
  <c r="C50" i="165"/>
  <c r="E50" i="165"/>
  <c r="D50" i="165"/>
  <c r="F50" i="165"/>
  <c r="G50" i="165"/>
  <c r="D51" i="165"/>
  <c r="E51" i="165"/>
  <c r="F51" i="165"/>
  <c r="G51" i="165"/>
  <c r="C52" i="165"/>
  <c r="E52" i="165"/>
  <c r="D52" i="165"/>
  <c r="F52" i="165"/>
  <c r="G52" i="165"/>
  <c r="D53" i="165"/>
  <c r="E53" i="165"/>
  <c r="F53" i="165"/>
  <c r="G53" i="165"/>
  <c r="D54" i="165"/>
  <c r="E54" i="165"/>
  <c r="F54" i="165"/>
  <c r="G54" i="165"/>
  <c r="C55" i="165"/>
  <c r="E55" i="165"/>
  <c r="D55" i="165"/>
  <c r="F55" i="165"/>
  <c r="G55" i="165"/>
  <c r="C56" i="165"/>
  <c r="D56" i="165"/>
  <c r="E56" i="165"/>
  <c r="F56" i="165"/>
  <c r="G56" i="165"/>
  <c r="H56" i="165"/>
  <c r="I56" i="165"/>
  <c r="D59" i="165"/>
  <c r="I7" i="142"/>
  <c r="O7" i="142"/>
  <c r="I8" i="142"/>
  <c r="C9" i="142"/>
  <c r="C13" i="142"/>
  <c r="C37" i="142"/>
  <c r="D9" i="142"/>
  <c r="D13" i="142"/>
  <c r="D37" i="142"/>
  <c r="E9" i="142"/>
  <c r="F9" i="142"/>
  <c r="G9" i="142"/>
  <c r="G13" i="142"/>
  <c r="G37" i="142"/>
  <c r="G40" i="142"/>
  <c r="H9" i="142"/>
  <c r="H13" i="142"/>
  <c r="H37" i="142"/>
  <c r="I10" i="142"/>
  <c r="M10" i="142"/>
  <c r="P10" i="142"/>
  <c r="I11" i="142"/>
  <c r="O11" i="142"/>
  <c r="I12" i="142"/>
  <c r="O12" i="142"/>
  <c r="E13" i="142"/>
  <c r="F13" i="142"/>
  <c r="F37" i="142"/>
  <c r="I16" i="142"/>
  <c r="I17" i="142"/>
  <c r="C17" i="142"/>
  <c r="D17" i="142"/>
  <c r="E17" i="142"/>
  <c r="E24" i="142"/>
  <c r="F17" i="142"/>
  <c r="F24" i="142"/>
  <c r="F38" i="142"/>
  <c r="G17" i="142"/>
  <c r="H17" i="142"/>
  <c r="I20" i="142"/>
  <c r="I21" i="142"/>
  <c r="P21" i="142"/>
  <c r="C22" i="142"/>
  <c r="D22" i="142"/>
  <c r="D24" i="142"/>
  <c r="D38" i="142"/>
  <c r="E22" i="142"/>
  <c r="F22" i="142"/>
  <c r="G22" i="142"/>
  <c r="G24" i="142"/>
  <c r="G38" i="142"/>
  <c r="H22" i="142"/>
  <c r="H24" i="142"/>
  <c r="I23" i="142"/>
  <c r="P23" i="142"/>
  <c r="C24" i="142"/>
  <c r="C38" i="142"/>
  <c r="I27" i="142"/>
  <c r="I28" i="142"/>
  <c r="E38" i="142"/>
  <c r="T29" i="142"/>
  <c r="I30" i="142"/>
  <c r="L30" i="142"/>
  <c r="P31" i="142"/>
  <c r="Q31" i="142"/>
  <c r="E32" i="142"/>
  <c r="I32" i="142"/>
  <c r="P32" i="142"/>
  <c r="I33" i="142"/>
  <c r="D34" i="142"/>
  <c r="F34" i="142"/>
  <c r="G34" i="142"/>
  <c r="H34" i="142"/>
  <c r="H38" i="142"/>
  <c r="D39" i="142"/>
  <c r="F39" i="142"/>
  <c r="G39" i="142"/>
  <c r="H39" i="142"/>
  <c r="I7" i="94"/>
  <c r="I8" i="94"/>
  <c r="I9" i="94"/>
  <c r="I10" i="94"/>
  <c r="I11" i="94"/>
  <c r="C11" i="94"/>
  <c r="D11" i="94"/>
  <c r="E11" i="94"/>
  <c r="F11" i="94"/>
  <c r="G11" i="94"/>
  <c r="H11" i="94"/>
  <c r="I14" i="94"/>
  <c r="I15" i="94"/>
  <c r="C15" i="94"/>
  <c r="D15" i="94"/>
  <c r="E15" i="94"/>
  <c r="F15" i="94"/>
  <c r="G15" i="94"/>
  <c r="H15" i="94"/>
  <c r="I18" i="94"/>
  <c r="I19" i="94"/>
  <c r="I20" i="94"/>
  <c r="C20" i="94"/>
  <c r="D20" i="94"/>
  <c r="E20" i="94"/>
  <c r="F20" i="94"/>
  <c r="G20" i="94"/>
  <c r="H20" i="94"/>
  <c r="I21" i="94"/>
  <c r="D22" i="94"/>
  <c r="D48" i="94"/>
  <c r="E22" i="94"/>
  <c r="H22" i="94"/>
  <c r="H48" i="94"/>
  <c r="I26" i="94"/>
  <c r="C28" i="94"/>
  <c r="C47" i="94"/>
  <c r="D28" i="94"/>
  <c r="D47" i="94"/>
  <c r="F28" i="94"/>
  <c r="G28" i="94"/>
  <c r="H28" i="94"/>
  <c r="I30" i="94"/>
  <c r="I31" i="94"/>
  <c r="I32" i="94"/>
  <c r="C33" i="94"/>
  <c r="D33" i="94"/>
  <c r="F33" i="94"/>
  <c r="G33" i="94"/>
  <c r="H33" i="94"/>
  <c r="C36" i="94"/>
  <c r="D36" i="94"/>
  <c r="F36" i="94"/>
  <c r="G36" i="94"/>
  <c r="H36" i="94"/>
  <c r="I38" i="94"/>
  <c r="I40" i="94"/>
  <c r="I42" i="94"/>
  <c r="I43" i="94"/>
  <c r="H49" i="94"/>
  <c r="D45" i="94"/>
  <c r="F45" i="94"/>
  <c r="G45" i="94"/>
  <c r="G47" i="94"/>
  <c r="H47" i="94"/>
  <c r="D49" i="94"/>
  <c r="F49" i="94"/>
  <c r="G49" i="94"/>
  <c r="H80" i="94"/>
  <c r="C7" i="187"/>
  <c r="F7" i="187"/>
  <c r="F11" i="187"/>
  <c r="O7" i="187"/>
  <c r="C8" i="187"/>
  <c r="I8" i="187"/>
  <c r="E8" i="187"/>
  <c r="F8" i="187"/>
  <c r="O8" i="187"/>
  <c r="I9" i="187"/>
  <c r="O9" i="187"/>
  <c r="I10" i="187"/>
  <c r="K10" i="187"/>
  <c r="O10" i="187"/>
  <c r="C11" i="187"/>
  <c r="C47" i="187"/>
  <c r="D11" i="187"/>
  <c r="E11" i="187"/>
  <c r="G11" i="187"/>
  <c r="G47" i="187"/>
  <c r="H11" i="187"/>
  <c r="H47" i="187"/>
  <c r="K13" i="187"/>
  <c r="F14" i="187"/>
  <c r="I14" i="187"/>
  <c r="O14" i="187"/>
  <c r="C15" i="187"/>
  <c r="D15" i="187"/>
  <c r="D22" i="187"/>
  <c r="E15" i="187"/>
  <c r="F15" i="187"/>
  <c r="G15" i="187"/>
  <c r="H15" i="187"/>
  <c r="K16" i="187"/>
  <c r="K17" i="187"/>
  <c r="F18" i="187"/>
  <c r="I18" i="187"/>
  <c r="T18" i="187"/>
  <c r="K18" i="187"/>
  <c r="O18" i="187"/>
  <c r="F19" i="187"/>
  <c r="I19" i="187"/>
  <c r="O19" i="187"/>
  <c r="C20" i="187"/>
  <c r="D20" i="187"/>
  <c r="E20" i="187"/>
  <c r="E22" i="187"/>
  <c r="G20" i="187"/>
  <c r="H20" i="187"/>
  <c r="F21" i="187"/>
  <c r="I21" i="187"/>
  <c r="O21" i="187"/>
  <c r="K23" i="187"/>
  <c r="K24" i="187"/>
  <c r="I25" i="187"/>
  <c r="R25" i="187"/>
  <c r="I26" i="187"/>
  <c r="C27" i="187"/>
  <c r="D27" i="187"/>
  <c r="E27" i="187"/>
  <c r="E47" i="187"/>
  <c r="F27" i="187"/>
  <c r="G27" i="187"/>
  <c r="H27" i="187"/>
  <c r="K28" i="187"/>
  <c r="I29" i="187"/>
  <c r="I30" i="187"/>
  <c r="K30" i="187"/>
  <c r="I31" i="187"/>
  <c r="K31" i="187"/>
  <c r="C32" i="187"/>
  <c r="D32" i="187"/>
  <c r="E32" i="187"/>
  <c r="F32" i="187"/>
  <c r="G32" i="187"/>
  <c r="H32" i="187"/>
  <c r="K33" i="187"/>
  <c r="I34" i="187"/>
  <c r="S34" i="187"/>
  <c r="C35" i="187"/>
  <c r="D35" i="187"/>
  <c r="D49" i="187"/>
  <c r="E35" i="187"/>
  <c r="E49" i="187"/>
  <c r="F35" i="187"/>
  <c r="F49" i="187"/>
  <c r="G35" i="187"/>
  <c r="H35" i="187"/>
  <c r="K36" i="187"/>
  <c r="I37" i="187"/>
  <c r="I38" i="187"/>
  <c r="K38" i="187"/>
  <c r="I39" i="187"/>
  <c r="I40" i="187"/>
  <c r="I41" i="187"/>
  <c r="K41" i="187"/>
  <c r="I42" i="187"/>
  <c r="K42" i="187"/>
  <c r="C44" i="187"/>
  <c r="D44" i="187"/>
  <c r="E44" i="187"/>
  <c r="F44" i="187"/>
  <c r="G44" i="187"/>
  <c r="K45" i="187"/>
  <c r="K46" i="187"/>
  <c r="C49" i="187"/>
  <c r="G49" i="187"/>
  <c r="C7" i="185"/>
  <c r="I7" i="185"/>
  <c r="F7" i="185"/>
  <c r="O7" i="185"/>
  <c r="U7" i="185"/>
  <c r="C8" i="185"/>
  <c r="E8" i="185"/>
  <c r="F8" i="185"/>
  <c r="F11" i="185"/>
  <c r="O8" i="185"/>
  <c r="U8" i="185"/>
  <c r="I9" i="185"/>
  <c r="K9" i="185"/>
  <c r="O9" i="185"/>
  <c r="U9" i="185"/>
  <c r="I10" i="185"/>
  <c r="O10" i="185"/>
  <c r="U10" i="185"/>
  <c r="D11" i="185"/>
  <c r="D47" i="185"/>
  <c r="D50" i="185"/>
  <c r="B35" i="186"/>
  <c r="G11" i="185"/>
  <c r="H11" i="185"/>
  <c r="K13" i="185"/>
  <c r="F14" i="185"/>
  <c r="I14" i="185"/>
  <c r="I15" i="185"/>
  <c r="O14" i="185"/>
  <c r="U14" i="185"/>
  <c r="AA14" i="185"/>
  <c r="C15" i="185"/>
  <c r="D15" i="185"/>
  <c r="E15" i="185"/>
  <c r="F15" i="185"/>
  <c r="G15" i="185"/>
  <c r="H15" i="185"/>
  <c r="H22" i="185"/>
  <c r="H48" i="185"/>
  <c r="K16" i="185"/>
  <c r="K17" i="185"/>
  <c r="F18" i="185"/>
  <c r="O18" i="185"/>
  <c r="U18" i="185"/>
  <c r="F19" i="185"/>
  <c r="I19" i="185"/>
  <c r="O19" i="185"/>
  <c r="U19" i="185"/>
  <c r="C20" i="185"/>
  <c r="D20" i="185"/>
  <c r="E20" i="185"/>
  <c r="E22" i="185"/>
  <c r="G20" i="185"/>
  <c r="H20" i="185"/>
  <c r="F21" i="185"/>
  <c r="I21" i="185"/>
  <c r="K21" i="185"/>
  <c r="O21" i="185"/>
  <c r="U21" i="185"/>
  <c r="D22" i="185"/>
  <c r="D48" i="185"/>
  <c r="K23" i="185"/>
  <c r="K24" i="185"/>
  <c r="I25" i="185"/>
  <c r="I27" i="185"/>
  <c r="K25" i="185"/>
  <c r="V25" i="185"/>
  <c r="W25" i="185"/>
  <c r="I26" i="185"/>
  <c r="K26" i="185"/>
  <c r="C27" i="185"/>
  <c r="D27" i="185"/>
  <c r="E27" i="185"/>
  <c r="F27" i="185"/>
  <c r="G27" i="185"/>
  <c r="H27" i="185"/>
  <c r="K28" i="185"/>
  <c r="I29" i="185"/>
  <c r="I32" i="185"/>
  <c r="I30" i="185"/>
  <c r="K30" i="185"/>
  <c r="I31" i="185"/>
  <c r="K31" i="185"/>
  <c r="C32" i="185"/>
  <c r="D32" i="185"/>
  <c r="E32" i="185"/>
  <c r="F32" i="185"/>
  <c r="G32" i="185"/>
  <c r="H32" i="185"/>
  <c r="K33" i="185"/>
  <c r="I34" i="185"/>
  <c r="I35" i="185"/>
  <c r="J35" i="185"/>
  <c r="K35" i="185"/>
  <c r="R34" i="185"/>
  <c r="Y34" i="185"/>
  <c r="C35" i="185"/>
  <c r="C49" i="185"/>
  <c r="D35" i="185"/>
  <c r="D49" i="185"/>
  <c r="E35" i="185"/>
  <c r="F35" i="185"/>
  <c r="G35" i="185"/>
  <c r="G49" i="185"/>
  <c r="H35" i="185"/>
  <c r="K36" i="185"/>
  <c r="I37" i="185"/>
  <c r="I38" i="185"/>
  <c r="I39" i="185"/>
  <c r="I40" i="185"/>
  <c r="K40" i="185"/>
  <c r="I41" i="185"/>
  <c r="K41" i="185"/>
  <c r="I42" i="185"/>
  <c r="K42" i="185"/>
  <c r="C44" i="185"/>
  <c r="D44" i="185"/>
  <c r="E44" i="185"/>
  <c r="F44" i="185"/>
  <c r="G44" i="185"/>
  <c r="K45" i="185"/>
  <c r="K46" i="185"/>
  <c r="H47" i="185"/>
  <c r="E49" i="185"/>
  <c r="F49" i="185"/>
  <c r="C7" i="183"/>
  <c r="F7" i="183"/>
  <c r="I7" i="183"/>
  <c r="O7" i="183"/>
  <c r="U7" i="183"/>
  <c r="C8" i="183"/>
  <c r="E8" i="183"/>
  <c r="E11" i="183"/>
  <c r="F8" i="183"/>
  <c r="F11" i="183"/>
  <c r="O8" i="183"/>
  <c r="I9" i="183"/>
  <c r="K9" i="183"/>
  <c r="O9" i="183"/>
  <c r="I10" i="183"/>
  <c r="K10" i="183"/>
  <c r="O10" i="183"/>
  <c r="D11" i="183"/>
  <c r="D47" i="183"/>
  <c r="G11" i="183"/>
  <c r="H11" i="183"/>
  <c r="K12" i="183"/>
  <c r="K13" i="183"/>
  <c r="F14" i="183"/>
  <c r="I14" i="183"/>
  <c r="W14" i="183"/>
  <c r="K14" i="183"/>
  <c r="O14" i="183"/>
  <c r="C15" i="183"/>
  <c r="D15" i="183"/>
  <c r="E15" i="183"/>
  <c r="F15" i="183"/>
  <c r="G15" i="183"/>
  <c r="H15" i="183"/>
  <c r="K16" i="183"/>
  <c r="K17" i="183"/>
  <c r="F18" i="183"/>
  <c r="O18" i="183"/>
  <c r="C19" i="183"/>
  <c r="F19" i="183"/>
  <c r="O19" i="183"/>
  <c r="D20" i="183"/>
  <c r="E20" i="183"/>
  <c r="E22" i="183"/>
  <c r="E48" i="183"/>
  <c r="G20" i="183"/>
  <c r="H20" i="183"/>
  <c r="H22" i="183"/>
  <c r="H48" i="183"/>
  <c r="F21" i="183"/>
  <c r="I21" i="183"/>
  <c r="O21" i="183"/>
  <c r="D22" i="183"/>
  <c r="D48" i="183"/>
  <c r="K23" i="183"/>
  <c r="K24" i="183"/>
  <c r="I25" i="183"/>
  <c r="R25" i="183"/>
  <c r="I26" i="183"/>
  <c r="K26" i="183"/>
  <c r="R26" i="183"/>
  <c r="C27" i="183"/>
  <c r="D27" i="183"/>
  <c r="E27" i="183"/>
  <c r="F27" i="183"/>
  <c r="G27" i="183"/>
  <c r="H27" i="183"/>
  <c r="K28" i="183"/>
  <c r="I29" i="183"/>
  <c r="K29" i="183"/>
  <c r="I30" i="183"/>
  <c r="K30" i="183"/>
  <c r="I31" i="183"/>
  <c r="C32" i="183"/>
  <c r="D32" i="183"/>
  <c r="E32" i="183"/>
  <c r="F32" i="183"/>
  <c r="G32" i="183"/>
  <c r="H32" i="183"/>
  <c r="K33" i="183"/>
  <c r="I34" i="183"/>
  <c r="K34" i="183"/>
  <c r="S34" i="183"/>
  <c r="C35" i="183"/>
  <c r="C49" i="183"/>
  <c r="D35" i="183"/>
  <c r="D49" i="183"/>
  <c r="E35" i="183"/>
  <c r="F35" i="183"/>
  <c r="F49" i="183"/>
  <c r="G35" i="183"/>
  <c r="G49" i="183"/>
  <c r="H35" i="183"/>
  <c r="K36" i="183"/>
  <c r="I37" i="183"/>
  <c r="K37" i="183"/>
  <c r="I38" i="183"/>
  <c r="I39" i="183"/>
  <c r="I40" i="183"/>
  <c r="K40" i="183"/>
  <c r="I41" i="183"/>
  <c r="I42" i="183"/>
  <c r="K42" i="183"/>
  <c r="C44" i="183"/>
  <c r="D44" i="183"/>
  <c r="E44" i="183"/>
  <c r="F44" i="183"/>
  <c r="G44" i="183"/>
  <c r="K45" i="183"/>
  <c r="K46" i="183"/>
  <c r="F47" i="183"/>
  <c r="H47" i="183"/>
  <c r="E49" i="183"/>
  <c r="G63" i="183"/>
  <c r="C7" i="139"/>
  <c r="I7" i="139"/>
  <c r="O7" i="139"/>
  <c r="I8" i="139"/>
  <c r="G13" i="137"/>
  <c r="C9" i="139"/>
  <c r="D9" i="139"/>
  <c r="D13" i="139"/>
  <c r="D37" i="139"/>
  <c r="E9" i="139"/>
  <c r="E13" i="139"/>
  <c r="F9" i="139"/>
  <c r="F13" i="139"/>
  <c r="F37" i="139"/>
  <c r="F40" i="139"/>
  <c r="B37" i="141"/>
  <c r="G9" i="139"/>
  <c r="H9" i="139"/>
  <c r="H13" i="139"/>
  <c r="H37" i="139"/>
  <c r="I10" i="139"/>
  <c r="C11" i="139"/>
  <c r="F11" i="139"/>
  <c r="O11" i="139"/>
  <c r="I12" i="139"/>
  <c r="O12" i="139"/>
  <c r="G13" i="139"/>
  <c r="C16" i="139"/>
  <c r="I16" i="139"/>
  <c r="G22" i="137"/>
  <c r="E16" i="139"/>
  <c r="E17" i="139"/>
  <c r="D17" i="139"/>
  <c r="F17" i="139"/>
  <c r="F24" i="139"/>
  <c r="F38" i="139"/>
  <c r="G17" i="139"/>
  <c r="H17" i="139"/>
  <c r="C20" i="139"/>
  <c r="I20" i="139"/>
  <c r="G25" i="137"/>
  <c r="C31" i="140"/>
  <c r="I21" i="139"/>
  <c r="P21" i="139"/>
  <c r="C22" i="139"/>
  <c r="D22" i="139"/>
  <c r="E22" i="139"/>
  <c r="F22" i="139"/>
  <c r="G22" i="139"/>
  <c r="H22" i="139"/>
  <c r="I23" i="139"/>
  <c r="P23" i="139"/>
  <c r="I28" i="139"/>
  <c r="G33" i="137"/>
  <c r="I29" i="139"/>
  <c r="G34" i="137"/>
  <c r="T29" i="139"/>
  <c r="I30" i="139"/>
  <c r="L30" i="139"/>
  <c r="I31" i="139"/>
  <c r="P31" i="139"/>
  <c r="Q31" i="139"/>
  <c r="E32" i="139"/>
  <c r="I32" i="139"/>
  <c r="P32" i="139"/>
  <c r="H41" i="137"/>
  <c r="C34" i="139"/>
  <c r="D34" i="139"/>
  <c r="F34" i="139"/>
  <c r="G34" i="139"/>
  <c r="H34" i="139"/>
  <c r="G37" i="139"/>
  <c r="C39" i="139"/>
  <c r="D39" i="139"/>
  <c r="F39" i="139"/>
  <c r="G39" i="139"/>
  <c r="H39" i="139"/>
  <c r="B34" i="28"/>
  <c r="B35" i="28"/>
  <c r="B36" i="28"/>
  <c r="B37" i="28"/>
  <c r="B38" i="28"/>
  <c r="B39" i="28"/>
  <c r="W6" i="174"/>
  <c r="X6" i="174"/>
  <c r="C7" i="174"/>
  <c r="P7" i="174"/>
  <c r="F7" i="174"/>
  <c r="G7" i="174"/>
  <c r="K7" i="174"/>
  <c r="M7" i="174"/>
  <c r="N7" i="174"/>
  <c r="N9" i="174"/>
  <c r="X9" i="174"/>
  <c r="O7" i="174"/>
  <c r="W7" i="174"/>
  <c r="X7" i="174"/>
  <c r="C8" i="174"/>
  <c r="I8" i="174"/>
  <c r="F8" i="174"/>
  <c r="L26" i="86"/>
  <c r="K8" i="174"/>
  <c r="L28" i="86"/>
  <c r="B63" i="86"/>
  <c r="M8" i="174"/>
  <c r="N8" i="174"/>
  <c r="X8" i="174"/>
  <c r="S9" i="174"/>
  <c r="T9" i="174"/>
  <c r="R10" i="174"/>
  <c r="W10" i="174"/>
  <c r="X10" i="174"/>
  <c r="C11" i="174"/>
  <c r="G13" i="174"/>
  <c r="L28" i="83"/>
  <c r="B63" i="83"/>
  <c r="R11" i="174"/>
  <c r="T13" i="174"/>
  <c r="T28" i="174"/>
  <c r="U63" i="174"/>
  <c r="U75" i="174"/>
  <c r="U77" i="174"/>
  <c r="C12" i="174"/>
  <c r="Q12" i="174"/>
  <c r="E12" i="174"/>
  <c r="F12" i="174"/>
  <c r="G12" i="174"/>
  <c r="J12" i="174"/>
  <c r="K12" i="174"/>
  <c r="L28" i="87"/>
  <c r="B63" i="87"/>
  <c r="M12" i="174"/>
  <c r="N12" i="174"/>
  <c r="O12" i="174"/>
  <c r="S64" i="174"/>
  <c r="S76" i="174"/>
  <c r="T64" i="174"/>
  <c r="U13" i="174"/>
  <c r="R14" i="174"/>
  <c r="W14" i="174"/>
  <c r="X14" i="174"/>
  <c r="C15" i="174"/>
  <c r="E15" i="174"/>
  <c r="F15" i="174"/>
  <c r="G15" i="174"/>
  <c r="G17" i="174"/>
  <c r="J17" i="174"/>
  <c r="K15" i="174"/>
  <c r="M15" i="174"/>
  <c r="P15" i="174"/>
  <c r="N15" i="174"/>
  <c r="D35" i="230"/>
  <c r="O15" i="174"/>
  <c r="O17" i="174"/>
  <c r="W15" i="174"/>
  <c r="C16" i="174"/>
  <c r="Y16" i="174"/>
  <c r="E16" i="174"/>
  <c r="F16" i="174"/>
  <c r="G16" i="174"/>
  <c r="J16" i="174"/>
  <c r="K16" i="174"/>
  <c r="M16" i="174"/>
  <c r="W16" i="174"/>
  <c r="N16" i="174"/>
  <c r="N17" i="174"/>
  <c r="X17" i="174"/>
  <c r="O16" i="174"/>
  <c r="E17" i="174"/>
  <c r="S17" i="174"/>
  <c r="T17" i="174"/>
  <c r="U17" i="174"/>
  <c r="V17" i="174"/>
  <c r="V23" i="174"/>
  <c r="C18" i="174"/>
  <c r="P18" i="174"/>
  <c r="W18" i="174"/>
  <c r="C19" i="174"/>
  <c r="D28" i="253"/>
  <c r="W19" i="174"/>
  <c r="D20" i="253"/>
  <c r="D23" i="253"/>
  <c r="X19" i="174"/>
  <c r="D20" i="174"/>
  <c r="S20" i="174"/>
  <c r="T20" i="174"/>
  <c r="U20" i="174"/>
  <c r="V20" i="174"/>
  <c r="C21" i="174"/>
  <c r="I26" i="109"/>
  <c r="I28" i="109"/>
  <c r="B57" i="109"/>
  <c r="O23" i="174"/>
  <c r="C22" i="174"/>
  <c r="Z22" i="174"/>
  <c r="G23" i="174"/>
  <c r="I28" i="110"/>
  <c r="B57" i="110"/>
  <c r="C23" i="174"/>
  <c r="I23" i="174"/>
  <c r="S23" i="174"/>
  <c r="T23" i="174"/>
  <c r="R24" i="174"/>
  <c r="W24" i="174"/>
  <c r="X24" i="174"/>
  <c r="I25" i="174"/>
  <c r="J25" i="174"/>
  <c r="P25" i="174"/>
  <c r="Q25" i="174"/>
  <c r="R25" i="174"/>
  <c r="W25" i="174"/>
  <c r="Y25" i="174"/>
  <c r="X25" i="174"/>
  <c r="Z25" i="174"/>
  <c r="C26" i="174"/>
  <c r="R26" i="174"/>
  <c r="J26" i="174"/>
  <c r="W26" i="174"/>
  <c r="X26" i="174"/>
  <c r="E27" i="174"/>
  <c r="F27" i="174"/>
  <c r="G27" i="174"/>
  <c r="J27" i="174"/>
  <c r="K27" i="174"/>
  <c r="M27" i="174"/>
  <c r="N27" i="174"/>
  <c r="O27" i="174"/>
  <c r="S27" i="174"/>
  <c r="T27" i="174"/>
  <c r="X27" i="174"/>
  <c r="U27" i="174"/>
  <c r="V27" i="174"/>
  <c r="C32" i="174"/>
  <c r="E32" i="174"/>
  <c r="J32" i="174"/>
  <c r="F32" i="174"/>
  <c r="G32" i="174"/>
  <c r="K32" i="174"/>
  <c r="J28" i="115"/>
  <c r="B59" i="115"/>
  <c r="M32" i="174"/>
  <c r="J20" i="115"/>
  <c r="H45" i="115"/>
  <c r="N32" i="174"/>
  <c r="O32" i="174"/>
  <c r="W32" i="174"/>
  <c r="C33" i="174"/>
  <c r="P33" i="174"/>
  <c r="E33" i="174"/>
  <c r="F33" i="174"/>
  <c r="G33" i="174"/>
  <c r="K33" i="174"/>
  <c r="J28" i="116"/>
  <c r="B59" i="116"/>
  <c r="M33" i="174"/>
  <c r="J20" i="116"/>
  <c r="H45" i="116"/>
  <c r="N33" i="174"/>
  <c r="O33" i="174"/>
  <c r="W33" i="174"/>
  <c r="X33" i="174"/>
  <c r="G34" i="174"/>
  <c r="M34" i="174"/>
  <c r="S34" i="174"/>
  <c r="T34" i="174"/>
  <c r="U34" i="174"/>
  <c r="V34" i="174"/>
  <c r="C37" i="174"/>
  <c r="E37" i="174"/>
  <c r="F37" i="174"/>
  <c r="K37" i="174"/>
  <c r="M37" i="174"/>
  <c r="C38" i="174"/>
  <c r="I38" i="174"/>
  <c r="E38" i="174"/>
  <c r="F38" i="174"/>
  <c r="G38" i="174"/>
  <c r="K38" i="174"/>
  <c r="J28" i="122"/>
  <c r="B59" i="122"/>
  <c r="M38" i="174"/>
  <c r="P38" i="174"/>
  <c r="N38" i="174"/>
  <c r="O38" i="174"/>
  <c r="F39" i="174"/>
  <c r="S39" i="174"/>
  <c r="T39" i="174"/>
  <c r="U39" i="174"/>
  <c r="V39" i="174"/>
  <c r="R40" i="174"/>
  <c r="W40" i="174"/>
  <c r="X40" i="174"/>
  <c r="C41" i="174"/>
  <c r="E41" i="174"/>
  <c r="J41" i="174"/>
  <c r="F41" i="174"/>
  <c r="G41" i="174"/>
  <c r="K41" i="174"/>
  <c r="J28" i="124"/>
  <c r="B57" i="124"/>
  <c r="M41" i="174"/>
  <c r="N41" i="174"/>
  <c r="O41" i="174"/>
  <c r="Q41" i="174"/>
  <c r="X41" i="174"/>
  <c r="C42" i="174"/>
  <c r="P42" i="174"/>
  <c r="J26" i="125"/>
  <c r="J28" i="125"/>
  <c r="B59" i="125"/>
  <c r="X42" i="174"/>
  <c r="O43" i="174"/>
  <c r="K43" i="174"/>
  <c r="S43" i="174"/>
  <c r="T43" i="174"/>
  <c r="R44" i="174"/>
  <c r="W44" i="174"/>
  <c r="X44" i="174"/>
  <c r="C45" i="174"/>
  <c r="G47" i="174"/>
  <c r="K47" i="174"/>
  <c r="X45" i="174"/>
  <c r="C46" i="174"/>
  <c r="B58" i="232"/>
  <c r="F28" i="132"/>
  <c r="B51" i="132"/>
  <c r="S47" i="174"/>
  <c r="S48" i="174"/>
  <c r="T47" i="174"/>
  <c r="T48" i="174"/>
  <c r="U47" i="174"/>
  <c r="V47" i="174"/>
  <c r="C52" i="174"/>
  <c r="C53" i="174"/>
  <c r="C56" i="174"/>
  <c r="C58" i="174"/>
  <c r="C57" i="174"/>
  <c r="C62" i="174"/>
  <c r="D62" i="174"/>
  <c r="D74" i="174"/>
  <c r="E62" i="174"/>
  <c r="F62" i="174"/>
  <c r="G62" i="174"/>
  <c r="M62" i="174"/>
  <c r="M74" i="174"/>
  <c r="W74" i="174"/>
  <c r="N62" i="174"/>
  <c r="O62" i="174"/>
  <c r="Q62" i="174"/>
  <c r="R62" i="174"/>
  <c r="S63" i="174"/>
  <c r="S75" i="174"/>
  <c r="T63" i="174"/>
  <c r="U64" i="174"/>
  <c r="V64" i="174"/>
  <c r="C66" i="174"/>
  <c r="D66" i="174"/>
  <c r="E66" i="174"/>
  <c r="F66" i="174"/>
  <c r="G66" i="174"/>
  <c r="M66" i="174"/>
  <c r="N66" i="174"/>
  <c r="O66" i="174"/>
  <c r="P66" i="174"/>
  <c r="W66" i="174"/>
  <c r="X66" i="174"/>
  <c r="F67" i="174"/>
  <c r="S67" i="174"/>
  <c r="T67" i="174"/>
  <c r="S68" i="174"/>
  <c r="S69" i="174"/>
  <c r="T68" i="174"/>
  <c r="T69" i="174"/>
  <c r="C70" i="174"/>
  <c r="W70" i="174"/>
  <c r="X70" i="174"/>
  <c r="W71" i="174"/>
  <c r="X71" i="174"/>
  <c r="W72" i="174"/>
  <c r="X72" i="174"/>
  <c r="D73" i="174"/>
  <c r="E73" i="174"/>
  <c r="F73" i="174"/>
  <c r="G73" i="174"/>
  <c r="M73" i="174"/>
  <c r="W73" i="174"/>
  <c r="N73" i="174"/>
  <c r="X73" i="174"/>
  <c r="O73" i="174"/>
  <c r="E74" i="174"/>
  <c r="U76" i="174"/>
  <c r="V76" i="174"/>
  <c r="C12" i="310"/>
  <c r="C16" i="310"/>
  <c r="C13" i="310"/>
  <c r="F16" i="310"/>
  <c r="K53" i="312"/>
  <c r="G16" i="310"/>
  <c r="K53" i="318"/>
  <c r="C28" i="258"/>
  <c r="C29" i="258"/>
  <c r="C32" i="258"/>
  <c r="C33" i="258"/>
  <c r="C38" i="258"/>
  <c r="C39" i="258"/>
  <c r="V7" i="173"/>
  <c r="W7" i="173"/>
  <c r="M10" i="173"/>
  <c r="V10" i="173"/>
  <c r="W8" i="173"/>
  <c r="J9" i="173"/>
  <c r="F44" i="231"/>
  <c r="O10" i="173"/>
  <c r="V9" i="173"/>
  <c r="R10" i="173"/>
  <c r="S10" i="173"/>
  <c r="V11" i="173"/>
  <c r="W11" i="173"/>
  <c r="Z11" i="173"/>
  <c r="AA11" i="173"/>
  <c r="D32" i="176"/>
  <c r="U59" i="173"/>
  <c r="U71" i="173"/>
  <c r="U73" i="173"/>
  <c r="D32" i="231"/>
  <c r="O60" i="173"/>
  <c r="AB13" i="173"/>
  <c r="R14" i="173"/>
  <c r="R24" i="173"/>
  <c r="V15" i="173"/>
  <c r="W15" i="173"/>
  <c r="C16" i="173"/>
  <c r="J16" i="173"/>
  <c r="P16" i="173"/>
  <c r="Q16" i="173"/>
  <c r="V16" i="173"/>
  <c r="W16" i="173"/>
  <c r="Y16" i="173"/>
  <c r="C19" i="173"/>
  <c r="J17" i="173"/>
  <c r="J18" i="173"/>
  <c r="R19" i="173"/>
  <c r="S19" i="173"/>
  <c r="T19" i="173"/>
  <c r="U19" i="173"/>
  <c r="V20" i="173"/>
  <c r="W20" i="173"/>
  <c r="M23" i="173"/>
  <c r="V23" i="173"/>
  <c r="V21" i="173"/>
  <c r="D23" i="173"/>
  <c r="K23" i="173"/>
  <c r="R23" i="173"/>
  <c r="S23" i="173"/>
  <c r="T23" i="173"/>
  <c r="U23" i="173"/>
  <c r="H21" i="147"/>
  <c r="C28" i="173"/>
  <c r="J28" i="173"/>
  <c r="V28" i="173"/>
  <c r="G30" i="173"/>
  <c r="J30" i="173"/>
  <c r="R30" i="173"/>
  <c r="S30" i="173"/>
  <c r="T30" i="173"/>
  <c r="U30" i="173"/>
  <c r="K35" i="173"/>
  <c r="M64" i="173"/>
  <c r="V64" i="173"/>
  <c r="D47" i="231"/>
  <c r="W34" i="173"/>
  <c r="R35" i="173"/>
  <c r="S35" i="173"/>
  <c r="T35" i="173"/>
  <c r="U35" i="173"/>
  <c r="V36" i="173"/>
  <c r="W36" i="173"/>
  <c r="K39" i="173"/>
  <c r="V38" i="173"/>
  <c r="O39" i="173"/>
  <c r="E39" i="173"/>
  <c r="R39" i="173"/>
  <c r="S39" i="173"/>
  <c r="V40" i="173"/>
  <c r="W40" i="173"/>
  <c r="D48" i="176"/>
  <c r="V41" i="173"/>
  <c r="R43" i="173"/>
  <c r="S43" i="173"/>
  <c r="T43" i="173"/>
  <c r="U43" i="173"/>
  <c r="C48" i="173"/>
  <c r="C49" i="173"/>
  <c r="C52" i="173"/>
  <c r="C54" i="173"/>
  <c r="C53" i="173"/>
  <c r="C58" i="173"/>
  <c r="D58" i="173"/>
  <c r="E58" i="173"/>
  <c r="F58" i="173"/>
  <c r="G58" i="173"/>
  <c r="M58" i="173"/>
  <c r="N58" i="173"/>
  <c r="W58" i="173"/>
  <c r="O58" i="173"/>
  <c r="R59" i="173"/>
  <c r="S59" i="173"/>
  <c r="R60" i="173"/>
  <c r="S60" i="173"/>
  <c r="C62" i="173"/>
  <c r="D62" i="173"/>
  <c r="E62" i="173"/>
  <c r="F62" i="173"/>
  <c r="G62" i="173"/>
  <c r="M62" i="173"/>
  <c r="V62" i="173"/>
  <c r="N62" i="173"/>
  <c r="W62" i="173"/>
  <c r="O62" i="173"/>
  <c r="R63" i="173"/>
  <c r="S63" i="173"/>
  <c r="R64" i="173"/>
  <c r="S64" i="173"/>
  <c r="C66" i="173"/>
  <c r="V66" i="173"/>
  <c r="W66" i="173"/>
  <c r="V67" i="173"/>
  <c r="W67" i="173"/>
  <c r="V68" i="173"/>
  <c r="W68" i="173"/>
  <c r="D69" i="173"/>
  <c r="E69" i="173"/>
  <c r="F69" i="173"/>
  <c r="G69" i="173"/>
  <c r="M69" i="173"/>
  <c r="V69" i="173"/>
  <c r="N69" i="173"/>
  <c r="O69" i="173"/>
  <c r="W69" i="173"/>
  <c r="F70" i="173"/>
  <c r="N70" i="173"/>
  <c r="W70" i="173"/>
  <c r="T72" i="173"/>
  <c r="U72" i="173"/>
  <c r="C28" i="257"/>
  <c r="C30" i="257"/>
  <c r="C32" i="257"/>
  <c r="C33" i="257"/>
  <c r="C38" i="257"/>
  <c r="C39" i="257"/>
  <c r="F10" i="140"/>
  <c r="D57" i="140"/>
  <c r="K14" i="140"/>
  <c r="F14" i="140"/>
  <c r="M59" i="140"/>
  <c r="N59" i="140"/>
  <c r="F18" i="140"/>
  <c r="J16" i="140"/>
  <c r="O18" i="140"/>
  <c r="I16" i="137"/>
  <c r="C17" i="140"/>
  <c r="G59" i="140"/>
  <c r="N18" i="140"/>
  <c r="G22" i="140"/>
  <c r="O57" i="140"/>
  <c r="J20" i="140"/>
  <c r="K22" i="140"/>
  <c r="I17" i="137"/>
  <c r="C21" i="140"/>
  <c r="P21" i="140"/>
  <c r="F59" i="140"/>
  <c r="J21" i="140"/>
  <c r="N22" i="140"/>
  <c r="H22" i="137"/>
  <c r="J27" i="140"/>
  <c r="G34" i="140"/>
  <c r="M42" i="140"/>
  <c r="K34" i="140"/>
  <c r="O34" i="140"/>
  <c r="K38" i="140"/>
  <c r="M38" i="140"/>
  <c r="H26" i="137"/>
  <c r="C36" i="140"/>
  <c r="C38" i="140"/>
  <c r="P38" i="140"/>
  <c r="I26" i="137"/>
  <c r="C37" i="140"/>
  <c r="P37" i="140"/>
  <c r="K42" i="140"/>
  <c r="J41" i="140"/>
  <c r="D54" i="140"/>
  <c r="F54" i="140"/>
  <c r="G54" i="140"/>
  <c r="D65" i="140"/>
  <c r="F65" i="140"/>
  <c r="G65" i="140"/>
  <c r="M65" i="140"/>
  <c r="N65" i="140"/>
  <c r="O65" i="140"/>
  <c r="D66" i="140"/>
  <c r="F66" i="140"/>
  <c r="F68" i="140"/>
  <c r="G66" i="140"/>
  <c r="M66" i="140"/>
  <c r="N66" i="140"/>
  <c r="O66" i="140"/>
  <c r="D67" i="140"/>
  <c r="F67" i="140"/>
  <c r="G67" i="140"/>
  <c r="M67" i="140"/>
  <c r="N67" i="140"/>
  <c r="O67" i="140"/>
  <c r="D57" i="102"/>
  <c r="D27" i="175"/>
  <c r="M58" i="102"/>
  <c r="F13" i="102"/>
  <c r="D28" i="189"/>
  <c r="D32" i="175"/>
  <c r="K13" i="102"/>
  <c r="D32" i="178"/>
  <c r="E13" i="102"/>
  <c r="D29" i="189"/>
  <c r="G58" i="102"/>
  <c r="K17" i="102"/>
  <c r="K22" i="102"/>
  <c r="D33" i="178"/>
  <c r="C17" i="102"/>
  <c r="K26" i="111"/>
  <c r="K28" i="111"/>
  <c r="F58" i="102"/>
  <c r="C28" i="102"/>
  <c r="D31" i="189"/>
  <c r="D61" i="102"/>
  <c r="D69" i="102"/>
  <c r="F62" i="102"/>
  <c r="F70" i="102"/>
  <c r="D35" i="178"/>
  <c r="D33" i="102"/>
  <c r="K26" i="120"/>
  <c r="K28" i="120"/>
  <c r="D36" i="175"/>
  <c r="C33" i="102"/>
  <c r="O33" i="102"/>
  <c r="K26" i="123"/>
  <c r="K28" i="123"/>
  <c r="K20" i="123"/>
  <c r="N37" i="102"/>
  <c r="D37" i="175"/>
  <c r="D62" i="102"/>
  <c r="B52" i="125"/>
  <c r="D52" i="125"/>
  <c r="D37" i="178"/>
  <c r="E60" i="102"/>
  <c r="D34" i="189"/>
  <c r="D38" i="175"/>
  <c r="M62" i="102"/>
  <c r="D38" i="178"/>
  <c r="O41" i="102"/>
  <c r="C66" i="102"/>
  <c r="C52" i="102"/>
  <c r="M56" i="102"/>
  <c r="O58" i="102"/>
  <c r="D67" i="102"/>
  <c r="E67" i="102"/>
  <c r="F67" i="102"/>
  <c r="G67" i="102"/>
  <c r="M67" i="102"/>
  <c r="N67" i="102"/>
  <c r="O67" i="102"/>
  <c r="K77" i="102"/>
  <c r="L77" i="102"/>
  <c r="C29" i="209"/>
  <c r="C30" i="209"/>
  <c r="C33" i="209"/>
  <c r="C34" i="209"/>
  <c r="C39" i="209"/>
  <c r="C40" i="209"/>
  <c r="C33" i="93"/>
  <c r="C34" i="93"/>
  <c r="U40" i="298"/>
  <c r="J41" i="129"/>
  <c r="T50" i="298"/>
  <c r="M44" i="129"/>
  <c r="U53" i="298"/>
  <c r="J46" i="129"/>
  <c r="T55" i="298"/>
  <c r="J47" i="129"/>
  <c r="T56" i="298"/>
  <c r="C12" i="309"/>
  <c r="C16" i="309"/>
  <c r="C13" i="309"/>
  <c r="C15" i="309"/>
  <c r="K53" i="306"/>
  <c r="F16" i="309"/>
  <c r="K53" i="311"/>
  <c r="G16" i="309"/>
  <c r="C28" i="255"/>
  <c r="C30" i="255"/>
  <c r="C32" i="255"/>
  <c r="C33" i="255"/>
  <c r="C38" i="255"/>
  <c r="C39" i="255"/>
  <c r="C28" i="208"/>
  <c r="C30" i="208"/>
  <c r="C32" i="208"/>
  <c r="C33" i="208"/>
  <c r="C38" i="208"/>
  <c r="C28" i="207"/>
  <c r="C29" i="207"/>
  <c r="C32" i="207"/>
  <c r="C33" i="207"/>
  <c r="C38" i="207"/>
  <c r="C39" i="207"/>
  <c r="R39" i="294"/>
  <c r="T39" i="294"/>
  <c r="T41" i="294"/>
  <c r="J38" i="127"/>
  <c r="J41" i="127"/>
  <c r="S50" i="294"/>
  <c r="J44" i="127"/>
  <c r="S53" i="294"/>
  <c r="J45" i="127"/>
  <c r="J46" i="127"/>
  <c r="S55" i="294"/>
  <c r="J47" i="127"/>
  <c r="S56" i="294"/>
  <c r="G48" i="127"/>
  <c r="R57" i="294"/>
  <c r="C34" i="212"/>
  <c r="C40" i="212"/>
  <c r="C34" i="211"/>
  <c r="C40" i="211"/>
  <c r="C12" i="126"/>
  <c r="C29" i="181"/>
  <c r="D12" i="126"/>
  <c r="E12" i="126"/>
  <c r="K12" i="147"/>
  <c r="D13" i="126"/>
  <c r="G13" i="147"/>
  <c r="E13" i="126"/>
  <c r="C16" i="126"/>
  <c r="E16" i="126"/>
  <c r="C20" i="126"/>
  <c r="D20" i="126"/>
  <c r="D21" i="126"/>
  <c r="E20" i="126"/>
  <c r="E21" i="126"/>
  <c r="C21" i="126"/>
  <c r="C23" i="126"/>
  <c r="D23" i="126"/>
  <c r="D25" i="126"/>
  <c r="E23" i="126"/>
  <c r="K24" i="147"/>
  <c r="C24" i="126"/>
  <c r="D24" i="126"/>
  <c r="G25" i="147"/>
  <c r="E24" i="126"/>
  <c r="K25" i="147"/>
  <c r="C26" i="126"/>
  <c r="G26" i="62"/>
  <c r="D26" i="126"/>
  <c r="E26" i="126"/>
  <c r="C32" i="126"/>
  <c r="C33" i="147"/>
  <c r="D33" i="147"/>
  <c r="E33" i="147"/>
  <c r="D32" i="126"/>
  <c r="G33" i="147"/>
  <c r="E32" i="126"/>
  <c r="K33" i="147"/>
  <c r="C37" i="126"/>
  <c r="C38" i="126"/>
  <c r="D38" i="126"/>
  <c r="E38" i="126"/>
  <c r="C41" i="126"/>
  <c r="D41" i="126"/>
  <c r="E41" i="126"/>
  <c r="C46" i="126"/>
  <c r="G46" i="62"/>
  <c r="C51" i="126"/>
  <c r="H43" i="183"/>
  <c r="D51" i="126"/>
  <c r="H43" i="185"/>
  <c r="E51" i="126"/>
  <c r="E52" i="126"/>
  <c r="C52" i="126"/>
  <c r="C56" i="126"/>
  <c r="C39" i="181"/>
  <c r="C40" i="181"/>
  <c r="D56" i="126"/>
  <c r="E56" i="126"/>
  <c r="D16" i="135"/>
  <c r="F16" i="135"/>
  <c r="H16" i="135"/>
  <c r="H20" i="135"/>
  <c r="D17" i="135"/>
  <c r="D17" i="136"/>
  <c r="F17" i="135"/>
  <c r="H17" i="135"/>
  <c r="D18" i="135"/>
  <c r="F18" i="135"/>
  <c r="H18" i="135"/>
  <c r="D19" i="135"/>
  <c r="F19" i="135"/>
  <c r="H19" i="135"/>
  <c r="D20" i="135"/>
  <c r="D43" i="135"/>
  <c r="F20" i="135"/>
  <c r="G20" i="135"/>
  <c r="D23" i="135"/>
  <c r="F23" i="135"/>
  <c r="D24" i="135"/>
  <c r="D24" i="136"/>
  <c r="F24" i="135"/>
  <c r="H24" i="135"/>
  <c r="D25" i="135"/>
  <c r="F25" i="135"/>
  <c r="H25" i="135"/>
  <c r="D26" i="135"/>
  <c r="F26" i="135"/>
  <c r="H26" i="135"/>
  <c r="D27" i="135"/>
  <c r="G27" i="135"/>
  <c r="H30" i="135"/>
  <c r="H33" i="135"/>
  <c r="H31" i="135"/>
  <c r="H32" i="135"/>
  <c r="D33" i="135"/>
  <c r="F33" i="135"/>
  <c r="G33" i="135"/>
  <c r="H36" i="135"/>
  <c r="H37" i="135"/>
  <c r="H38" i="135"/>
  <c r="H39" i="135"/>
  <c r="H40" i="135"/>
  <c r="D41" i="135"/>
  <c r="F41" i="135"/>
  <c r="G41" i="135"/>
  <c r="D16" i="134"/>
  <c r="F16" i="134"/>
  <c r="D17" i="134"/>
  <c r="F17" i="134"/>
  <c r="H17" i="134"/>
  <c r="D18" i="134"/>
  <c r="D18" i="136"/>
  <c r="F18" i="134"/>
  <c r="H18" i="134"/>
  <c r="D19" i="134"/>
  <c r="F19" i="134"/>
  <c r="G20" i="134"/>
  <c r="D23" i="134"/>
  <c r="D27" i="134"/>
  <c r="F23" i="134"/>
  <c r="H23" i="134"/>
  <c r="H27" i="134"/>
  <c r="D24" i="134"/>
  <c r="F24" i="134"/>
  <c r="H24" i="134"/>
  <c r="D25" i="134"/>
  <c r="F25" i="134"/>
  <c r="H25" i="134"/>
  <c r="D26" i="134"/>
  <c r="F26" i="134"/>
  <c r="H26" i="134"/>
  <c r="F27" i="134"/>
  <c r="G27" i="134"/>
  <c r="H30" i="134"/>
  <c r="H31" i="134"/>
  <c r="H32" i="134"/>
  <c r="D33" i="134"/>
  <c r="F33" i="134"/>
  <c r="G33" i="134"/>
  <c r="H36" i="134"/>
  <c r="H37" i="134"/>
  <c r="H38" i="134"/>
  <c r="H39" i="134"/>
  <c r="H40" i="134"/>
  <c r="D41" i="134"/>
  <c r="F41" i="134"/>
  <c r="G41" i="134"/>
  <c r="H18" i="206"/>
  <c r="F18" i="136"/>
  <c r="H18" i="136"/>
  <c r="H19" i="206"/>
  <c r="D20" i="206"/>
  <c r="G20" i="206"/>
  <c r="H23" i="206"/>
  <c r="H24" i="206"/>
  <c r="H26" i="206"/>
  <c r="D27" i="206"/>
  <c r="G27" i="206"/>
  <c r="H30" i="206"/>
  <c r="H31" i="206"/>
  <c r="H32" i="206"/>
  <c r="D33" i="206"/>
  <c r="F33" i="206"/>
  <c r="G33" i="206"/>
  <c r="H36" i="206"/>
  <c r="D37" i="206"/>
  <c r="H37" i="206"/>
  <c r="H38" i="206"/>
  <c r="H39" i="206"/>
  <c r="H40" i="206"/>
  <c r="D41" i="206"/>
  <c r="F41" i="206"/>
  <c r="G41" i="206"/>
  <c r="G16" i="136"/>
  <c r="G20" i="136"/>
  <c r="G17" i="136"/>
  <c r="G18" i="136"/>
  <c r="D19" i="136"/>
  <c r="G19" i="136"/>
  <c r="D23" i="136"/>
  <c r="D27" i="136"/>
  <c r="G23" i="136"/>
  <c r="G24" i="136"/>
  <c r="D25" i="136"/>
  <c r="G25" i="136"/>
  <c r="D26" i="136"/>
  <c r="G26" i="136"/>
  <c r="D30" i="136"/>
  <c r="F30" i="136"/>
  <c r="G30" i="136"/>
  <c r="G33" i="136"/>
  <c r="D31" i="136"/>
  <c r="F31" i="136"/>
  <c r="G31" i="136"/>
  <c r="D32" i="136"/>
  <c r="F32" i="136"/>
  <c r="H32" i="136"/>
  <c r="G32" i="136"/>
  <c r="F33" i="136"/>
  <c r="D36" i="136"/>
  <c r="F36" i="136"/>
  <c r="G36" i="136"/>
  <c r="H36" i="136"/>
  <c r="H41" i="136"/>
  <c r="D37" i="136"/>
  <c r="F37" i="136"/>
  <c r="G37" i="136"/>
  <c r="H37" i="136"/>
  <c r="D38" i="136"/>
  <c r="F38" i="136"/>
  <c r="G38" i="136"/>
  <c r="H38" i="136"/>
  <c r="D39" i="136"/>
  <c r="F39" i="136"/>
  <c r="G39" i="136"/>
  <c r="H39" i="136"/>
  <c r="D40" i="136"/>
  <c r="D41" i="136"/>
  <c r="F40" i="136"/>
  <c r="G40" i="136"/>
  <c r="H40" i="136"/>
  <c r="F41" i="136"/>
  <c r="G12" i="137"/>
  <c r="H12" i="137"/>
  <c r="H14" i="137"/>
  <c r="C8" i="140"/>
  <c r="P8" i="140"/>
  <c r="I12" i="137"/>
  <c r="I14" i="137"/>
  <c r="C13" i="137"/>
  <c r="D13" i="137"/>
  <c r="E13" i="137"/>
  <c r="H13" i="137"/>
  <c r="J13" i="137"/>
  <c r="I13" i="137"/>
  <c r="H15" i="137"/>
  <c r="I15" i="137"/>
  <c r="C13" i="140"/>
  <c r="H16" i="137"/>
  <c r="C16" i="140"/>
  <c r="G17" i="137"/>
  <c r="H17" i="137"/>
  <c r="J17" i="137"/>
  <c r="I32" i="137"/>
  <c r="I35" i="137"/>
  <c r="C48" i="140"/>
  <c r="E48" i="140"/>
  <c r="I33" i="137"/>
  <c r="I22" i="137"/>
  <c r="C28" i="140"/>
  <c r="I28" i="140"/>
  <c r="H25" i="137"/>
  <c r="J25" i="137"/>
  <c r="I25" i="137"/>
  <c r="G28" i="137"/>
  <c r="H28" i="137"/>
  <c r="I28" i="137"/>
  <c r="C41" i="140"/>
  <c r="D41" i="140"/>
  <c r="H32" i="137"/>
  <c r="H35" i="137"/>
  <c r="C47" i="140"/>
  <c r="C33" i="137"/>
  <c r="H33" i="137"/>
  <c r="H34" i="137"/>
  <c r="I34" i="137"/>
  <c r="H38" i="137"/>
  <c r="I38" i="137"/>
  <c r="I42" i="137"/>
  <c r="I46" i="137"/>
  <c r="G39" i="137"/>
  <c r="H39" i="137"/>
  <c r="J39" i="137"/>
  <c r="I39" i="137"/>
  <c r="D40" i="137"/>
  <c r="E40" i="137"/>
  <c r="G40" i="137"/>
  <c r="H40" i="137"/>
  <c r="J40" i="137"/>
  <c r="I40" i="137"/>
  <c r="I41" i="137"/>
  <c r="E12" i="103"/>
  <c r="I12" i="103"/>
  <c r="M12" i="103"/>
  <c r="Q12" i="103"/>
  <c r="Q15" i="103"/>
  <c r="E13" i="103"/>
  <c r="I13" i="103"/>
  <c r="M13" i="103"/>
  <c r="Q13" i="103"/>
  <c r="E14" i="103"/>
  <c r="I14" i="103"/>
  <c r="M14" i="103"/>
  <c r="Q14" i="103"/>
  <c r="C15" i="103"/>
  <c r="D15" i="103"/>
  <c r="E15" i="103"/>
  <c r="F15" i="103"/>
  <c r="G15" i="103"/>
  <c r="H15" i="103"/>
  <c r="J15" i="103"/>
  <c r="K15" i="103"/>
  <c r="L15" i="103"/>
  <c r="N15" i="103"/>
  <c r="O15" i="103"/>
  <c r="P15" i="103"/>
  <c r="D12" i="147"/>
  <c r="E12" i="147"/>
  <c r="E17" i="147"/>
  <c r="G12" i="147"/>
  <c r="H12" i="147"/>
  <c r="I12" i="147"/>
  <c r="C9" i="173"/>
  <c r="L12" i="147"/>
  <c r="L17" i="147"/>
  <c r="M12" i="147"/>
  <c r="M17" i="147"/>
  <c r="C13" i="147"/>
  <c r="D13" i="147"/>
  <c r="F13" i="147"/>
  <c r="E13" i="147"/>
  <c r="H13" i="147"/>
  <c r="I13" i="147"/>
  <c r="C13" i="173"/>
  <c r="B43" i="231"/>
  <c r="K13" i="147"/>
  <c r="L13" i="147"/>
  <c r="N13" i="147"/>
  <c r="M13" i="147"/>
  <c r="I14" i="147"/>
  <c r="J14" i="147"/>
  <c r="M14" i="147"/>
  <c r="N14" i="147"/>
  <c r="C15" i="147"/>
  <c r="D15" i="147"/>
  <c r="F15" i="147"/>
  <c r="E15" i="147"/>
  <c r="G15" i="147"/>
  <c r="H15" i="147"/>
  <c r="J15" i="147"/>
  <c r="I15" i="147"/>
  <c r="K15" i="147"/>
  <c r="L15" i="147"/>
  <c r="N15" i="147"/>
  <c r="M15" i="147"/>
  <c r="C16" i="147"/>
  <c r="D16" i="147"/>
  <c r="F16" i="147"/>
  <c r="E16" i="147"/>
  <c r="G16" i="147"/>
  <c r="H16" i="147"/>
  <c r="I16" i="147"/>
  <c r="C22" i="173"/>
  <c r="I22" i="173"/>
  <c r="K16" i="147"/>
  <c r="L16" i="147"/>
  <c r="N16" i="147"/>
  <c r="M16" i="147"/>
  <c r="L31" i="147"/>
  <c r="L35" i="147"/>
  <c r="L40" i="147"/>
  <c r="N40" i="147"/>
  <c r="M31" i="147"/>
  <c r="M35" i="147"/>
  <c r="M40" i="147"/>
  <c r="C21" i="147"/>
  <c r="D21" i="147"/>
  <c r="D22" i="147"/>
  <c r="E21" i="147"/>
  <c r="G21" i="147"/>
  <c r="I21" i="147"/>
  <c r="I22" i="147"/>
  <c r="L21" i="147"/>
  <c r="M21" i="147"/>
  <c r="C22" i="147"/>
  <c r="E22" i="147"/>
  <c r="G22" i="147"/>
  <c r="M22" i="147"/>
  <c r="M27" i="147"/>
  <c r="M24" i="147"/>
  <c r="M26" i="147"/>
  <c r="M38" i="147"/>
  <c r="M43" i="147"/>
  <c r="M39" i="147"/>
  <c r="M41" i="147"/>
  <c r="M42" i="147"/>
  <c r="D24" i="147"/>
  <c r="D26" i="147"/>
  <c r="F26" i="147"/>
  <c r="E24" i="147"/>
  <c r="H24" i="147"/>
  <c r="I24" i="147"/>
  <c r="L24" i="147"/>
  <c r="C25" i="147"/>
  <c r="D25" i="147"/>
  <c r="F25" i="147"/>
  <c r="E25" i="147"/>
  <c r="H25" i="147"/>
  <c r="I25" i="147"/>
  <c r="C38" i="173"/>
  <c r="L25" i="147"/>
  <c r="N25" i="147"/>
  <c r="M25" i="147"/>
  <c r="D27" i="147"/>
  <c r="E26" i="147"/>
  <c r="I27" i="147"/>
  <c r="C42" i="173"/>
  <c r="I38" i="147"/>
  <c r="I43" i="147"/>
  <c r="I39" i="147"/>
  <c r="I41" i="147"/>
  <c r="I42" i="147"/>
  <c r="I31" i="147"/>
  <c r="I35" i="147"/>
  <c r="E27" i="147"/>
  <c r="E42" i="147"/>
  <c r="G27" i="147"/>
  <c r="H27" i="147"/>
  <c r="K27" i="147"/>
  <c r="L27" i="147"/>
  <c r="N27" i="147"/>
  <c r="C31" i="147"/>
  <c r="D31" i="147"/>
  <c r="E31" i="147"/>
  <c r="G31" i="147"/>
  <c r="H31" i="147"/>
  <c r="J31" i="147"/>
  <c r="J35" i="147"/>
  <c r="H40" i="147"/>
  <c r="J40" i="147"/>
  <c r="K31" i="147"/>
  <c r="C32" i="147"/>
  <c r="D32" i="147"/>
  <c r="E32" i="147"/>
  <c r="G32" i="147"/>
  <c r="H32" i="147"/>
  <c r="I32" i="147"/>
  <c r="K32" i="147"/>
  <c r="L32" i="147"/>
  <c r="N32" i="147"/>
  <c r="M32" i="147"/>
  <c r="H33" i="147"/>
  <c r="I33" i="147"/>
  <c r="L33" i="147"/>
  <c r="N33" i="147"/>
  <c r="M33" i="147"/>
  <c r="C34" i="147"/>
  <c r="D34" i="147"/>
  <c r="E34" i="147"/>
  <c r="G34" i="147"/>
  <c r="H34" i="147"/>
  <c r="J34" i="147"/>
  <c r="I34" i="147"/>
  <c r="K34" i="147"/>
  <c r="L34" i="147"/>
  <c r="M34" i="147"/>
  <c r="E35" i="147"/>
  <c r="C38" i="147"/>
  <c r="D38" i="147"/>
  <c r="D43" i="147"/>
  <c r="E38" i="147"/>
  <c r="E43" i="147"/>
  <c r="G38" i="147"/>
  <c r="H38" i="147"/>
  <c r="J38" i="147"/>
  <c r="J43" i="147"/>
  <c r="K38" i="147"/>
  <c r="L38" i="147"/>
  <c r="L43" i="147"/>
  <c r="C39" i="147"/>
  <c r="D39" i="147"/>
  <c r="E39" i="147"/>
  <c r="G39" i="147"/>
  <c r="H39" i="147"/>
  <c r="J39" i="147"/>
  <c r="K39" i="147"/>
  <c r="L39" i="147"/>
  <c r="N39" i="147"/>
  <c r="C40" i="147"/>
  <c r="D40" i="147"/>
  <c r="F40" i="147"/>
  <c r="D41" i="147"/>
  <c r="F41" i="147"/>
  <c r="E40" i="147"/>
  <c r="G40" i="147"/>
  <c r="I40" i="147"/>
  <c r="K40" i="147"/>
  <c r="C41" i="147"/>
  <c r="E41" i="147"/>
  <c r="G41" i="147"/>
  <c r="H41" i="147"/>
  <c r="J41" i="147"/>
  <c r="K41" i="147"/>
  <c r="L41" i="147"/>
  <c r="N41" i="147"/>
  <c r="C42" i="147"/>
  <c r="D42" i="147"/>
  <c r="F42" i="147"/>
  <c r="G42" i="147"/>
  <c r="H42" i="147"/>
  <c r="J42" i="147"/>
  <c r="K42" i="147"/>
  <c r="L42" i="147"/>
  <c r="N42" i="147"/>
  <c r="C45" i="147"/>
  <c r="D45" i="147"/>
  <c r="D46" i="147"/>
  <c r="E45" i="147"/>
  <c r="E46" i="147"/>
  <c r="D50" i="147"/>
  <c r="G45" i="147"/>
  <c r="H45" i="147"/>
  <c r="J45" i="147"/>
  <c r="J46" i="147"/>
  <c r="I45" i="147"/>
  <c r="I46" i="147"/>
  <c r="K45" i="147"/>
  <c r="L45" i="147"/>
  <c r="M45" i="147"/>
  <c r="M46" i="147"/>
  <c r="G46" i="147"/>
  <c r="C50" i="147"/>
  <c r="E50" i="147"/>
  <c r="E58" i="147"/>
  <c r="G50" i="147"/>
  <c r="H50" i="147"/>
  <c r="J50" i="147"/>
  <c r="J58" i="147"/>
  <c r="I50" i="147"/>
  <c r="I58" i="147"/>
  <c r="K50" i="147"/>
  <c r="L50" i="147"/>
  <c r="L58" i="147"/>
  <c r="M50" i="147"/>
  <c r="M58" i="147"/>
  <c r="D51" i="147"/>
  <c r="E51" i="147"/>
  <c r="G51" i="147"/>
  <c r="H51" i="147"/>
  <c r="J51" i="147"/>
  <c r="I51" i="147"/>
  <c r="K51" i="147"/>
  <c r="L51" i="147"/>
  <c r="M51" i="147"/>
  <c r="C52" i="147"/>
  <c r="D52" i="147"/>
  <c r="F52" i="147"/>
  <c r="E52" i="147"/>
  <c r="G52" i="147"/>
  <c r="H52" i="147"/>
  <c r="J52" i="147"/>
  <c r="I52" i="147"/>
  <c r="K52" i="147"/>
  <c r="L52" i="147"/>
  <c r="N52" i="147"/>
  <c r="M52" i="147"/>
  <c r="C53" i="147"/>
  <c r="D53" i="147"/>
  <c r="F53" i="147"/>
  <c r="E53" i="147"/>
  <c r="G53" i="147"/>
  <c r="H53" i="147"/>
  <c r="I53" i="147"/>
  <c r="K53" i="147"/>
  <c r="L53" i="147"/>
  <c r="N53" i="147"/>
  <c r="M53" i="147"/>
  <c r="C54" i="147"/>
  <c r="D54" i="147"/>
  <c r="F54" i="147"/>
  <c r="E54" i="147"/>
  <c r="G54" i="147"/>
  <c r="H54" i="147"/>
  <c r="I54" i="147"/>
  <c r="K54" i="147"/>
  <c r="L54" i="147"/>
  <c r="N54" i="147"/>
  <c r="M54" i="147"/>
  <c r="C55" i="147"/>
  <c r="D55" i="147"/>
  <c r="F55" i="147"/>
  <c r="E55" i="147"/>
  <c r="G55" i="147"/>
  <c r="H55" i="147"/>
  <c r="J55" i="147"/>
  <c r="I55" i="147"/>
  <c r="K55" i="147"/>
  <c r="L55" i="147"/>
  <c r="N55" i="147"/>
  <c r="M55" i="147"/>
  <c r="C56" i="147"/>
  <c r="D56" i="147"/>
  <c r="F56" i="147"/>
  <c r="E56" i="147"/>
  <c r="G56" i="147"/>
  <c r="H56" i="147"/>
  <c r="J56" i="147"/>
  <c r="I56" i="147"/>
  <c r="K56" i="147"/>
  <c r="L56" i="147"/>
  <c r="N56" i="147"/>
  <c r="M56" i="147"/>
  <c r="C57" i="147"/>
  <c r="D57" i="147"/>
  <c r="E57" i="147"/>
  <c r="H57" i="147"/>
  <c r="J57" i="147"/>
  <c r="I57" i="147"/>
  <c r="L57" i="147"/>
  <c r="M57" i="147"/>
  <c r="C12" i="62"/>
  <c r="D12" i="62"/>
  <c r="D16" i="62"/>
  <c r="E12" i="62"/>
  <c r="E16" i="62"/>
  <c r="G12" i="62"/>
  <c r="H12" i="62"/>
  <c r="C29" i="92"/>
  <c r="C30" i="92"/>
  <c r="I12" i="62"/>
  <c r="I16" i="62"/>
  <c r="F13" i="62"/>
  <c r="G13" i="62"/>
  <c r="H13" i="62"/>
  <c r="J13" i="62"/>
  <c r="I13" i="62"/>
  <c r="E15" i="137"/>
  <c r="F14" i="62"/>
  <c r="G14" i="62"/>
  <c r="H14" i="62"/>
  <c r="D16" i="137"/>
  <c r="I14" i="62"/>
  <c r="E16" i="137"/>
  <c r="F15" i="62"/>
  <c r="G15" i="62"/>
  <c r="C17" i="137"/>
  <c r="H15" i="62"/>
  <c r="I15" i="62"/>
  <c r="E17" i="137"/>
  <c r="F20" i="62"/>
  <c r="F21" i="62"/>
  <c r="G20" i="62"/>
  <c r="H20" i="62"/>
  <c r="I20" i="62"/>
  <c r="E22" i="137"/>
  <c r="E23" i="137"/>
  <c r="C21" i="62"/>
  <c r="D21" i="62"/>
  <c r="E21" i="62"/>
  <c r="G21" i="62"/>
  <c r="F23" i="62"/>
  <c r="G23" i="62"/>
  <c r="H23" i="62"/>
  <c r="D25" i="137"/>
  <c r="I23" i="62"/>
  <c r="I25" i="62"/>
  <c r="F24" i="62"/>
  <c r="G24" i="62"/>
  <c r="H24" i="62"/>
  <c r="J24" i="62"/>
  <c r="I24" i="62"/>
  <c r="E26" i="137"/>
  <c r="C25" i="62"/>
  <c r="D25" i="62"/>
  <c r="E25" i="62"/>
  <c r="F25" i="62"/>
  <c r="F26" i="62"/>
  <c r="F27" i="62"/>
  <c r="F55" i="62"/>
  <c r="H26" i="62"/>
  <c r="D28" i="137"/>
  <c r="F28" i="137"/>
  <c r="I26" i="62"/>
  <c r="E28" i="137"/>
  <c r="F30" i="62"/>
  <c r="F32" i="62"/>
  <c r="G30" i="62"/>
  <c r="H30" i="62"/>
  <c r="J30" i="62"/>
  <c r="J32" i="62"/>
  <c r="I30" i="62"/>
  <c r="I32" i="62"/>
  <c r="F31" i="62"/>
  <c r="G31" i="62"/>
  <c r="H31" i="62"/>
  <c r="J31" i="62"/>
  <c r="I31" i="62"/>
  <c r="C32" i="62"/>
  <c r="D32" i="62"/>
  <c r="E32" i="62"/>
  <c r="F35" i="62"/>
  <c r="F38" i="62"/>
  <c r="G35" i="62"/>
  <c r="H35" i="62"/>
  <c r="H38" i="62"/>
  <c r="I35" i="62"/>
  <c r="E32" i="137"/>
  <c r="E35" i="137"/>
  <c r="F36" i="62"/>
  <c r="G36" i="62"/>
  <c r="H36" i="62"/>
  <c r="D33" i="137"/>
  <c r="I36" i="62"/>
  <c r="E33" i="137"/>
  <c r="F37" i="62"/>
  <c r="G37" i="62"/>
  <c r="H37" i="62"/>
  <c r="I37" i="62"/>
  <c r="E34" i="137"/>
  <c r="C38" i="62"/>
  <c r="D38" i="62"/>
  <c r="E38" i="62"/>
  <c r="G38" i="62"/>
  <c r="F40" i="62"/>
  <c r="F41" i="62"/>
  <c r="G40" i="62"/>
  <c r="H40" i="62"/>
  <c r="I40" i="62"/>
  <c r="C41" i="62"/>
  <c r="D41" i="62"/>
  <c r="E41" i="62"/>
  <c r="F45" i="62"/>
  <c r="F56" i="62"/>
  <c r="G45" i="62"/>
  <c r="H45" i="62"/>
  <c r="H52" i="62"/>
  <c r="I45" i="62"/>
  <c r="F46" i="62"/>
  <c r="H46" i="62"/>
  <c r="I46" i="62"/>
  <c r="F47" i="62"/>
  <c r="G47" i="62"/>
  <c r="H47" i="62"/>
  <c r="I47" i="62"/>
  <c r="E38" i="137"/>
  <c r="E42" i="137"/>
  <c r="E46" i="137"/>
  <c r="F48" i="62"/>
  <c r="G48" i="62"/>
  <c r="H48" i="62"/>
  <c r="I48" i="62"/>
  <c r="E39" i="137"/>
  <c r="F49" i="62"/>
  <c r="G49" i="62"/>
  <c r="J49" i="62"/>
  <c r="F50" i="62"/>
  <c r="G50" i="62"/>
  <c r="H50" i="62"/>
  <c r="J50" i="62"/>
  <c r="I50" i="62"/>
  <c r="E41" i="137"/>
  <c r="F51" i="62"/>
  <c r="G51" i="62"/>
  <c r="H51" i="62"/>
  <c r="J51" i="62"/>
  <c r="I51" i="62"/>
  <c r="C52" i="62"/>
  <c r="D52" i="62"/>
  <c r="E52" i="62"/>
  <c r="F52" i="62"/>
  <c r="I52" i="62"/>
  <c r="C56" i="62"/>
  <c r="D56" i="62"/>
  <c r="E56" i="62"/>
  <c r="G51" i="307"/>
  <c r="I38" i="318"/>
  <c r="K25" i="318"/>
  <c r="M26" i="129"/>
  <c r="K38" i="318"/>
  <c r="K33" i="312"/>
  <c r="K19" i="312"/>
  <c r="J20" i="129"/>
  <c r="K20" i="312"/>
  <c r="J21" i="129"/>
  <c r="K21" i="307"/>
  <c r="G22" i="129"/>
  <c r="H23" i="307"/>
  <c r="K40" i="307"/>
  <c r="G41" i="129"/>
  <c r="S50" i="298"/>
  <c r="C26" i="140"/>
  <c r="G23" i="137"/>
  <c r="G43" i="147"/>
  <c r="C39" i="137"/>
  <c r="S10" i="102"/>
  <c r="T13" i="237"/>
  <c r="T63" i="237"/>
  <c r="X19" i="238"/>
  <c r="N64" i="238"/>
  <c r="E17" i="238"/>
  <c r="J15" i="238"/>
  <c r="C38" i="137"/>
  <c r="H16" i="134"/>
  <c r="H20" i="134"/>
  <c r="F20" i="134"/>
  <c r="F43" i="134"/>
  <c r="R65" i="173"/>
  <c r="R71" i="173"/>
  <c r="W13" i="173"/>
  <c r="M10" i="139"/>
  <c r="Q10" i="139"/>
  <c r="N10" i="139"/>
  <c r="G15" i="137"/>
  <c r="C11" i="140"/>
  <c r="P11" i="140"/>
  <c r="O10" i="139"/>
  <c r="G56" i="62"/>
  <c r="G25" i="62"/>
  <c r="D54" i="62"/>
  <c r="N38" i="147"/>
  <c r="N43" i="147"/>
  <c r="C35" i="147"/>
  <c r="H26" i="147"/>
  <c r="R11" i="102"/>
  <c r="D27" i="178"/>
  <c r="M29" i="140"/>
  <c r="N58" i="140"/>
  <c r="V22" i="173"/>
  <c r="G19" i="173"/>
  <c r="D27" i="176"/>
  <c r="T76" i="174"/>
  <c r="F28" i="131"/>
  <c r="B51" i="131"/>
  <c r="J28" i="121"/>
  <c r="B59" i="121"/>
  <c r="K39" i="174"/>
  <c r="D36" i="230"/>
  <c r="X18" i="174"/>
  <c r="I9" i="139"/>
  <c r="D50" i="183"/>
  <c r="B35" i="184"/>
  <c r="K43" i="237"/>
  <c r="N39" i="237"/>
  <c r="E9" i="237"/>
  <c r="N20" i="238"/>
  <c r="X20" i="238"/>
  <c r="W7" i="238"/>
  <c r="M9" i="238"/>
  <c r="W9" i="238"/>
  <c r="H19" i="134"/>
  <c r="F19" i="136"/>
  <c r="H19" i="136"/>
  <c r="F43" i="135"/>
  <c r="O56" i="102"/>
  <c r="J20" i="122"/>
  <c r="H45" i="122"/>
  <c r="W38" i="174"/>
  <c r="D20" i="134"/>
  <c r="D16" i="136"/>
  <c r="D20" i="136"/>
  <c r="H23" i="135"/>
  <c r="H27" i="135"/>
  <c r="F27" i="135"/>
  <c r="G41" i="62"/>
  <c r="E27" i="62"/>
  <c r="E55" i="62"/>
  <c r="D12" i="137"/>
  <c r="D14" i="137"/>
  <c r="D18" i="137"/>
  <c r="F12" i="62"/>
  <c r="F16" i="62"/>
  <c r="F54" i="62"/>
  <c r="J54" i="147"/>
  <c r="N51" i="147"/>
  <c r="K46" i="147"/>
  <c r="K43" i="147"/>
  <c r="C34" i="137"/>
  <c r="C39" i="140"/>
  <c r="C25" i="137"/>
  <c r="G14" i="137"/>
  <c r="C7" i="140"/>
  <c r="P7" i="140"/>
  <c r="H31" i="136"/>
  <c r="D43" i="206"/>
  <c r="G43" i="135"/>
  <c r="C27" i="126"/>
  <c r="C55" i="126"/>
  <c r="C33" i="181"/>
  <c r="G61" i="102"/>
  <c r="C61" i="102"/>
  <c r="D68" i="140"/>
  <c r="E70" i="173"/>
  <c r="N14" i="173"/>
  <c r="F10" i="173"/>
  <c r="X46" i="174"/>
  <c r="N47" i="174"/>
  <c r="X47" i="174"/>
  <c r="N43" i="174"/>
  <c r="J38" i="174"/>
  <c r="J26" i="121"/>
  <c r="I37" i="174"/>
  <c r="R32" i="174"/>
  <c r="M20" i="174"/>
  <c r="V63" i="174"/>
  <c r="V13" i="174"/>
  <c r="V28" i="174"/>
  <c r="K13" i="174"/>
  <c r="M9" i="174"/>
  <c r="W9" i="174"/>
  <c r="K25" i="183"/>
  <c r="I27" i="183"/>
  <c r="K27" i="183"/>
  <c r="X45" i="238"/>
  <c r="N47" i="238"/>
  <c r="X47" i="238"/>
  <c r="J42" i="238"/>
  <c r="N23" i="238"/>
  <c r="X21" i="238"/>
  <c r="K26" i="109"/>
  <c r="F23" i="238"/>
  <c r="F74" i="167"/>
  <c r="D35" i="232"/>
  <c r="X16" i="174"/>
  <c r="G58" i="147"/>
  <c r="G62" i="147"/>
  <c r="C43" i="147"/>
  <c r="J32" i="147"/>
  <c r="M15" i="103"/>
  <c r="G41" i="136"/>
  <c r="H30" i="136"/>
  <c r="H33" i="136"/>
  <c r="F27" i="206"/>
  <c r="I38" i="62"/>
  <c r="D27" i="62"/>
  <c r="D55" i="62"/>
  <c r="C22" i="137"/>
  <c r="C46" i="147"/>
  <c r="N34" i="147"/>
  <c r="C41" i="137"/>
  <c r="G38" i="137"/>
  <c r="G26" i="137"/>
  <c r="C15" i="137"/>
  <c r="F13" i="137"/>
  <c r="C12" i="137"/>
  <c r="C14" i="137"/>
  <c r="C18" i="137"/>
  <c r="D33" i="136"/>
  <c r="G27" i="136"/>
  <c r="G43" i="136"/>
  <c r="F16" i="136"/>
  <c r="H16" i="206"/>
  <c r="D43" i="134"/>
  <c r="H41" i="134"/>
  <c r="F24" i="136"/>
  <c r="H24" i="136"/>
  <c r="F41" i="102"/>
  <c r="M68" i="140"/>
  <c r="N34" i="140"/>
  <c r="F34" i="140"/>
  <c r="J28" i="140"/>
  <c r="K18" i="140"/>
  <c r="G58" i="140"/>
  <c r="J8" i="140"/>
  <c r="O43" i="173"/>
  <c r="V33" i="173"/>
  <c r="D45" i="176"/>
  <c r="W28" i="173"/>
  <c r="D34" i="176"/>
  <c r="W21" i="173"/>
  <c r="J13" i="173"/>
  <c r="G60" i="173"/>
  <c r="F14" i="173"/>
  <c r="K10" i="173"/>
  <c r="F26" i="131"/>
  <c r="F31" i="131"/>
  <c r="F47" i="174"/>
  <c r="J26" i="124"/>
  <c r="F43" i="174"/>
  <c r="J26" i="122"/>
  <c r="O68" i="174"/>
  <c r="J33" i="174"/>
  <c r="K23" i="174"/>
  <c r="J21" i="174"/>
  <c r="X15" i="174"/>
  <c r="X12" i="174"/>
  <c r="P10" i="139"/>
  <c r="I8" i="183"/>
  <c r="K8" i="183"/>
  <c r="C11" i="183"/>
  <c r="C47" i="183"/>
  <c r="G22" i="94"/>
  <c r="G48" i="94"/>
  <c r="G50" i="94"/>
  <c r="B38" i="138"/>
  <c r="C22" i="94"/>
  <c r="C48" i="94"/>
  <c r="F27" i="165"/>
  <c r="F60" i="165"/>
  <c r="J20" i="109"/>
  <c r="H45" i="109"/>
  <c r="W21" i="237"/>
  <c r="J26" i="109"/>
  <c r="L28" i="121"/>
  <c r="B61" i="121"/>
  <c r="K39" i="238"/>
  <c r="K67" i="238"/>
  <c r="J37" i="238"/>
  <c r="G68" i="238"/>
  <c r="L20" i="115"/>
  <c r="H47" i="115"/>
  <c r="M34" i="238"/>
  <c r="W34" i="238"/>
  <c r="M63" i="238"/>
  <c r="W18" i="238"/>
  <c r="V23" i="238"/>
  <c r="I51" i="167"/>
  <c r="W34" i="292"/>
  <c r="W32" i="292"/>
  <c r="F68" i="293"/>
  <c r="H40" i="289"/>
  <c r="H72" i="289"/>
  <c r="N11" i="83"/>
  <c r="D17" i="241"/>
  <c r="F47" i="185"/>
  <c r="K14" i="187"/>
  <c r="I15" i="187"/>
  <c r="K15" i="187"/>
  <c r="F22" i="94"/>
  <c r="I22" i="94"/>
  <c r="P20" i="142"/>
  <c r="I22" i="142"/>
  <c r="I24" i="142"/>
  <c r="E27" i="165"/>
  <c r="E47" i="237"/>
  <c r="R66" i="290"/>
  <c r="Q32" i="290"/>
  <c r="D21" i="290"/>
  <c r="D23" i="290"/>
  <c r="C23" i="290"/>
  <c r="D12" i="290"/>
  <c r="Q12" i="290"/>
  <c r="N3" i="290"/>
  <c r="N13" i="290"/>
  <c r="D8" i="290"/>
  <c r="H70" i="238"/>
  <c r="P45" i="238"/>
  <c r="O43" i="238"/>
  <c r="L28" i="124"/>
  <c r="B59" i="124"/>
  <c r="K43" i="238"/>
  <c r="J41" i="238"/>
  <c r="E43" i="238"/>
  <c r="J43" i="238"/>
  <c r="L26" i="122"/>
  <c r="O39" i="238"/>
  <c r="P32" i="238"/>
  <c r="F26" i="253"/>
  <c r="F20" i="238"/>
  <c r="N28" i="86"/>
  <c r="B65" i="86"/>
  <c r="K9" i="238"/>
  <c r="J12" i="121"/>
  <c r="F27" i="167"/>
  <c r="F29" i="167"/>
  <c r="F73" i="167"/>
  <c r="L13" i="83"/>
  <c r="I12" i="109"/>
  <c r="F18" i="167"/>
  <c r="F72" i="167"/>
  <c r="F47" i="95"/>
  <c r="D40" i="145"/>
  <c r="B35" i="144"/>
  <c r="I43" i="239"/>
  <c r="I51" i="239"/>
  <c r="E40" i="239"/>
  <c r="W62" i="292"/>
  <c r="M74" i="292"/>
  <c r="W74" i="292"/>
  <c r="W46" i="292"/>
  <c r="K67" i="292"/>
  <c r="K63" i="292"/>
  <c r="H41" i="206"/>
  <c r="E62" i="102"/>
  <c r="O21" i="102"/>
  <c r="K21" i="102"/>
  <c r="G21" i="102"/>
  <c r="E21" i="102"/>
  <c r="J21" i="102"/>
  <c r="D58" i="102"/>
  <c r="O9" i="102"/>
  <c r="K9" i="102"/>
  <c r="G57" i="102"/>
  <c r="N68" i="140"/>
  <c r="G68" i="140"/>
  <c r="O42" i="140"/>
  <c r="J36" i="140"/>
  <c r="N29" i="140"/>
  <c r="F29" i="140"/>
  <c r="M10" i="140"/>
  <c r="S44" i="173"/>
  <c r="E43" i="173"/>
  <c r="M39" i="173"/>
  <c r="R44" i="173"/>
  <c r="E63" i="173"/>
  <c r="J29" i="173"/>
  <c r="S65" i="174"/>
  <c r="O37" i="174"/>
  <c r="Y19" i="174"/>
  <c r="J11" i="174"/>
  <c r="D24" i="139"/>
  <c r="D38" i="139"/>
  <c r="K41" i="183"/>
  <c r="K39" i="183"/>
  <c r="F48" i="183"/>
  <c r="F50" i="183"/>
  <c r="B37" i="184"/>
  <c r="I18" i="183"/>
  <c r="K18" i="183"/>
  <c r="F20" i="183"/>
  <c r="G22" i="183"/>
  <c r="G48" i="183"/>
  <c r="I18" i="185"/>
  <c r="K18" i="185"/>
  <c r="F20" i="185"/>
  <c r="K34" i="187"/>
  <c r="I35" i="187"/>
  <c r="K35" i="187"/>
  <c r="K26" i="187"/>
  <c r="T14" i="187"/>
  <c r="F47" i="187"/>
  <c r="C39" i="142"/>
  <c r="C40" i="142"/>
  <c r="P18" i="142"/>
  <c r="D41" i="237"/>
  <c r="D43" i="237"/>
  <c r="K26" i="116"/>
  <c r="C63" i="290"/>
  <c r="N74" i="290"/>
  <c r="W41" i="290"/>
  <c r="M43" i="290"/>
  <c r="W43" i="290"/>
  <c r="Y43" i="290"/>
  <c r="P22" i="290"/>
  <c r="Z21" i="290"/>
  <c r="G23" i="290"/>
  <c r="J23" i="290"/>
  <c r="J16" i="290"/>
  <c r="E64" i="290"/>
  <c r="K17" i="290"/>
  <c r="W43" i="238"/>
  <c r="L20" i="116"/>
  <c r="H47" i="116"/>
  <c r="M68" i="238"/>
  <c r="G34" i="238"/>
  <c r="G67" i="238"/>
  <c r="N13" i="238"/>
  <c r="C9" i="238"/>
  <c r="I9" i="238"/>
  <c r="I25" i="167"/>
  <c r="D29" i="167"/>
  <c r="F48" i="95"/>
  <c r="I22" i="95"/>
  <c r="O21" i="145"/>
  <c r="I22" i="145"/>
  <c r="I24" i="145"/>
  <c r="I38" i="145"/>
  <c r="I14" i="239"/>
  <c r="F18" i="239"/>
  <c r="N67" i="292"/>
  <c r="X38" i="292"/>
  <c r="S23" i="292"/>
  <c r="E63" i="292"/>
  <c r="I40" i="171"/>
  <c r="C75" i="171"/>
  <c r="B34" i="172"/>
  <c r="C73" i="171"/>
  <c r="H72" i="171"/>
  <c r="J50" i="213"/>
  <c r="J24" i="213"/>
  <c r="H26" i="213"/>
  <c r="H53" i="213"/>
  <c r="D26" i="213"/>
  <c r="D53" i="213"/>
  <c r="H33" i="206"/>
  <c r="G43" i="134"/>
  <c r="H41" i="135"/>
  <c r="C27" i="62"/>
  <c r="C55" i="62"/>
  <c r="E54" i="62"/>
  <c r="G57" i="147"/>
  <c r="J53" i="147"/>
  <c r="F39" i="147"/>
  <c r="N31" i="147"/>
  <c r="N35" i="147"/>
  <c r="C12" i="147"/>
  <c r="C17" i="147"/>
  <c r="C60" i="147"/>
  <c r="I15" i="103"/>
  <c r="F26" i="136"/>
  <c r="H26" i="136"/>
  <c r="G43" i="206"/>
  <c r="F23" i="136"/>
  <c r="H33" i="134"/>
  <c r="D52" i="126"/>
  <c r="C25" i="126"/>
  <c r="E56" i="102"/>
  <c r="E41" i="102"/>
  <c r="D41" i="102"/>
  <c r="K41" i="102"/>
  <c r="G41" i="102"/>
  <c r="C41" i="102"/>
  <c r="M13" i="102"/>
  <c r="O68" i="140"/>
  <c r="N42" i="140"/>
  <c r="F42" i="140"/>
  <c r="G38" i="140"/>
  <c r="O38" i="140"/>
  <c r="O63" i="140"/>
  <c r="M22" i="140"/>
  <c r="F58" i="140"/>
  <c r="M18" i="140"/>
  <c r="O59" i="140"/>
  <c r="O71" i="140"/>
  <c r="O10" i="140"/>
  <c r="V42" i="173"/>
  <c r="W41" i="173"/>
  <c r="V37" i="173"/>
  <c r="G35" i="173"/>
  <c r="O19" i="173"/>
  <c r="E19" i="173"/>
  <c r="G63" i="174"/>
  <c r="J42" i="174"/>
  <c r="N37" i="174"/>
  <c r="G37" i="174"/>
  <c r="G39" i="174"/>
  <c r="W34" i="174"/>
  <c r="W20" i="174"/>
  <c r="O13" i="174"/>
  <c r="H24" i="139"/>
  <c r="H38" i="139"/>
  <c r="E24" i="139"/>
  <c r="E38" i="139"/>
  <c r="K21" i="183"/>
  <c r="F22" i="183"/>
  <c r="G47" i="183"/>
  <c r="E47" i="183"/>
  <c r="E50" i="183"/>
  <c r="B36" i="184"/>
  <c r="K37" i="187"/>
  <c r="I7" i="187"/>
  <c r="I35" i="94"/>
  <c r="I36" i="94"/>
  <c r="E36" i="94"/>
  <c r="O74" i="237"/>
  <c r="R74" i="237"/>
  <c r="O43" i="237"/>
  <c r="O39" i="237"/>
  <c r="J27" i="237"/>
  <c r="B45" i="247"/>
  <c r="C71" i="290"/>
  <c r="E67" i="290"/>
  <c r="E69" i="290"/>
  <c r="X62" i="290"/>
  <c r="O39" i="290"/>
  <c r="R33" i="290"/>
  <c r="X27" i="290"/>
  <c r="Q21" i="290"/>
  <c r="W21" i="290"/>
  <c r="Y21" i="290"/>
  <c r="M23" i="290"/>
  <c r="M63" i="290"/>
  <c r="I21" i="290"/>
  <c r="F23" i="290"/>
  <c r="I23" i="290"/>
  <c r="D16" i="290"/>
  <c r="O17" i="290"/>
  <c r="N64" i="290"/>
  <c r="I12" i="290"/>
  <c r="P7" i="290"/>
  <c r="R7" i="290"/>
  <c r="H62" i="238"/>
  <c r="M47" i="238"/>
  <c r="M48" i="238"/>
  <c r="O47" i="238"/>
  <c r="L26" i="125"/>
  <c r="R41" i="238"/>
  <c r="W33" i="238"/>
  <c r="L26" i="115"/>
  <c r="F67" i="238"/>
  <c r="O23" i="238"/>
  <c r="N63" i="238"/>
  <c r="N65" i="238"/>
  <c r="I40" i="95"/>
  <c r="I45" i="95"/>
  <c r="E45" i="95"/>
  <c r="I27" i="95"/>
  <c r="I28" i="95"/>
  <c r="I47" i="95"/>
  <c r="E28" i="95"/>
  <c r="E48" i="95"/>
  <c r="F24" i="145"/>
  <c r="F38" i="145"/>
  <c r="F40" i="145"/>
  <c r="B37" i="144"/>
  <c r="D62" i="169"/>
  <c r="G68" i="292"/>
  <c r="D26" i="292"/>
  <c r="D27" i="292"/>
  <c r="Y26" i="292"/>
  <c r="R26" i="292"/>
  <c r="K64" i="292"/>
  <c r="E67" i="293"/>
  <c r="S12" i="296"/>
  <c r="T63" i="293"/>
  <c r="T75" i="293"/>
  <c r="T77" i="293"/>
  <c r="T13" i="293"/>
  <c r="S10" i="296"/>
  <c r="W11" i="293"/>
  <c r="M63" i="293"/>
  <c r="I49" i="241"/>
  <c r="L12" i="86"/>
  <c r="G8" i="174"/>
  <c r="G64" i="174"/>
  <c r="O8" i="174"/>
  <c r="O64" i="174"/>
  <c r="I13" i="110"/>
  <c r="G18" i="171"/>
  <c r="I93" i="192"/>
  <c r="E38" i="145"/>
  <c r="D74" i="289"/>
  <c r="F74" i="289"/>
  <c r="I12" i="289"/>
  <c r="I51" i="241"/>
  <c r="I50" i="241"/>
  <c r="F52" i="241"/>
  <c r="I26" i="241"/>
  <c r="G17" i="241"/>
  <c r="G54" i="241"/>
  <c r="E93" i="192"/>
  <c r="L50" i="192"/>
  <c r="G12" i="132"/>
  <c r="I28" i="243"/>
  <c r="E48" i="185"/>
  <c r="G22" i="185"/>
  <c r="G48" i="185"/>
  <c r="C22" i="185"/>
  <c r="C48" i="185"/>
  <c r="G47" i="185"/>
  <c r="D47" i="187"/>
  <c r="K21" i="187"/>
  <c r="I33" i="94"/>
  <c r="F40" i="142"/>
  <c r="I9" i="142"/>
  <c r="I13" i="142"/>
  <c r="I37" i="142"/>
  <c r="G57" i="165"/>
  <c r="G61" i="165"/>
  <c r="G59" i="165"/>
  <c r="V63" i="237"/>
  <c r="T48" i="237"/>
  <c r="N45" i="237"/>
  <c r="N67" i="237"/>
  <c r="W39" i="237"/>
  <c r="D37" i="237"/>
  <c r="D39" i="237"/>
  <c r="T28" i="237"/>
  <c r="R62" i="290"/>
  <c r="J45" i="290"/>
  <c r="S48" i="290"/>
  <c r="N23" i="290"/>
  <c r="X23" i="290"/>
  <c r="J21" i="290"/>
  <c r="J19" i="290"/>
  <c r="D18" i="290"/>
  <c r="D20" i="290"/>
  <c r="S23" i="290"/>
  <c r="J12" i="290"/>
  <c r="F64" i="238"/>
  <c r="F76" i="238"/>
  <c r="F74" i="238"/>
  <c r="Z19" i="238"/>
  <c r="U23" i="238"/>
  <c r="M17" i="238"/>
  <c r="W17" i="238"/>
  <c r="N20" i="83"/>
  <c r="H49" i="83"/>
  <c r="G29" i="167"/>
  <c r="G73" i="167"/>
  <c r="I26" i="167"/>
  <c r="H29" i="167"/>
  <c r="C29" i="167"/>
  <c r="E33" i="95"/>
  <c r="H22" i="95"/>
  <c r="H48" i="95"/>
  <c r="D22" i="95"/>
  <c r="D48" i="95"/>
  <c r="E22" i="95"/>
  <c r="C58" i="169"/>
  <c r="F28" i="169"/>
  <c r="F61" i="169"/>
  <c r="I26" i="169"/>
  <c r="G28" i="169"/>
  <c r="G61" i="169"/>
  <c r="G18" i="239"/>
  <c r="G72" i="239"/>
  <c r="T69" i="292"/>
  <c r="G63" i="292"/>
  <c r="G65" i="292"/>
  <c r="X46" i="292"/>
  <c r="X34" i="292"/>
  <c r="S28" i="292"/>
  <c r="V23" i="292"/>
  <c r="V28" i="292"/>
  <c r="W7" i="292"/>
  <c r="M68" i="293"/>
  <c r="W68" i="293"/>
  <c r="S69" i="293"/>
  <c r="M47" i="293"/>
  <c r="X19" i="293"/>
  <c r="Z19" i="293"/>
  <c r="W16" i="293"/>
  <c r="C70" i="289"/>
  <c r="C74" i="289"/>
  <c r="I74" i="289"/>
  <c r="I13" i="289"/>
  <c r="I48" i="241"/>
  <c r="I33" i="241"/>
  <c r="E26" i="241"/>
  <c r="D29" i="171"/>
  <c r="D73" i="171"/>
  <c r="E22" i="171"/>
  <c r="F18" i="171"/>
  <c r="F72" i="171"/>
  <c r="J50" i="163"/>
  <c r="J52" i="163"/>
  <c r="J56" i="163"/>
  <c r="I23" i="163"/>
  <c r="I27" i="163"/>
  <c r="E23" i="163"/>
  <c r="E27" i="163"/>
  <c r="J87" i="192"/>
  <c r="J91" i="192"/>
  <c r="L76" i="192"/>
  <c r="L90" i="192"/>
  <c r="I75" i="193"/>
  <c r="E75" i="193"/>
  <c r="F37" i="193"/>
  <c r="J21" i="308"/>
  <c r="G23" i="308"/>
  <c r="K29" i="185"/>
  <c r="K10" i="185"/>
  <c r="H22" i="187"/>
  <c r="H48" i="187"/>
  <c r="F57" i="165"/>
  <c r="F61" i="165"/>
  <c r="G27" i="165"/>
  <c r="G60" i="165"/>
  <c r="C27" i="165"/>
  <c r="C60" i="165"/>
  <c r="F16" i="165"/>
  <c r="F59" i="165"/>
  <c r="F62" i="165"/>
  <c r="B37" i="166"/>
  <c r="H70" i="237"/>
  <c r="M45" i="237"/>
  <c r="G45" i="237"/>
  <c r="X27" i="237"/>
  <c r="V23" i="237"/>
  <c r="S69" i="290"/>
  <c r="J22" i="290"/>
  <c r="T23" i="290"/>
  <c r="V23" i="290"/>
  <c r="J45" i="238"/>
  <c r="O68" i="238"/>
  <c r="W27" i="238"/>
  <c r="J22" i="238"/>
  <c r="Z18" i="238"/>
  <c r="L15" i="82"/>
  <c r="C22" i="95"/>
  <c r="C48" i="95"/>
  <c r="G24" i="145"/>
  <c r="G38" i="145"/>
  <c r="C24" i="145"/>
  <c r="C38" i="145"/>
  <c r="H40" i="145"/>
  <c r="B39" i="144"/>
  <c r="I15" i="169"/>
  <c r="I64" i="239"/>
  <c r="I28" i="239"/>
  <c r="F29" i="239"/>
  <c r="F73" i="239"/>
  <c r="M10" i="83"/>
  <c r="T48" i="292"/>
  <c r="Z26" i="292"/>
  <c r="M64" i="293"/>
  <c r="R62" i="293"/>
  <c r="F63" i="293"/>
  <c r="V23" i="293"/>
  <c r="T23" i="293"/>
  <c r="I28" i="289"/>
  <c r="I26" i="289"/>
  <c r="E40" i="171"/>
  <c r="D18" i="171"/>
  <c r="D72" i="171"/>
  <c r="H50" i="163"/>
  <c r="D52" i="163"/>
  <c r="D56" i="163"/>
  <c r="F52" i="163"/>
  <c r="F56" i="163"/>
  <c r="D23" i="163"/>
  <c r="D27" i="163"/>
  <c r="F93" i="192"/>
  <c r="K50" i="192"/>
  <c r="E26" i="192"/>
  <c r="E53" i="192"/>
  <c r="H55" i="213"/>
  <c r="K37" i="213"/>
  <c r="J15" i="213"/>
  <c r="K69" i="193"/>
  <c r="K73" i="193"/>
  <c r="G31" i="193"/>
  <c r="G35" i="193"/>
  <c r="G37" i="193"/>
  <c r="N20" i="308"/>
  <c r="X18" i="308"/>
  <c r="Z18" i="308"/>
  <c r="U23" i="308"/>
  <c r="U28" i="308"/>
  <c r="N17" i="308"/>
  <c r="X17" i="308"/>
  <c r="G52" i="192"/>
  <c r="C52" i="192"/>
  <c r="C55" i="192"/>
  <c r="F55" i="213"/>
  <c r="C75" i="193"/>
  <c r="L31" i="193"/>
  <c r="L35" i="193"/>
  <c r="I37" i="193"/>
  <c r="E37" i="193"/>
  <c r="O64" i="308"/>
  <c r="S23" i="308"/>
  <c r="J17" i="311"/>
  <c r="K45" i="313"/>
  <c r="T55" i="294"/>
  <c r="K12" i="313"/>
  <c r="M13" i="127"/>
  <c r="E40" i="291"/>
  <c r="I33" i="291"/>
  <c r="H52" i="245"/>
  <c r="H56" i="245"/>
  <c r="L12" i="116"/>
  <c r="F21" i="245"/>
  <c r="K35" i="307"/>
  <c r="C19" i="230"/>
  <c r="L33" i="215"/>
  <c r="M29" i="215"/>
  <c r="M32" i="215"/>
  <c r="F23" i="216"/>
  <c r="F24" i="216"/>
  <c r="F27" i="216"/>
  <c r="M15" i="217"/>
  <c r="L15" i="217"/>
  <c r="D58" i="218"/>
  <c r="K32" i="218"/>
  <c r="G32" i="296"/>
  <c r="F19" i="296"/>
  <c r="O26" i="295"/>
  <c r="J32" i="300"/>
  <c r="P26" i="299"/>
  <c r="H27" i="82"/>
  <c r="H31" i="82"/>
  <c r="L27" i="112"/>
  <c r="L30" i="112"/>
  <c r="L29" i="197"/>
  <c r="L32" i="197"/>
  <c r="B88" i="197"/>
  <c r="D88" i="197"/>
  <c r="B91" i="199"/>
  <c r="D91" i="199"/>
  <c r="M29" i="199"/>
  <c r="B60" i="201"/>
  <c r="D60" i="201"/>
  <c r="K29" i="201"/>
  <c r="K85" i="192"/>
  <c r="J50" i="192"/>
  <c r="L54" i="192"/>
  <c r="E93" i="213"/>
  <c r="K87" i="213"/>
  <c r="K91" i="213"/>
  <c r="K76" i="213"/>
  <c r="K90" i="213"/>
  <c r="K93" i="213"/>
  <c r="G93" i="213"/>
  <c r="C93" i="213"/>
  <c r="L76" i="213"/>
  <c r="L90" i="213"/>
  <c r="L93" i="213"/>
  <c r="L54" i="213"/>
  <c r="K50" i="213"/>
  <c r="J54" i="213"/>
  <c r="E26" i="213"/>
  <c r="E53" i="213"/>
  <c r="D75" i="193"/>
  <c r="E40" i="243"/>
  <c r="T48" i="308"/>
  <c r="E23" i="308"/>
  <c r="V28" i="308"/>
  <c r="H17" i="311"/>
  <c r="C23" i="307"/>
  <c r="K22" i="307"/>
  <c r="G23" i="129"/>
  <c r="C59" i="214"/>
  <c r="D59" i="214"/>
  <c r="K29" i="214"/>
  <c r="L31" i="217"/>
  <c r="B62" i="217"/>
  <c r="D62" i="217"/>
  <c r="H23" i="217"/>
  <c r="H24" i="217"/>
  <c r="B46" i="217"/>
  <c r="H27" i="217"/>
  <c r="D23" i="217"/>
  <c r="D30" i="217"/>
  <c r="D24" i="217"/>
  <c r="G23" i="219"/>
  <c r="G24" i="219"/>
  <c r="C43" i="219"/>
  <c r="D43" i="219"/>
  <c r="G27" i="219"/>
  <c r="G30" i="219"/>
  <c r="K32" i="221"/>
  <c r="J22" i="294"/>
  <c r="J60" i="294"/>
  <c r="F43" i="299"/>
  <c r="F53" i="299"/>
  <c r="O26" i="299"/>
  <c r="L12" i="300"/>
  <c r="L15" i="299"/>
  <c r="L15" i="300"/>
  <c r="K27" i="86"/>
  <c r="K24" i="86"/>
  <c r="C38" i="86"/>
  <c r="D38" i="86"/>
  <c r="C24" i="86"/>
  <c r="L31" i="197"/>
  <c r="M33" i="199"/>
  <c r="K31" i="201"/>
  <c r="H49" i="306"/>
  <c r="K45" i="306"/>
  <c r="G46" i="127"/>
  <c r="R55" i="294"/>
  <c r="K44" i="306"/>
  <c r="G45" i="127"/>
  <c r="R54" i="294"/>
  <c r="K41" i="306"/>
  <c r="R51" i="294"/>
  <c r="H23" i="306"/>
  <c r="H49" i="311"/>
  <c r="D49" i="311"/>
  <c r="K22" i="311"/>
  <c r="J23" i="127"/>
  <c r="K47" i="313"/>
  <c r="K42" i="313"/>
  <c r="T52" i="294"/>
  <c r="I38" i="313"/>
  <c r="K25" i="313"/>
  <c r="I21" i="291"/>
  <c r="I22" i="291"/>
  <c r="F22" i="291"/>
  <c r="F29" i="291"/>
  <c r="F73" i="291"/>
  <c r="E18" i="291"/>
  <c r="E72" i="291"/>
  <c r="E56" i="245"/>
  <c r="H55" i="245"/>
  <c r="I31" i="245"/>
  <c r="L10" i="122"/>
  <c r="I24" i="245"/>
  <c r="E27" i="307"/>
  <c r="K26" i="307"/>
  <c r="K19" i="307"/>
  <c r="G20" i="129"/>
  <c r="E23" i="307"/>
  <c r="D51" i="312"/>
  <c r="K45" i="318"/>
  <c r="M46" i="129"/>
  <c r="U55" i="298"/>
  <c r="E49" i="318"/>
  <c r="D35" i="191"/>
  <c r="C15" i="230"/>
  <c r="I27" i="214"/>
  <c r="G23" i="214"/>
  <c r="G27" i="214"/>
  <c r="C24" i="214"/>
  <c r="C30" i="214"/>
  <c r="C23" i="214"/>
  <c r="L32" i="215"/>
  <c r="F30" i="216"/>
  <c r="H30" i="217"/>
  <c r="D31" i="219"/>
  <c r="M31" i="219"/>
  <c r="I24" i="220"/>
  <c r="I23" i="220"/>
  <c r="E24" i="220"/>
  <c r="E27" i="220"/>
  <c r="B44" i="221"/>
  <c r="H30" i="221"/>
  <c r="H27" i="221"/>
  <c r="I24" i="82"/>
  <c r="I27" i="82"/>
  <c r="E27" i="82"/>
  <c r="E24" i="82"/>
  <c r="G24" i="86"/>
  <c r="B44" i="111"/>
  <c r="B43" i="111"/>
  <c r="D43" i="111"/>
  <c r="H24" i="111"/>
  <c r="H23" i="111"/>
  <c r="D30" i="111"/>
  <c r="D24" i="111"/>
  <c r="H23" i="120"/>
  <c r="H27" i="120"/>
  <c r="B45" i="120"/>
  <c r="B44" i="120"/>
  <c r="H30" i="120"/>
  <c r="D23" i="120"/>
  <c r="D30" i="120"/>
  <c r="G87" i="192"/>
  <c r="G91" i="192"/>
  <c r="G93" i="192"/>
  <c r="C87" i="192"/>
  <c r="C91" i="192"/>
  <c r="C93" i="192"/>
  <c r="D53" i="192"/>
  <c r="H52" i="192"/>
  <c r="H55" i="192"/>
  <c r="D52" i="192"/>
  <c r="G53" i="213"/>
  <c r="G52" i="213"/>
  <c r="C52" i="213"/>
  <c r="C55" i="213"/>
  <c r="J67" i="193"/>
  <c r="J69" i="193"/>
  <c r="J73" i="193"/>
  <c r="J75" i="193"/>
  <c r="H31" i="193"/>
  <c r="H35" i="193"/>
  <c r="H37" i="193"/>
  <c r="D31" i="193"/>
  <c r="D35" i="193"/>
  <c r="D37" i="193"/>
  <c r="C18" i="243"/>
  <c r="C72" i="243"/>
  <c r="I14" i="243"/>
  <c r="M12" i="87"/>
  <c r="M74" i="308"/>
  <c r="G68" i="308"/>
  <c r="P66" i="308"/>
  <c r="M47" i="308"/>
  <c r="W47" i="308"/>
  <c r="O43" i="308"/>
  <c r="E43" i="308"/>
  <c r="O39" i="308"/>
  <c r="X27" i="308"/>
  <c r="E20" i="308"/>
  <c r="N9" i="308"/>
  <c r="X9" i="308"/>
  <c r="J7" i="308"/>
  <c r="K46" i="306"/>
  <c r="G47" i="127"/>
  <c r="R56" i="294"/>
  <c r="E27" i="306"/>
  <c r="K20" i="306"/>
  <c r="G21" i="127"/>
  <c r="F51" i="306"/>
  <c r="J17" i="306"/>
  <c r="J51" i="306"/>
  <c r="E49" i="311"/>
  <c r="K42" i="311"/>
  <c r="J43" i="127"/>
  <c r="S52" i="294"/>
  <c r="K15" i="311"/>
  <c r="K14" i="311"/>
  <c r="J15" i="127"/>
  <c r="K40" i="313"/>
  <c r="T50" i="294"/>
  <c r="K38" i="313"/>
  <c r="E17" i="313"/>
  <c r="G73" i="291"/>
  <c r="E54" i="291"/>
  <c r="F27" i="291"/>
  <c r="I51" i="245"/>
  <c r="I56" i="245"/>
  <c r="I43" i="245"/>
  <c r="C52" i="245"/>
  <c r="I41" i="245"/>
  <c r="E26" i="245"/>
  <c r="E28" i="245"/>
  <c r="E55" i="245"/>
  <c r="L10" i="125"/>
  <c r="I25" i="245"/>
  <c r="I26" i="245"/>
  <c r="K20" i="307"/>
  <c r="G21" i="129"/>
  <c r="K35" i="312"/>
  <c r="I38" i="312"/>
  <c r="K22" i="312"/>
  <c r="J23" i="129"/>
  <c r="K21" i="312"/>
  <c r="J22" i="129"/>
  <c r="K13" i="312"/>
  <c r="J14" i="129"/>
  <c r="C17" i="312"/>
  <c r="K12" i="312"/>
  <c r="J13" i="129"/>
  <c r="E17" i="318"/>
  <c r="E51" i="318"/>
  <c r="H17" i="318"/>
  <c r="H51" i="318"/>
  <c r="C17" i="231"/>
  <c r="B60" i="214"/>
  <c r="D60" i="214"/>
  <c r="C39" i="214"/>
  <c r="D39" i="214"/>
  <c r="C27" i="214"/>
  <c r="G24" i="214"/>
  <c r="F23" i="214"/>
  <c r="F27" i="214"/>
  <c r="F30" i="214"/>
  <c r="C42" i="214"/>
  <c r="D42" i="214"/>
  <c r="B23" i="214"/>
  <c r="C38" i="214"/>
  <c r="D38" i="214"/>
  <c r="B89" i="215"/>
  <c r="D89" i="215"/>
  <c r="M33" i="215"/>
  <c r="C31" i="215"/>
  <c r="C27" i="215"/>
  <c r="I27" i="215"/>
  <c r="J20" i="215"/>
  <c r="C72" i="215"/>
  <c r="D72" i="215"/>
  <c r="J21" i="215"/>
  <c r="D58" i="216"/>
  <c r="M31" i="216"/>
  <c r="M29" i="216"/>
  <c r="M33" i="216"/>
  <c r="B45" i="217"/>
  <c r="B44" i="217"/>
  <c r="D44" i="217"/>
  <c r="B88" i="218"/>
  <c r="D88" i="218"/>
  <c r="B44" i="218"/>
  <c r="H30" i="218"/>
  <c r="C44" i="220"/>
  <c r="D44" i="220"/>
  <c r="E50" i="295"/>
  <c r="E54" i="295"/>
  <c r="D32" i="296"/>
  <c r="F9" i="296"/>
  <c r="G22" i="301"/>
  <c r="G26" i="301"/>
  <c r="H15" i="301"/>
  <c r="H25" i="301"/>
  <c r="H27" i="301"/>
  <c r="H23" i="82"/>
  <c r="C43" i="82"/>
  <c r="D43" i="82"/>
  <c r="H30" i="82"/>
  <c r="H24" i="82"/>
  <c r="C39" i="82"/>
  <c r="D39" i="82"/>
  <c r="D24" i="82"/>
  <c r="D30" i="82"/>
  <c r="D27" i="82"/>
  <c r="H27" i="111"/>
  <c r="H30" i="109"/>
  <c r="H27" i="109"/>
  <c r="H23" i="109"/>
  <c r="H24" i="109"/>
  <c r="D30" i="109"/>
  <c r="D27" i="109"/>
  <c r="D23" i="109"/>
  <c r="D24" i="109"/>
  <c r="I26" i="291"/>
  <c r="F15" i="253"/>
  <c r="H23" i="312"/>
  <c r="K12" i="318"/>
  <c r="M13" i="129"/>
  <c r="M15" i="214"/>
  <c r="D46" i="217"/>
  <c r="L29" i="217"/>
  <c r="L31" i="219"/>
  <c r="H23" i="219"/>
  <c r="I23" i="219"/>
  <c r="I30" i="219"/>
  <c r="E23" i="219"/>
  <c r="E30" i="219"/>
  <c r="M27" i="221"/>
  <c r="K33" i="221"/>
  <c r="M15" i="221"/>
  <c r="C18" i="247"/>
  <c r="D22" i="295"/>
  <c r="D26" i="295"/>
  <c r="O26" i="297"/>
  <c r="K26" i="297"/>
  <c r="F15" i="297"/>
  <c r="F25" i="297"/>
  <c r="D15" i="299"/>
  <c r="D25" i="299"/>
  <c r="D27" i="299"/>
  <c r="J24" i="86"/>
  <c r="J23" i="86"/>
  <c r="J27" i="86"/>
  <c r="B23" i="86"/>
  <c r="B27" i="86"/>
  <c r="B30" i="86"/>
  <c r="I24" i="112"/>
  <c r="I23" i="112"/>
  <c r="I30" i="112"/>
  <c r="J32" i="112"/>
  <c r="K15" i="112"/>
  <c r="K24" i="83"/>
  <c r="K27" i="83"/>
  <c r="K30" i="83"/>
  <c r="B46" i="83"/>
  <c r="G24" i="83"/>
  <c r="G27" i="83"/>
  <c r="G23" i="83"/>
  <c r="C42" i="116"/>
  <c r="D42" i="116"/>
  <c r="G24" i="116"/>
  <c r="G23" i="116"/>
  <c r="G27" i="116"/>
  <c r="C24" i="116"/>
  <c r="C30" i="116"/>
  <c r="C38" i="116"/>
  <c r="D38" i="116"/>
  <c r="C27" i="116"/>
  <c r="J21" i="123"/>
  <c r="J28" i="123"/>
  <c r="C57" i="123"/>
  <c r="D57" i="123"/>
  <c r="J23" i="123"/>
  <c r="F27" i="123"/>
  <c r="F23" i="123"/>
  <c r="D29" i="291"/>
  <c r="D73" i="291"/>
  <c r="F18" i="291"/>
  <c r="F72" i="291"/>
  <c r="I27" i="245"/>
  <c r="I20" i="245"/>
  <c r="I21" i="245"/>
  <c r="I15" i="245"/>
  <c r="E17" i="307"/>
  <c r="E51" i="307"/>
  <c r="K14" i="307"/>
  <c r="G15" i="129"/>
  <c r="E17" i="312"/>
  <c r="H23" i="318"/>
  <c r="K33" i="214"/>
  <c r="L15" i="214"/>
  <c r="D71" i="216"/>
  <c r="E24" i="216"/>
  <c r="L33" i="216"/>
  <c r="K32" i="216"/>
  <c r="D86" i="217"/>
  <c r="D86" i="219"/>
  <c r="K33" i="220"/>
  <c r="M15" i="220"/>
  <c r="B48" i="220"/>
  <c r="D48" i="220"/>
  <c r="F40" i="296"/>
  <c r="J15" i="297"/>
  <c r="J25" i="297"/>
  <c r="K53" i="299"/>
  <c r="Q26" i="299"/>
  <c r="F30" i="86"/>
  <c r="C31" i="86"/>
  <c r="C27" i="86"/>
  <c r="B44" i="112"/>
  <c r="H23" i="112"/>
  <c r="H30" i="112"/>
  <c r="C43" i="112"/>
  <c r="D43" i="112"/>
  <c r="H27" i="112"/>
  <c r="D23" i="112"/>
  <c r="D24" i="112"/>
  <c r="D30" i="112"/>
  <c r="J33" i="112"/>
  <c r="J15" i="112"/>
  <c r="G27" i="113"/>
  <c r="G30" i="113"/>
  <c r="J15" i="113"/>
  <c r="C27" i="83"/>
  <c r="C31" i="83"/>
  <c r="K30" i="87"/>
  <c r="K23" i="87"/>
  <c r="K24" i="87"/>
  <c r="B46" i="87"/>
  <c r="K27" i="87"/>
  <c r="G30" i="87"/>
  <c r="G24" i="87"/>
  <c r="G23" i="87"/>
  <c r="G27" i="87"/>
  <c r="C30" i="87"/>
  <c r="C24" i="87"/>
  <c r="C27" i="87"/>
  <c r="G30" i="116"/>
  <c r="M29" i="219"/>
  <c r="K33" i="219"/>
  <c r="M15" i="219"/>
  <c r="D86" i="220"/>
  <c r="M29" i="220"/>
  <c r="M32" i="221"/>
  <c r="M15" i="222"/>
  <c r="M30" i="296"/>
  <c r="R26" i="297"/>
  <c r="N26" i="297"/>
  <c r="E22" i="299"/>
  <c r="E26" i="299"/>
  <c r="D44" i="111"/>
  <c r="I27" i="113"/>
  <c r="I23" i="113"/>
  <c r="K33" i="113"/>
  <c r="J24" i="83"/>
  <c r="I61" i="83"/>
  <c r="J61" i="83"/>
  <c r="I27" i="83"/>
  <c r="I30" i="83"/>
  <c r="C44" i="83"/>
  <c r="D44" i="83"/>
  <c r="E23" i="83"/>
  <c r="E30" i="83"/>
  <c r="E27" i="83"/>
  <c r="H30" i="110"/>
  <c r="B43" i="110"/>
  <c r="H24" i="110"/>
  <c r="H23" i="110"/>
  <c r="D23" i="110"/>
  <c r="D27" i="110"/>
  <c r="D30" i="110"/>
  <c r="D46" i="199"/>
  <c r="L31" i="200"/>
  <c r="B61" i="200"/>
  <c r="D61" i="200"/>
  <c r="B90" i="200"/>
  <c r="D90" i="200"/>
  <c r="M32" i="200"/>
  <c r="M33" i="200"/>
  <c r="L26" i="297"/>
  <c r="I27" i="86"/>
  <c r="F27" i="111"/>
  <c r="G27" i="112"/>
  <c r="L31" i="112"/>
  <c r="G23" i="112"/>
  <c r="F27" i="112"/>
  <c r="K32" i="112"/>
  <c r="I27" i="115"/>
  <c r="I30" i="115"/>
  <c r="B44" i="115"/>
  <c r="C57" i="120"/>
  <c r="J30" i="120"/>
  <c r="L9" i="123"/>
  <c r="K15" i="123"/>
  <c r="K32" i="113"/>
  <c r="D61" i="87"/>
  <c r="F27" i="109"/>
  <c r="F30" i="110"/>
  <c r="D24" i="116"/>
  <c r="J20" i="120"/>
  <c r="C69" i="120"/>
  <c r="D69" i="120"/>
  <c r="D80" i="123"/>
  <c r="J20" i="123"/>
  <c r="C69" i="123"/>
  <c r="D69" i="123"/>
  <c r="I23" i="124"/>
  <c r="I24" i="124"/>
  <c r="B43" i="124"/>
  <c r="E23" i="124"/>
  <c r="E27" i="124"/>
  <c r="I23" i="196"/>
  <c r="C44" i="196"/>
  <c r="D44" i="196"/>
  <c r="E24" i="196"/>
  <c r="E27" i="196"/>
  <c r="E30" i="196"/>
  <c r="D57" i="197"/>
  <c r="K15" i="197"/>
  <c r="B45" i="197"/>
  <c r="D45" i="197"/>
  <c r="M31" i="199"/>
  <c r="B63" i="199"/>
  <c r="D63" i="199"/>
  <c r="L32" i="199"/>
  <c r="B90" i="199"/>
  <c r="D90" i="199"/>
  <c r="L29" i="199"/>
  <c r="L33" i="199"/>
  <c r="D86" i="201"/>
  <c r="D72" i="202"/>
  <c r="B62" i="202"/>
  <c r="D62" i="202"/>
  <c r="M29" i="202"/>
  <c r="M33" i="202"/>
  <c r="M15" i="202"/>
  <c r="K32" i="203"/>
  <c r="D27" i="120"/>
  <c r="C23" i="132"/>
  <c r="C27" i="132"/>
  <c r="I23" i="197"/>
  <c r="I30" i="197"/>
  <c r="L33" i="197"/>
  <c r="F23" i="199"/>
  <c r="F24" i="199"/>
  <c r="F30" i="199"/>
  <c r="F27" i="199"/>
  <c r="M27" i="203"/>
  <c r="K33" i="203"/>
  <c r="B30" i="109"/>
  <c r="B23" i="109"/>
  <c r="C41" i="110"/>
  <c r="D41" i="110"/>
  <c r="C31" i="116"/>
  <c r="F27" i="120"/>
  <c r="E27" i="121"/>
  <c r="D27" i="122"/>
  <c r="G23" i="122"/>
  <c r="G27" i="122"/>
  <c r="B27" i="131"/>
  <c r="B31" i="131"/>
  <c r="C38" i="132"/>
  <c r="D38" i="132"/>
  <c r="C30" i="132"/>
  <c r="D15" i="227"/>
  <c r="B45" i="196"/>
  <c r="M31" i="197"/>
  <c r="C31" i="197"/>
  <c r="C27" i="197"/>
  <c r="H27" i="197"/>
  <c r="H30" i="197"/>
  <c r="B44" i="197"/>
  <c r="H24" i="197"/>
  <c r="D23" i="197"/>
  <c r="D27" i="197"/>
  <c r="D44" i="197"/>
  <c r="D59" i="199"/>
  <c r="J20" i="199"/>
  <c r="C74" i="199"/>
  <c r="D74" i="199"/>
  <c r="J21" i="199"/>
  <c r="M15" i="199"/>
  <c r="M23" i="199"/>
  <c r="M32" i="199"/>
  <c r="C44" i="200"/>
  <c r="I24" i="200"/>
  <c r="J28" i="200"/>
  <c r="I30" i="200"/>
  <c r="E23" i="200"/>
  <c r="E27" i="200"/>
  <c r="E30" i="200"/>
  <c r="L15" i="200"/>
  <c r="L31" i="201"/>
  <c r="M33" i="201"/>
  <c r="B90" i="202"/>
  <c r="D90" i="202"/>
  <c r="H30" i="202"/>
  <c r="K29" i="203"/>
  <c r="L15" i="197"/>
  <c r="D86" i="199"/>
  <c r="D73" i="199"/>
  <c r="G24" i="199"/>
  <c r="D58" i="200"/>
  <c r="L33" i="201"/>
  <c r="E15" i="224"/>
  <c r="E15" i="228"/>
  <c r="D71" i="197"/>
  <c r="G27" i="199"/>
  <c r="I27" i="200"/>
  <c r="J20" i="200"/>
  <c r="D58" i="201"/>
  <c r="K32" i="201"/>
  <c r="D86" i="202"/>
  <c r="D58" i="202"/>
  <c r="L32" i="203"/>
  <c r="F20" i="136"/>
  <c r="H16" i="136"/>
  <c r="H20" i="136"/>
  <c r="J46" i="62"/>
  <c r="G52" i="62"/>
  <c r="K35" i="147"/>
  <c r="K17" i="147"/>
  <c r="F57" i="62"/>
  <c r="J33" i="147"/>
  <c r="G35" i="147"/>
  <c r="G27" i="62"/>
  <c r="C28" i="137"/>
  <c r="K8" i="187"/>
  <c r="S8" i="187"/>
  <c r="E47" i="140"/>
  <c r="C34" i="181"/>
  <c r="P39" i="140"/>
  <c r="Q39" i="140"/>
  <c r="E39" i="140"/>
  <c r="P26" i="140"/>
  <c r="Q26" i="140"/>
  <c r="E26" i="140"/>
  <c r="D43" i="136"/>
  <c r="H43" i="135"/>
  <c r="H44" i="185"/>
  <c r="I43" i="185"/>
  <c r="K43" i="185"/>
  <c r="H49" i="185"/>
  <c r="K26" i="147"/>
  <c r="D27" i="126"/>
  <c r="D55" i="126"/>
  <c r="D70" i="102"/>
  <c r="G69" i="102"/>
  <c r="K15" i="185"/>
  <c r="E57" i="62"/>
  <c r="P31" i="140"/>
  <c r="Q31" i="140"/>
  <c r="E31" i="140"/>
  <c r="F27" i="136"/>
  <c r="H23" i="136"/>
  <c r="H27" i="136"/>
  <c r="H49" i="183"/>
  <c r="I49" i="183"/>
  <c r="K49" i="183"/>
  <c r="H44" i="183"/>
  <c r="I43" i="183"/>
  <c r="K43" i="183"/>
  <c r="G17" i="147"/>
  <c r="G60" i="147"/>
  <c r="K19" i="187"/>
  <c r="I20" i="187"/>
  <c r="C32" i="137"/>
  <c r="C26" i="137"/>
  <c r="C23" i="137"/>
  <c r="D39" i="190"/>
  <c r="G70" i="173"/>
  <c r="D49" i="231"/>
  <c r="W42" i="173"/>
  <c r="N43" i="173"/>
  <c r="G14" i="173"/>
  <c r="D27" i="231"/>
  <c r="N10" i="173"/>
  <c r="J20" i="125"/>
  <c r="H45" i="125"/>
  <c r="M68" i="174"/>
  <c r="W68" i="174"/>
  <c r="W42" i="174"/>
  <c r="P20" i="139"/>
  <c r="I22" i="139"/>
  <c r="G50" i="183"/>
  <c r="B38" i="184"/>
  <c r="G62" i="165"/>
  <c r="B38" i="166"/>
  <c r="F74" i="237"/>
  <c r="Q32" i="237"/>
  <c r="C67" i="237"/>
  <c r="C69" i="237"/>
  <c r="W23" i="290"/>
  <c r="Y23" i="290"/>
  <c r="P23" i="290"/>
  <c r="E74" i="238"/>
  <c r="Y7" i="238"/>
  <c r="H73" i="167"/>
  <c r="I69" i="239"/>
  <c r="I62" i="239"/>
  <c r="E70" i="239"/>
  <c r="F74" i="239"/>
  <c r="F70" i="239"/>
  <c r="F63" i="292"/>
  <c r="X20" i="293"/>
  <c r="C16" i="137"/>
  <c r="L26" i="123"/>
  <c r="K27" i="123"/>
  <c r="J13" i="140"/>
  <c r="M30" i="173"/>
  <c r="V30" i="173"/>
  <c r="F20" i="132"/>
  <c r="G41" i="132"/>
  <c r="W46" i="174"/>
  <c r="F20" i="131"/>
  <c r="G41" i="131"/>
  <c r="W45" i="174"/>
  <c r="L21" i="83"/>
  <c r="D34" i="230"/>
  <c r="X11" i="174"/>
  <c r="N63" i="174"/>
  <c r="I32" i="183"/>
  <c r="K32" i="183"/>
  <c r="K31" i="183"/>
  <c r="K14" i="185"/>
  <c r="J22" i="185"/>
  <c r="I13" i="165"/>
  <c r="E16" i="165"/>
  <c r="G26" i="131"/>
  <c r="F47" i="237"/>
  <c r="C74" i="290"/>
  <c r="J46" i="290"/>
  <c r="G47" i="290"/>
  <c r="R66" i="238"/>
  <c r="D56" i="102"/>
  <c r="L20" i="123"/>
  <c r="M20" i="123"/>
  <c r="M23" i="123"/>
  <c r="B70" i="123"/>
  <c r="D70" i="123"/>
  <c r="J28" i="193"/>
  <c r="J29" i="193"/>
  <c r="N13" i="102"/>
  <c r="R10" i="102"/>
  <c r="D9" i="102"/>
  <c r="O61" i="140"/>
  <c r="G57" i="140"/>
  <c r="G60" i="140"/>
  <c r="I39" i="140"/>
  <c r="I31" i="140"/>
  <c r="I26" i="140"/>
  <c r="C19" i="140"/>
  <c r="O14" i="140"/>
  <c r="R11" i="140"/>
  <c r="S11" i="140"/>
  <c r="M14" i="140"/>
  <c r="S72" i="173"/>
  <c r="S65" i="173"/>
  <c r="O70" i="173"/>
  <c r="D46" i="176"/>
  <c r="W33" i="173"/>
  <c r="N63" i="173"/>
  <c r="D35" i="231"/>
  <c r="W22" i="173"/>
  <c r="N23" i="173"/>
  <c r="W12" i="173"/>
  <c r="U14" i="173"/>
  <c r="U24" i="173"/>
  <c r="V12" i="173"/>
  <c r="M14" i="173"/>
  <c r="W9" i="173"/>
  <c r="R74" i="174"/>
  <c r="E67" i="174"/>
  <c r="F74" i="174"/>
  <c r="M47" i="174"/>
  <c r="M43" i="174"/>
  <c r="J20" i="124"/>
  <c r="H44" i="124"/>
  <c r="W41" i="174"/>
  <c r="J37" i="174"/>
  <c r="E39" i="174"/>
  <c r="J39" i="174"/>
  <c r="K34" i="174"/>
  <c r="K48" i="174"/>
  <c r="Q33" i="174"/>
  <c r="J26" i="115"/>
  <c r="F34" i="174"/>
  <c r="I31" i="109"/>
  <c r="D21" i="253"/>
  <c r="D36" i="232"/>
  <c r="F20" i="174"/>
  <c r="M17" i="174"/>
  <c r="W17" i="174"/>
  <c r="F17" i="174"/>
  <c r="L20" i="83"/>
  <c r="H47" i="83"/>
  <c r="W11" i="174"/>
  <c r="M63" i="174"/>
  <c r="I17" i="139"/>
  <c r="I24" i="139"/>
  <c r="I38" i="139"/>
  <c r="P18" i="139"/>
  <c r="I44" i="183"/>
  <c r="K44" i="183"/>
  <c r="K38" i="183"/>
  <c r="W18" i="183"/>
  <c r="AA18" i="185"/>
  <c r="I20" i="185"/>
  <c r="K20" i="185"/>
  <c r="F22" i="185"/>
  <c r="F48" i="185"/>
  <c r="I48" i="185"/>
  <c r="K48" i="185"/>
  <c r="I8" i="185"/>
  <c r="K8" i="185"/>
  <c r="E11" i="185"/>
  <c r="E47" i="185"/>
  <c r="E50" i="185"/>
  <c r="B36" i="186"/>
  <c r="K7" i="185"/>
  <c r="E48" i="187"/>
  <c r="E50" i="187"/>
  <c r="B36" i="188"/>
  <c r="H43" i="187"/>
  <c r="K40" i="187"/>
  <c r="F20" i="187"/>
  <c r="F22" i="187"/>
  <c r="F48" i="187"/>
  <c r="G50" i="187"/>
  <c r="B38" i="188"/>
  <c r="K7" i="187"/>
  <c r="I11" i="187"/>
  <c r="K11" i="187"/>
  <c r="D50" i="94"/>
  <c r="B35" i="138"/>
  <c r="I41" i="94"/>
  <c r="C49" i="94"/>
  <c r="C50" i="94"/>
  <c r="B34" i="138"/>
  <c r="E39" i="142"/>
  <c r="E40" i="142"/>
  <c r="H40" i="142"/>
  <c r="E34" i="142"/>
  <c r="E37" i="142"/>
  <c r="X62" i="237"/>
  <c r="N74" i="237"/>
  <c r="Q74" i="237"/>
  <c r="O47" i="237"/>
  <c r="O68" i="237"/>
  <c r="G34" i="237"/>
  <c r="G67" i="237"/>
  <c r="G69" i="237"/>
  <c r="I8" i="290"/>
  <c r="F64" i="290"/>
  <c r="F76" i="290"/>
  <c r="F20" i="253"/>
  <c r="F23" i="253"/>
  <c r="W19" i="238"/>
  <c r="M64" i="238"/>
  <c r="M76" i="238"/>
  <c r="W76" i="238"/>
  <c r="O63" i="238"/>
  <c r="O17" i="238"/>
  <c r="O28" i="238"/>
  <c r="X74" i="293"/>
  <c r="F54" i="241"/>
  <c r="N10" i="83"/>
  <c r="I13" i="241"/>
  <c r="E17" i="241"/>
  <c r="C40" i="137"/>
  <c r="L26" i="111"/>
  <c r="N14" i="140"/>
  <c r="H62" i="173"/>
  <c r="C70" i="173"/>
  <c r="V29" i="173"/>
  <c r="J21" i="122"/>
  <c r="D49" i="232"/>
  <c r="X38" i="174"/>
  <c r="Q38" i="174"/>
  <c r="N68" i="174"/>
  <c r="K39" i="185"/>
  <c r="I27" i="187"/>
  <c r="K27" i="187"/>
  <c r="E31" i="253"/>
  <c r="E27" i="253"/>
  <c r="X7" i="290"/>
  <c r="N9" i="290"/>
  <c r="G32" i="62"/>
  <c r="E25" i="126"/>
  <c r="E27" i="126"/>
  <c r="D16" i="126"/>
  <c r="C29" i="93"/>
  <c r="C31" i="93"/>
  <c r="E61" i="102"/>
  <c r="E69" i="102"/>
  <c r="E57" i="102"/>
  <c r="D37" i="102"/>
  <c r="K57" i="147"/>
  <c r="C51" i="147"/>
  <c r="C27" i="147"/>
  <c r="G24" i="147"/>
  <c r="C24" i="147"/>
  <c r="K21" i="147"/>
  <c r="B26" i="189"/>
  <c r="F23" i="309"/>
  <c r="G56" i="102"/>
  <c r="C56" i="102"/>
  <c r="G37" i="102"/>
  <c r="N28" i="102"/>
  <c r="Q28" i="102"/>
  <c r="G9" i="102"/>
  <c r="C9" i="102"/>
  <c r="G62" i="140"/>
  <c r="G70" i="140"/>
  <c r="N61" i="140"/>
  <c r="F61" i="140"/>
  <c r="O58" i="140"/>
  <c r="J17" i="140"/>
  <c r="Q11" i="140"/>
  <c r="E7" i="140"/>
  <c r="J7" i="140"/>
  <c r="O64" i="173"/>
  <c r="O72" i="173"/>
  <c r="M59" i="173"/>
  <c r="V58" i="173"/>
  <c r="D70" i="173"/>
  <c r="N35" i="173"/>
  <c r="W35" i="173"/>
  <c r="E35" i="173"/>
  <c r="F35" i="173"/>
  <c r="M63" i="173"/>
  <c r="V63" i="173"/>
  <c r="J33" i="173"/>
  <c r="E30" i="173"/>
  <c r="E64" i="173"/>
  <c r="E65" i="173"/>
  <c r="F63" i="173"/>
  <c r="J22" i="173"/>
  <c r="Q17" i="173"/>
  <c r="M60" i="173"/>
  <c r="T14" i="173"/>
  <c r="T24" i="173"/>
  <c r="T59" i="173"/>
  <c r="K14" i="173"/>
  <c r="M67" i="174"/>
  <c r="O74" i="174"/>
  <c r="G74" i="174"/>
  <c r="Q66" i="174"/>
  <c r="R66" i="174"/>
  <c r="C74" i="174"/>
  <c r="O63" i="174"/>
  <c r="N74" i="174"/>
  <c r="X62" i="174"/>
  <c r="P41" i="174"/>
  <c r="J31" i="122"/>
  <c r="J21" i="121"/>
  <c r="D49" i="230"/>
  <c r="X37" i="174"/>
  <c r="N39" i="174"/>
  <c r="X39" i="174"/>
  <c r="O67" i="174"/>
  <c r="O34" i="174"/>
  <c r="E34" i="174"/>
  <c r="I21" i="109"/>
  <c r="D37" i="230"/>
  <c r="X21" i="174"/>
  <c r="K17" i="174"/>
  <c r="N13" i="174"/>
  <c r="S13" i="174"/>
  <c r="S28" i="174"/>
  <c r="W12" i="174"/>
  <c r="L21" i="87"/>
  <c r="D34" i="232"/>
  <c r="N64" i="174"/>
  <c r="U65" i="174"/>
  <c r="Q11" i="174"/>
  <c r="G9" i="174"/>
  <c r="E34" i="139"/>
  <c r="I11" i="139"/>
  <c r="G16" i="137"/>
  <c r="C13" i="139"/>
  <c r="C37" i="139"/>
  <c r="H40" i="139"/>
  <c r="B39" i="141"/>
  <c r="D40" i="139"/>
  <c r="B35" i="141"/>
  <c r="I47" i="183"/>
  <c r="I15" i="183"/>
  <c r="K38" i="185"/>
  <c r="K34" i="185"/>
  <c r="C11" i="185"/>
  <c r="C47" i="185"/>
  <c r="D48" i="187"/>
  <c r="D50" i="187"/>
  <c r="B35" i="188"/>
  <c r="K29" i="187"/>
  <c r="I32" i="187"/>
  <c r="K32" i="187"/>
  <c r="F50" i="187"/>
  <c r="B37" i="188"/>
  <c r="E33" i="94"/>
  <c r="F48" i="94"/>
  <c r="F47" i="94"/>
  <c r="F50" i="94"/>
  <c r="B37" i="138"/>
  <c r="N10" i="142"/>
  <c r="O10" i="142"/>
  <c r="I27" i="165"/>
  <c r="C59" i="165"/>
  <c r="I14" i="165"/>
  <c r="I16" i="165"/>
  <c r="H62" i="237"/>
  <c r="H66" i="237"/>
  <c r="T69" i="237"/>
  <c r="J41" i="237"/>
  <c r="G43" i="237"/>
  <c r="K26" i="121"/>
  <c r="F39" i="237"/>
  <c r="I37" i="237"/>
  <c r="F67" i="237"/>
  <c r="E34" i="237"/>
  <c r="E68" i="237"/>
  <c r="U13" i="237"/>
  <c r="M26" i="82"/>
  <c r="F9" i="237"/>
  <c r="X74" i="290"/>
  <c r="K43" i="290"/>
  <c r="D42" i="290"/>
  <c r="P42" i="290"/>
  <c r="I42" i="290"/>
  <c r="Y42" i="290"/>
  <c r="C68" i="290"/>
  <c r="R42" i="290"/>
  <c r="J41" i="290"/>
  <c r="I19" i="290"/>
  <c r="Q19" i="290"/>
  <c r="P19" i="290"/>
  <c r="Y19" i="290"/>
  <c r="S28" i="290"/>
  <c r="T69" i="238"/>
  <c r="T75" i="238"/>
  <c r="T77" i="238"/>
  <c r="I27" i="145"/>
  <c r="E34" i="145"/>
  <c r="F21" i="309"/>
  <c r="K21" i="123"/>
  <c r="D33" i="189"/>
  <c r="K21" i="111"/>
  <c r="D34" i="175"/>
  <c r="D47" i="176"/>
  <c r="W37" i="173"/>
  <c r="I20" i="110"/>
  <c r="H44" i="110"/>
  <c r="W22" i="174"/>
  <c r="E20" i="174"/>
  <c r="Z19" i="174"/>
  <c r="L26" i="87"/>
  <c r="F13" i="174"/>
  <c r="F64" i="174"/>
  <c r="L28" i="82"/>
  <c r="K9" i="174"/>
  <c r="I19" i="183"/>
  <c r="K19" i="183"/>
  <c r="C20" i="183"/>
  <c r="C22" i="183"/>
  <c r="C48" i="183"/>
  <c r="I48" i="183"/>
  <c r="K48" i="183"/>
  <c r="K7" i="183"/>
  <c r="I11" i="183"/>
  <c r="K11" i="183"/>
  <c r="I39" i="94"/>
  <c r="E45" i="94"/>
  <c r="K26" i="125"/>
  <c r="I42" i="237"/>
  <c r="P63" i="290"/>
  <c r="C65" i="290"/>
  <c r="C75" i="290"/>
  <c r="H63" i="290"/>
  <c r="W16" i="290"/>
  <c r="Y16" i="290"/>
  <c r="P16" i="290"/>
  <c r="M64" i="290"/>
  <c r="C54" i="126"/>
  <c r="C31" i="211"/>
  <c r="C36" i="211"/>
  <c r="E30" i="211"/>
  <c r="C31" i="212"/>
  <c r="C36" i="212"/>
  <c r="C29" i="208"/>
  <c r="E21" i="309"/>
  <c r="N62" i="102"/>
  <c r="D60" i="102"/>
  <c r="H25" i="62"/>
  <c r="G16" i="62"/>
  <c r="C16" i="62"/>
  <c r="C54" i="62"/>
  <c r="C57" i="62"/>
  <c r="E54" i="126"/>
  <c r="E23" i="309"/>
  <c r="E23" i="310"/>
  <c r="O61" i="102"/>
  <c r="N60" i="102"/>
  <c r="F60" i="102"/>
  <c r="O57" i="102"/>
  <c r="O59" i="102"/>
  <c r="F37" i="102"/>
  <c r="L28" i="123"/>
  <c r="L49" i="163"/>
  <c r="K49" i="163"/>
  <c r="K21" i="120"/>
  <c r="D32" i="189"/>
  <c r="L26" i="120"/>
  <c r="L28" i="111"/>
  <c r="K41" i="163"/>
  <c r="M57" i="140"/>
  <c r="G18" i="140"/>
  <c r="I11" i="140"/>
  <c r="E11" i="140"/>
  <c r="E14" i="140"/>
  <c r="J9" i="140"/>
  <c r="M70" i="173"/>
  <c r="N64" i="173"/>
  <c r="W64" i="173"/>
  <c r="U61" i="173"/>
  <c r="N60" i="173"/>
  <c r="F59" i="173"/>
  <c r="J38" i="173"/>
  <c r="D46" i="231"/>
  <c r="W29" i="173"/>
  <c r="N30" i="173"/>
  <c r="W30" i="173"/>
  <c r="F23" i="173"/>
  <c r="D34" i="231"/>
  <c r="W18" i="173"/>
  <c r="Y18" i="173"/>
  <c r="N19" i="173"/>
  <c r="W19" i="173"/>
  <c r="Y19" i="173"/>
  <c r="I17" i="173"/>
  <c r="V13" i="173"/>
  <c r="E10" i="173"/>
  <c r="E60" i="173"/>
  <c r="F43" i="176"/>
  <c r="V8" i="173"/>
  <c r="W62" i="174"/>
  <c r="P62" i="174"/>
  <c r="E43" i="174"/>
  <c r="E68" i="174"/>
  <c r="E69" i="174"/>
  <c r="J20" i="121"/>
  <c r="H45" i="121"/>
  <c r="W37" i="174"/>
  <c r="Y37" i="174"/>
  <c r="M39" i="174"/>
  <c r="J34" i="174"/>
  <c r="J26" i="116"/>
  <c r="F68" i="174"/>
  <c r="D54" i="232"/>
  <c r="J21" i="115"/>
  <c r="D48" i="230"/>
  <c r="X32" i="174"/>
  <c r="N34" i="174"/>
  <c r="X34" i="174"/>
  <c r="I32" i="174"/>
  <c r="W27" i="174"/>
  <c r="F23" i="174"/>
  <c r="D37" i="232"/>
  <c r="I21" i="110"/>
  <c r="I32" i="110"/>
  <c r="X22" i="174"/>
  <c r="I20" i="109"/>
  <c r="H44" i="109"/>
  <c r="W21" i="174"/>
  <c r="M23" i="174"/>
  <c r="M28" i="174"/>
  <c r="N20" i="174"/>
  <c r="X20" i="174"/>
  <c r="K20" i="174"/>
  <c r="U23" i="174"/>
  <c r="U28" i="174"/>
  <c r="J15" i="174"/>
  <c r="M13" i="174"/>
  <c r="R12" i="174"/>
  <c r="Q8" i="174"/>
  <c r="F46" i="232"/>
  <c r="L20" i="86"/>
  <c r="H47" i="86"/>
  <c r="M64" i="174"/>
  <c r="W8" i="174"/>
  <c r="L26" i="82"/>
  <c r="F9" i="174"/>
  <c r="F63" i="174"/>
  <c r="B41" i="28"/>
  <c r="G24" i="139"/>
  <c r="G38" i="139"/>
  <c r="G40" i="139"/>
  <c r="B38" i="141"/>
  <c r="C17" i="139"/>
  <c r="C24" i="139"/>
  <c r="C38" i="139"/>
  <c r="I35" i="183"/>
  <c r="K35" i="183"/>
  <c r="I44" i="185"/>
  <c r="J32" i="185"/>
  <c r="K32" i="185"/>
  <c r="J27" i="185"/>
  <c r="K27" i="185"/>
  <c r="K19" i="185"/>
  <c r="G50" i="185"/>
  <c r="B38" i="186"/>
  <c r="I47" i="187"/>
  <c r="K39" i="187"/>
  <c r="K25" i="187"/>
  <c r="G22" i="187"/>
  <c r="G48" i="187"/>
  <c r="C22" i="187"/>
  <c r="C48" i="187"/>
  <c r="E49" i="94"/>
  <c r="H50" i="94"/>
  <c r="B39" i="138"/>
  <c r="C45" i="94"/>
  <c r="D40" i="142"/>
  <c r="Q10" i="142"/>
  <c r="F68" i="237"/>
  <c r="X66" i="237"/>
  <c r="Q66" i="237"/>
  <c r="T65" i="237"/>
  <c r="T75" i="237"/>
  <c r="T77" i="237"/>
  <c r="S48" i="237"/>
  <c r="J28" i="110"/>
  <c r="B58" i="110"/>
  <c r="K23" i="237"/>
  <c r="M20" i="237"/>
  <c r="W20" i="237"/>
  <c r="M63" i="237"/>
  <c r="S13" i="237"/>
  <c r="S28" i="237"/>
  <c r="S64" i="237"/>
  <c r="W12" i="237"/>
  <c r="D34" i="249"/>
  <c r="X12" i="237"/>
  <c r="Z12" i="237"/>
  <c r="C73" i="290"/>
  <c r="I46" i="290"/>
  <c r="Q46" i="290"/>
  <c r="Y46" i="290"/>
  <c r="R46" i="290"/>
  <c r="Z46" i="290"/>
  <c r="D46" i="290"/>
  <c r="P46" i="290"/>
  <c r="D33" i="290"/>
  <c r="AD11" i="290"/>
  <c r="X11" i="290"/>
  <c r="Z11" i="290"/>
  <c r="AE11" i="290"/>
  <c r="D74" i="238"/>
  <c r="J38" i="238"/>
  <c r="E68" i="238"/>
  <c r="T28" i="238"/>
  <c r="X27" i="238"/>
  <c r="G23" i="238"/>
  <c r="J21" i="238"/>
  <c r="K13" i="115"/>
  <c r="G22" i="239"/>
  <c r="I21" i="239"/>
  <c r="I22" i="239"/>
  <c r="F72" i="239"/>
  <c r="F75" i="239"/>
  <c r="B37" i="240"/>
  <c r="W21" i="292"/>
  <c r="G21" i="132"/>
  <c r="D51" i="249"/>
  <c r="X46" i="237"/>
  <c r="K26" i="124"/>
  <c r="I41" i="237"/>
  <c r="K28" i="121"/>
  <c r="B60" i="121"/>
  <c r="K39" i="237"/>
  <c r="R15" i="237"/>
  <c r="J8" i="237"/>
  <c r="G9" i="237"/>
  <c r="O9" i="237"/>
  <c r="T76" i="290"/>
  <c r="C59" i="290"/>
  <c r="I43" i="290"/>
  <c r="D37" i="290"/>
  <c r="D39" i="290"/>
  <c r="Q37" i="290"/>
  <c r="Y37" i="290"/>
  <c r="I37" i="290"/>
  <c r="R37" i="290"/>
  <c r="Z37" i="290"/>
  <c r="C39" i="290"/>
  <c r="C67" i="290"/>
  <c r="O68" i="290"/>
  <c r="F20" i="290"/>
  <c r="I18" i="290"/>
  <c r="T13" i="290"/>
  <c r="T28" i="290"/>
  <c r="T63" i="290"/>
  <c r="F9" i="290"/>
  <c r="F69" i="238"/>
  <c r="W62" i="238"/>
  <c r="M74" i="238"/>
  <c r="J32" i="238"/>
  <c r="E34" i="238"/>
  <c r="J34" i="238"/>
  <c r="K20" i="110"/>
  <c r="H46" i="110"/>
  <c r="W22" i="238"/>
  <c r="Y22" i="238"/>
  <c r="G20" i="238"/>
  <c r="J18" i="238"/>
  <c r="N26" i="83"/>
  <c r="F63" i="238"/>
  <c r="E9" i="238"/>
  <c r="J7" i="238"/>
  <c r="E63" i="238"/>
  <c r="E75" i="238"/>
  <c r="D7" i="238"/>
  <c r="I40" i="167"/>
  <c r="G40" i="145"/>
  <c r="B38" i="144"/>
  <c r="I30" i="145"/>
  <c r="E39" i="145"/>
  <c r="I63" i="239"/>
  <c r="D70" i="239"/>
  <c r="D75" i="239"/>
  <c r="B35" i="240"/>
  <c r="D74" i="239"/>
  <c r="G74" i="292"/>
  <c r="P62" i="292"/>
  <c r="H62" i="292"/>
  <c r="W47" i="292"/>
  <c r="X42" i="292"/>
  <c r="N68" i="292"/>
  <c r="W41" i="292"/>
  <c r="M67" i="292"/>
  <c r="W27" i="292"/>
  <c r="N63" i="292"/>
  <c r="N65" i="292"/>
  <c r="X18" i="292"/>
  <c r="Z18" i="292"/>
  <c r="O63" i="292"/>
  <c r="H70" i="293"/>
  <c r="K67" i="293"/>
  <c r="E27" i="289"/>
  <c r="E29" i="289"/>
  <c r="E73" i="289"/>
  <c r="I25" i="289"/>
  <c r="I27" i="289"/>
  <c r="I14" i="289"/>
  <c r="E18" i="289"/>
  <c r="I14" i="241"/>
  <c r="C17" i="241"/>
  <c r="D49" i="176"/>
  <c r="J21" i="116"/>
  <c r="D48" i="232"/>
  <c r="L20" i="87"/>
  <c r="H47" i="87"/>
  <c r="L31" i="86"/>
  <c r="L21" i="82"/>
  <c r="D29" i="230"/>
  <c r="D39" i="230"/>
  <c r="D43" i="230"/>
  <c r="M74" i="237"/>
  <c r="E74" i="237"/>
  <c r="P66" i="237"/>
  <c r="M64" i="237"/>
  <c r="G21" i="131"/>
  <c r="D51" i="247"/>
  <c r="X45" i="237"/>
  <c r="Z45" i="237"/>
  <c r="N47" i="237"/>
  <c r="B58" i="247"/>
  <c r="P45" i="237"/>
  <c r="Q45" i="237"/>
  <c r="K21" i="125"/>
  <c r="D50" i="249"/>
  <c r="X42" i="237"/>
  <c r="Q37" i="237"/>
  <c r="Y37" i="237"/>
  <c r="R37" i="237"/>
  <c r="Z37" i="237"/>
  <c r="C39" i="237"/>
  <c r="Q39" i="237"/>
  <c r="K20" i="116"/>
  <c r="H46" i="116"/>
  <c r="W33" i="237"/>
  <c r="J33" i="237"/>
  <c r="K28" i="115"/>
  <c r="K34" i="237"/>
  <c r="O23" i="237"/>
  <c r="F20" i="237"/>
  <c r="M17" i="237"/>
  <c r="W17" i="237"/>
  <c r="G63" i="237"/>
  <c r="M26" i="87"/>
  <c r="F13" i="237"/>
  <c r="M21" i="83"/>
  <c r="M32" i="83"/>
  <c r="D34" i="247"/>
  <c r="X11" i="237"/>
  <c r="Z11" i="237"/>
  <c r="M20" i="86"/>
  <c r="H48" i="86"/>
  <c r="F46" i="249"/>
  <c r="W8" i="237"/>
  <c r="T69" i="290"/>
  <c r="P66" i="290"/>
  <c r="Q66" i="290"/>
  <c r="M65" i="290"/>
  <c r="W62" i="290"/>
  <c r="M74" i="290"/>
  <c r="T48" i="290"/>
  <c r="I45" i="290"/>
  <c r="Q45" i="290"/>
  <c r="Y45" i="290"/>
  <c r="Z45" i="290"/>
  <c r="P43" i="290"/>
  <c r="G39" i="290"/>
  <c r="J37" i="290"/>
  <c r="G67" i="290"/>
  <c r="X33" i="290"/>
  <c r="Z33" i="290"/>
  <c r="D26" i="290"/>
  <c r="D27" i="290"/>
  <c r="C27" i="290"/>
  <c r="P26" i="290"/>
  <c r="I26" i="290"/>
  <c r="Q26" i="290"/>
  <c r="Y26" i="290"/>
  <c r="D15" i="290"/>
  <c r="D17" i="290"/>
  <c r="Q15" i="290"/>
  <c r="Y15" i="290"/>
  <c r="I15" i="290"/>
  <c r="R15" i="290"/>
  <c r="C17" i="290"/>
  <c r="W11" i="290"/>
  <c r="Y11" i="290"/>
  <c r="D11" i="290"/>
  <c r="D13" i="290"/>
  <c r="Q11" i="290"/>
  <c r="R11" i="290"/>
  <c r="C13" i="290"/>
  <c r="D64" i="290"/>
  <c r="D76" i="290"/>
  <c r="J7" i="290"/>
  <c r="E9" i="290"/>
  <c r="D7" i="290"/>
  <c r="E63" i="290"/>
  <c r="E67" i="238"/>
  <c r="V65" i="238"/>
  <c r="X65" i="238"/>
  <c r="V75" i="238"/>
  <c r="L21" i="122"/>
  <c r="N68" i="238"/>
  <c r="X38" i="238"/>
  <c r="O34" i="238"/>
  <c r="E64" i="238"/>
  <c r="E76" i="238"/>
  <c r="N21" i="82"/>
  <c r="N24" i="82"/>
  <c r="N2" i="238"/>
  <c r="X7" i="238"/>
  <c r="N9" i="238"/>
  <c r="Q7" i="238"/>
  <c r="G70" i="167"/>
  <c r="G74" i="167"/>
  <c r="I49" i="95"/>
  <c r="I37" i="145"/>
  <c r="E37" i="145"/>
  <c r="D63" i="169"/>
  <c r="B35" i="170"/>
  <c r="K10" i="121"/>
  <c r="K15" i="121"/>
  <c r="I25" i="239"/>
  <c r="I27" i="239"/>
  <c r="E27" i="239"/>
  <c r="E29" i="239"/>
  <c r="S48" i="292"/>
  <c r="W39" i="292"/>
  <c r="T13" i="292"/>
  <c r="T63" i="292"/>
  <c r="X11" i="292"/>
  <c r="T76" i="293"/>
  <c r="K64" i="293"/>
  <c r="T28" i="293"/>
  <c r="E63" i="293"/>
  <c r="I43" i="289"/>
  <c r="I51" i="289"/>
  <c r="E51" i="289"/>
  <c r="E74" i="289"/>
  <c r="H75" i="289"/>
  <c r="D55" i="241"/>
  <c r="L10" i="115"/>
  <c r="L15" i="115"/>
  <c r="I20" i="241"/>
  <c r="I21" i="241"/>
  <c r="E21" i="241"/>
  <c r="E28" i="241"/>
  <c r="E55" i="241"/>
  <c r="O47" i="174"/>
  <c r="F21" i="132"/>
  <c r="D51" i="232"/>
  <c r="D52" i="232"/>
  <c r="F21" i="131"/>
  <c r="D51" i="230"/>
  <c r="J21" i="125"/>
  <c r="D50" i="232"/>
  <c r="J31" i="125"/>
  <c r="J21" i="124"/>
  <c r="D50" i="230"/>
  <c r="J31" i="124"/>
  <c r="J31" i="121"/>
  <c r="L26" i="83"/>
  <c r="L21" i="86"/>
  <c r="D29" i="232"/>
  <c r="L20" i="82"/>
  <c r="I47" i="82"/>
  <c r="F46" i="230"/>
  <c r="M67" i="237"/>
  <c r="Q62" i="237"/>
  <c r="K47" i="237"/>
  <c r="G26" i="132"/>
  <c r="F43" i="237"/>
  <c r="K21" i="124"/>
  <c r="D50" i="247"/>
  <c r="X41" i="237"/>
  <c r="Z41" i="237"/>
  <c r="N43" i="237"/>
  <c r="X43" i="237"/>
  <c r="P41" i="237"/>
  <c r="Q41" i="237"/>
  <c r="Y41" i="237"/>
  <c r="X39" i="237"/>
  <c r="K20" i="122"/>
  <c r="H46" i="122"/>
  <c r="W38" i="237"/>
  <c r="G39" i="237"/>
  <c r="J39" i="237"/>
  <c r="D36" i="247"/>
  <c r="X18" i="237"/>
  <c r="P15" i="237"/>
  <c r="I15" i="237"/>
  <c r="V28" i="237"/>
  <c r="O64" i="237"/>
  <c r="M20" i="83"/>
  <c r="W11" i="237"/>
  <c r="Y11" i="237"/>
  <c r="M28" i="86"/>
  <c r="K9" i="237"/>
  <c r="O74" i="290"/>
  <c r="V65" i="290"/>
  <c r="V75" i="290"/>
  <c r="V77" i="290"/>
  <c r="W47" i="290"/>
  <c r="Y47" i="290"/>
  <c r="D41" i="290"/>
  <c r="D43" i="290"/>
  <c r="P41" i="290"/>
  <c r="I41" i="290"/>
  <c r="Q41" i="290"/>
  <c r="Y41" i="290"/>
  <c r="Z41" i="290"/>
  <c r="W38" i="290"/>
  <c r="Y38" i="290"/>
  <c r="P38" i="290"/>
  <c r="W32" i="290"/>
  <c r="Y32" i="290"/>
  <c r="M34" i="290"/>
  <c r="M67" i="290"/>
  <c r="M75" i="290"/>
  <c r="P32" i="290"/>
  <c r="Z23" i="290"/>
  <c r="N20" i="290"/>
  <c r="X20" i="290"/>
  <c r="Z20" i="290"/>
  <c r="G17" i="290"/>
  <c r="J15" i="290"/>
  <c r="V28" i="290"/>
  <c r="W12" i="290"/>
  <c r="Y12" i="290"/>
  <c r="P12" i="290"/>
  <c r="K13" i="290"/>
  <c r="K28" i="290"/>
  <c r="K63" i="290"/>
  <c r="K69" i="238"/>
  <c r="E69" i="238"/>
  <c r="G63" i="238"/>
  <c r="L20" i="121"/>
  <c r="H47" i="121"/>
  <c r="M67" i="238"/>
  <c r="W37" i="238"/>
  <c r="M39" i="238"/>
  <c r="L26" i="116"/>
  <c r="L21" i="115"/>
  <c r="L33" i="115"/>
  <c r="X32" i="238"/>
  <c r="Z32" i="238"/>
  <c r="N34" i="238"/>
  <c r="X34" i="238"/>
  <c r="N67" i="238"/>
  <c r="K28" i="109"/>
  <c r="B59" i="109"/>
  <c r="K23" i="238"/>
  <c r="F13" i="238"/>
  <c r="N28" i="87"/>
  <c r="B65" i="87"/>
  <c r="K64" i="238"/>
  <c r="K76" i="238"/>
  <c r="U13" i="238"/>
  <c r="U63" i="238"/>
  <c r="N28" i="83"/>
  <c r="B65" i="83"/>
  <c r="K13" i="238"/>
  <c r="K63" i="238"/>
  <c r="O64" i="238"/>
  <c r="J8" i="238"/>
  <c r="I13" i="109"/>
  <c r="I33" i="109"/>
  <c r="G18" i="167"/>
  <c r="E36" i="95"/>
  <c r="I48" i="95"/>
  <c r="E47" i="95"/>
  <c r="E50" i="95"/>
  <c r="B36" i="97"/>
  <c r="I57" i="169"/>
  <c r="I39" i="169"/>
  <c r="G74" i="239"/>
  <c r="I33" i="239"/>
  <c r="I40" i="239"/>
  <c r="C73" i="239"/>
  <c r="C40" i="239"/>
  <c r="H73" i="239"/>
  <c r="H75" i="239"/>
  <c r="B39" i="240"/>
  <c r="F67" i="292"/>
  <c r="X45" i="292"/>
  <c r="K68" i="292"/>
  <c r="U23" i="292"/>
  <c r="W16" i="292"/>
  <c r="O64" i="292"/>
  <c r="O74" i="293"/>
  <c r="R74" i="293"/>
  <c r="D74" i="293"/>
  <c r="K47" i="293"/>
  <c r="K68" i="293"/>
  <c r="W38" i="293"/>
  <c r="X33" i="293"/>
  <c r="N68" i="293"/>
  <c r="E64" i="293"/>
  <c r="E76" i="293"/>
  <c r="G63" i="293"/>
  <c r="G65" i="293"/>
  <c r="C73" i="289"/>
  <c r="C75" i="289"/>
  <c r="G22" i="289"/>
  <c r="G29" i="289"/>
  <c r="G73" i="289"/>
  <c r="I21" i="289"/>
  <c r="I22" i="289"/>
  <c r="H55" i="241"/>
  <c r="I46" i="241"/>
  <c r="D56" i="241"/>
  <c r="K31" i="122"/>
  <c r="K21" i="121"/>
  <c r="D49" i="247"/>
  <c r="J21" i="110"/>
  <c r="J33" i="110"/>
  <c r="D37" i="249"/>
  <c r="M20" i="87"/>
  <c r="H48" i="87"/>
  <c r="M20" i="82"/>
  <c r="I48" i="82"/>
  <c r="F46" i="247"/>
  <c r="N67" i="290"/>
  <c r="M39" i="290"/>
  <c r="W39" i="290"/>
  <c r="Y39" i="290"/>
  <c r="N34" i="290"/>
  <c r="Q34" i="290"/>
  <c r="Q33" i="290"/>
  <c r="M17" i="290"/>
  <c r="W17" i="290"/>
  <c r="M13" i="290"/>
  <c r="X12" i="290"/>
  <c r="Z12" i="290"/>
  <c r="Z8" i="290"/>
  <c r="R8" i="290"/>
  <c r="Q7" i="290"/>
  <c r="S75" i="238"/>
  <c r="S77" i="238"/>
  <c r="N74" i="238"/>
  <c r="K68" i="238"/>
  <c r="O67" i="238"/>
  <c r="X62" i="238"/>
  <c r="P62" i="238"/>
  <c r="W46" i="238"/>
  <c r="W45" i="238"/>
  <c r="W42" i="238"/>
  <c r="W41" i="238"/>
  <c r="Y41" i="238"/>
  <c r="N39" i="238"/>
  <c r="E39" i="238"/>
  <c r="Q38" i="238"/>
  <c r="F34" i="238"/>
  <c r="L21" i="116"/>
  <c r="M23" i="238"/>
  <c r="W23" i="238"/>
  <c r="W21" i="238"/>
  <c r="J19" i="238"/>
  <c r="N21" i="86"/>
  <c r="N33" i="86"/>
  <c r="R7" i="238"/>
  <c r="N20" i="82"/>
  <c r="I49" i="82"/>
  <c r="P7" i="238"/>
  <c r="N3" i="238"/>
  <c r="L33" i="83"/>
  <c r="I32" i="109"/>
  <c r="H47" i="95"/>
  <c r="H50" i="95"/>
  <c r="B39" i="97"/>
  <c r="D47" i="95"/>
  <c r="D50" i="95"/>
  <c r="B35" i="97"/>
  <c r="I16" i="169"/>
  <c r="I17" i="169"/>
  <c r="F17" i="169"/>
  <c r="F60" i="169"/>
  <c r="F63" i="169"/>
  <c r="B37" i="170"/>
  <c r="I68" i="239"/>
  <c r="I61" i="239"/>
  <c r="I70" i="239"/>
  <c r="G32" i="131"/>
  <c r="K13" i="124"/>
  <c r="G27" i="239"/>
  <c r="K15" i="115"/>
  <c r="D72" i="239"/>
  <c r="I15" i="239"/>
  <c r="M12" i="83"/>
  <c r="F68" i="292"/>
  <c r="E67" i="292"/>
  <c r="W42" i="292"/>
  <c r="X22" i="292"/>
  <c r="W20" i="292"/>
  <c r="X7" i="292"/>
  <c r="O67" i="293"/>
  <c r="P66" i="293"/>
  <c r="Q66" i="293"/>
  <c r="W62" i="293"/>
  <c r="M74" i="293"/>
  <c r="T48" i="293"/>
  <c r="W43" i="293"/>
  <c r="X39" i="293"/>
  <c r="S13" i="296"/>
  <c r="W18" i="293"/>
  <c r="S34" i="296"/>
  <c r="X15" i="293"/>
  <c r="X17" i="293"/>
  <c r="S33" i="296"/>
  <c r="X11" i="293"/>
  <c r="S32" i="300"/>
  <c r="N64" i="293"/>
  <c r="X8" i="293"/>
  <c r="W7" i="293"/>
  <c r="W9" i="293"/>
  <c r="H73" i="289"/>
  <c r="G74" i="289"/>
  <c r="I15" i="289"/>
  <c r="G18" i="289"/>
  <c r="H56" i="241"/>
  <c r="E52" i="241"/>
  <c r="I47" i="241"/>
  <c r="D52" i="241"/>
  <c r="D57" i="241"/>
  <c r="H54" i="241"/>
  <c r="H35" i="241"/>
  <c r="H57" i="241"/>
  <c r="J10" i="122"/>
  <c r="I25" i="171"/>
  <c r="I27" i="171"/>
  <c r="E27" i="171"/>
  <c r="E29" i="171"/>
  <c r="I10" i="110"/>
  <c r="I15" i="110"/>
  <c r="I12" i="171"/>
  <c r="E18" i="171"/>
  <c r="G55" i="192"/>
  <c r="M47" i="237"/>
  <c r="M43" i="237"/>
  <c r="W43" i="237"/>
  <c r="K21" i="122"/>
  <c r="K33" i="122"/>
  <c r="D49" i="249"/>
  <c r="K21" i="115"/>
  <c r="D48" i="247"/>
  <c r="D52" i="247"/>
  <c r="E21" i="253"/>
  <c r="E24" i="253"/>
  <c r="D36" i="249"/>
  <c r="M28" i="87"/>
  <c r="B64" i="87"/>
  <c r="D29" i="249"/>
  <c r="M21" i="86"/>
  <c r="C64" i="290"/>
  <c r="M20" i="290"/>
  <c r="W20" i="290"/>
  <c r="C20" i="290"/>
  <c r="Y18" i="290"/>
  <c r="P18" i="290"/>
  <c r="Q8" i="290"/>
  <c r="H21" i="131"/>
  <c r="H33" i="131"/>
  <c r="H31" i="131"/>
  <c r="L21" i="125"/>
  <c r="L31" i="125"/>
  <c r="L21" i="124"/>
  <c r="L31" i="124"/>
  <c r="L31" i="121"/>
  <c r="K21" i="109"/>
  <c r="K33" i="109"/>
  <c r="X17" i="238"/>
  <c r="J16" i="238"/>
  <c r="G17" i="238"/>
  <c r="J17" i="238"/>
  <c r="N21" i="87"/>
  <c r="N33" i="87"/>
  <c r="W11" i="238"/>
  <c r="R9" i="238"/>
  <c r="C72" i="167"/>
  <c r="J32" i="121"/>
  <c r="L12" i="83"/>
  <c r="L32" i="83"/>
  <c r="I10" i="109"/>
  <c r="I15" i="109"/>
  <c r="I12" i="167"/>
  <c r="E49" i="95"/>
  <c r="C50" i="95"/>
  <c r="B34" i="97"/>
  <c r="I33" i="95"/>
  <c r="I31" i="145"/>
  <c r="C34" i="145"/>
  <c r="C39" i="145"/>
  <c r="C40" i="145"/>
  <c r="B34" i="144"/>
  <c r="G62" i="169"/>
  <c r="G63" i="169"/>
  <c r="B38" i="170"/>
  <c r="C62" i="169"/>
  <c r="I28" i="169"/>
  <c r="H74" i="239"/>
  <c r="C74" i="239"/>
  <c r="C70" i="239"/>
  <c r="C75" i="239"/>
  <c r="B34" i="240"/>
  <c r="J10" i="109"/>
  <c r="J15" i="109"/>
  <c r="E18" i="239"/>
  <c r="O74" i="292"/>
  <c r="R74" i="292"/>
  <c r="M68" i="292"/>
  <c r="W68" i="292"/>
  <c r="X62" i="292"/>
  <c r="N74" i="292"/>
  <c r="X37" i="292"/>
  <c r="O67" i="292"/>
  <c r="X12" i="292"/>
  <c r="W11" i="292"/>
  <c r="T69" i="293"/>
  <c r="S48" i="293"/>
  <c r="O47" i="293"/>
  <c r="G67" i="293"/>
  <c r="X32" i="293"/>
  <c r="X34" i="293"/>
  <c r="N67" i="293"/>
  <c r="N69" i="293"/>
  <c r="X23" i="293"/>
  <c r="S12" i="300"/>
  <c r="W22" i="293"/>
  <c r="S36" i="300"/>
  <c r="S63" i="293"/>
  <c r="S13" i="293"/>
  <c r="W8" i="293"/>
  <c r="K63" i="293"/>
  <c r="K65" i="293"/>
  <c r="E70" i="289"/>
  <c r="I33" i="289"/>
  <c r="I40" i="289"/>
  <c r="D75" i="289"/>
  <c r="F18" i="289"/>
  <c r="E56" i="241"/>
  <c r="G52" i="241"/>
  <c r="G56" i="241"/>
  <c r="C52" i="241"/>
  <c r="C56" i="241"/>
  <c r="I38" i="241"/>
  <c r="I41" i="241"/>
  <c r="E41" i="241"/>
  <c r="E35" i="241"/>
  <c r="L13" i="124"/>
  <c r="G26" i="241"/>
  <c r="I12" i="241"/>
  <c r="I17" i="241"/>
  <c r="L10" i="87"/>
  <c r="I13" i="171"/>
  <c r="L31" i="122"/>
  <c r="L21" i="121"/>
  <c r="L27" i="115"/>
  <c r="L31" i="115"/>
  <c r="K21" i="110"/>
  <c r="M20" i="238"/>
  <c r="K17" i="238"/>
  <c r="K28" i="238"/>
  <c r="N20" i="87"/>
  <c r="H49" i="87"/>
  <c r="W12" i="238"/>
  <c r="G13" i="238"/>
  <c r="J13" i="238"/>
  <c r="N31" i="86"/>
  <c r="N27" i="82"/>
  <c r="N31" i="82"/>
  <c r="F70" i="167"/>
  <c r="F75" i="167"/>
  <c r="B37" i="168"/>
  <c r="J10" i="121"/>
  <c r="J15" i="121"/>
  <c r="J27" i="121"/>
  <c r="E27" i="167"/>
  <c r="J10" i="115"/>
  <c r="E22" i="167"/>
  <c r="E29" i="167"/>
  <c r="L24" i="82"/>
  <c r="B47" i="82"/>
  <c r="L30" i="82"/>
  <c r="L23" i="82"/>
  <c r="L10" i="83"/>
  <c r="L15" i="83"/>
  <c r="I13" i="167"/>
  <c r="G50" i="95"/>
  <c r="B38" i="97"/>
  <c r="G70" i="239"/>
  <c r="I18" i="239"/>
  <c r="S65" i="292"/>
  <c r="S75" i="292"/>
  <c r="S77" i="292"/>
  <c r="X41" i="292"/>
  <c r="X27" i="292"/>
  <c r="X21" i="292"/>
  <c r="X23" i="292"/>
  <c r="X16" i="292"/>
  <c r="W15" i="292"/>
  <c r="W17" i="292"/>
  <c r="W12" i="292"/>
  <c r="U63" i="292"/>
  <c r="U13" i="292"/>
  <c r="U65" i="293"/>
  <c r="X38" i="293"/>
  <c r="W37" i="293"/>
  <c r="O68" i="293"/>
  <c r="W32" i="293"/>
  <c r="W34" i="293"/>
  <c r="M67" i="293"/>
  <c r="W67" i="293"/>
  <c r="P26" i="293"/>
  <c r="O63" i="293"/>
  <c r="O75" i="293"/>
  <c r="F56" i="241"/>
  <c r="C35" i="241"/>
  <c r="I31" i="241"/>
  <c r="I35" i="241"/>
  <c r="B49" i="82"/>
  <c r="N30" i="82"/>
  <c r="N23" i="82"/>
  <c r="I28" i="245"/>
  <c r="F23" i="163"/>
  <c r="F27" i="163"/>
  <c r="J76" i="192"/>
  <c r="J90" i="192"/>
  <c r="J93" i="192"/>
  <c r="J37" i="192"/>
  <c r="J24" i="192"/>
  <c r="J26" i="192"/>
  <c r="J15" i="192"/>
  <c r="L37" i="213"/>
  <c r="K26" i="213"/>
  <c r="K53" i="213"/>
  <c r="J52" i="213"/>
  <c r="F74" i="308"/>
  <c r="K43" i="308"/>
  <c r="K67" i="308"/>
  <c r="O67" i="308"/>
  <c r="F23" i="308"/>
  <c r="J18" i="308"/>
  <c r="G20" i="308"/>
  <c r="G63" i="308"/>
  <c r="G75" i="308"/>
  <c r="J16" i="308"/>
  <c r="G17" i="308"/>
  <c r="J17" i="308"/>
  <c r="M64" i="308"/>
  <c r="W8" i="308"/>
  <c r="M9" i="308"/>
  <c r="D49" i="306"/>
  <c r="D51" i="306"/>
  <c r="G49" i="313"/>
  <c r="J17" i="313"/>
  <c r="J51" i="313"/>
  <c r="M23" i="214"/>
  <c r="H52" i="163"/>
  <c r="H56" i="163"/>
  <c r="E55" i="213"/>
  <c r="J26" i="213"/>
  <c r="J53" i="213"/>
  <c r="J31" i="193"/>
  <c r="J35" i="193"/>
  <c r="C75" i="243"/>
  <c r="B34" i="244"/>
  <c r="C73" i="243"/>
  <c r="D74" i="308"/>
  <c r="N74" i="308"/>
  <c r="Q74" i="308"/>
  <c r="X62" i="308"/>
  <c r="Q62" i="308"/>
  <c r="W33" i="308"/>
  <c r="M34" i="308"/>
  <c r="W34" i="308"/>
  <c r="M68" i="308"/>
  <c r="W68" i="308"/>
  <c r="X12" i="308"/>
  <c r="N13" i="308"/>
  <c r="N64" i="308"/>
  <c r="K13" i="306"/>
  <c r="G14" i="127"/>
  <c r="K25" i="311"/>
  <c r="J26" i="127"/>
  <c r="E27" i="311"/>
  <c r="K13" i="311"/>
  <c r="K43" i="313"/>
  <c r="T53" i="294"/>
  <c r="K22" i="313"/>
  <c r="H23" i="313"/>
  <c r="I43" i="291"/>
  <c r="E74" i="291"/>
  <c r="I14" i="291"/>
  <c r="I18" i="291"/>
  <c r="D18" i="291"/>
  <c r="I33" i="245"/>
  <c r="I35" i="245"/>
  <c r="N9" i="87"/>
  <c r="N15" i="87"/>
  <c r="C17" i="245"/>
  <c r="K33" i="307"/>
  <c r="K15" i="307"/>
  <c r="G16" i="129"/>
  <c r="D44" i="214"/>
  <c r="L24" i="214"/>
  <c r="L30" i="214"/>
  <c r="L23" i="214"/>
  <c r="B47" i="214"/>
  <c r="D47" i="214"/>
  <c r="L27" i="214"/>
  <c r="S35" i="296"/>
  <c r="S34" i="300"/>
  <c r="S33" i="300"/>
  <c r="L33" i="121"/>
  <c r="N9" i="83"/>
  <c r="G52" i="163"/>
  <c r="G56" i="163"/>
  <c r="J23" i="163"/>
  <c r="J27" i="163"/>
  <c r="K87" i="192"/>
  <c r="K91" i="192"/>
  <c r="J54" i="192"/>
  <c r="F55" i="192"/>
  <c r="I50" i="192"/>
  <c r="L26" i="192"/>
  <c r="D55" i="213"/>
  <c r="I24" i="213"/>
  <c r="I26" i="213"/>
  <c r="I53" i="213"/>
  <c r="I55" i="213"/>
  <c r="I15" i="213"/>
  <c r="I52" i="213"/>
  <c r="K58" i="193"/>
  <c r="K72" i="193"/>
  <c r="J58" i="193"/>
  <c r="J72" i="193"/>
  <c r="M10" i="86"/>
  <c r="M15" i="86"/>
  <c r="I15" i="243"/>
  <c r="W74" i="308"/>
  <c r="O68" i="308"/>
  <c r="M67" i="308"/>
  <c r="W67" i="308"/>
  <c r="F47" i="308"/>
  <c r="F68" i="308"/>
  <c r="E47" i="308"/>
  <c r="J47" i="308"/>
  <c r="M39" i="308"/>
  <c r="W39" i="308"/>
  <c r="N23" i="308"/>
  <c r="X23" i="308"/>
  <c r="O20" i="308"/>
  <c r="W16" i="308"/>
  <c r="M17" i="308"/>
  <c r="W17" i="308"/>
  <c r="S28" i="308"/>
  <c r="J8" i="308"/>
  <c r="G64" i="308"/>
  <c r="F9" i="308"/>
  <c r="F63" i="308"/>
  <c r="K42" i="306"/>
  <c r="G43" i="127"/>
  <c r="R52" i="294"/>
  <c r="I38" i="306"/>
  <c r="K27" i="306"/>
  <c r="K14" i="306"/>
  <c r="G15" i="127"/>
  <c r="K21" i="311"/>
  <c r="J22" i="127"/>
  <c r="H23" i="311"/>
  <c r="K44" i="313"/>
  <c r="K41" i="313"/>
  <c r="T51" i="294"/>
  <c r="D49" i="313"/>
  <c r="D51" i="313"/>
  <c r="K26" i="313"/>
  <c r="T26" i="294"/>
  <c r="K19" i="313"/>
  <c r="K15" i="313"/>
  <c r="C51" i="313"/>
  <c r="C72" i="291"/>
  <c r="I62" i="291"/>
  <c r="I70" i="291"/>
  <c r="C70" i="291"/>
  <c r="I36" i="291"/>
  <c r="H40" i="291"/>
  <c r="H75" i="291"/>
  <c r="I40" i="291"/>
  <c r="C75" i="291"/>
  <c r="H72" i="291"/>
  <c r="F75" i="291"/>
  <c r="I52" i="245"/>
  <c r="I14" i="245"/>
  <c r="E17" i="245"/>
  <c r="M24" i="217"/>
  <c r="K31" i="109"/>
  <c r="F21" i="253"/>
  <c r="N26" i="87"/>
  <c r="N21" i="83"/>
  <c r="N20" i="86"/>
  <c r="H49" i="86"/>
  <c r="J32" i="124"/>
  <c r="J32" i="115"/>
  <c r="L33" i="82"/>
  <c r="G33" i="131"/>
  <c r="M13" i="83"/>
  <c r="M33" i="83"/>
  <c r="E68" i="292"/>
  <c r="E69" i="292"/>
  <c r="E64" i="292"/>
  <c r="E76" i="292"/>
  <c r="M63" i="292"/>
  <c r="G68" i="293"/>
  <c r="F67" i="293"/>
  <c r="G64" i="293"/>
  <c r="N47" i="293"/>
  <c r="S35" i="300"/>
  <c r="S36" i="296"/>
  <c r="S32" i="296"/>
  <c r="D54" i="241"/>
  <c r="I27" i="241"/>
  <c r="H15" i="131"/>
  <c r="F26" i="241"/>
  <c r="F28" i="241"/>
  <c r="L32" i="121"/>
  <c r="G21" i="241"/>
  <c r="G28" i="241"/>
  <c r="G55" i="241"/>
  <c r="N13" i="83"/>
  <c r="N33" i="83"/>
  <c r="J12" i="122"/>
  <c r="J32" i="122"/>
  <c r="F27" i="171"/>
  <c r="F29" i="171"/>
  <c r="I29" i="171"/>
  <c r="I15" i="171"/>
  <c r="G23" i="163"/>
  <c r="G27" i="163"/>
  <c r="L85" i="192"/>
  <c r="L87" i="192"/>
  <c r="L91" i="192"/>
  <c r="I54" i="192"/>
  <c r="E55" i="192"/>
  <c r="K37" i="192"/>
  <c r="K24" i="192"/>
  <c r="K26" i="192"/>
  <c r="K15" i="192"/>
  <c r="F87" i="213"/>
  <c r="F91" i="213"/>
  <c r="F93" i="213"/>
  <c r="L50" i="213"/>
  <c r="K54" i="213"/>
  <c r="I37" i="213"/>
  <c r="L24" i="213"/>
  <c r="L26" i="213"/>
  <c r="L15" i="213"/>
  <c r="I40" i="243"/>
  <c r="G27" i="243"/>
  <c r="G29" i="243"/>
  <c r="G73" i="243"/>
  <c r="E18" i="243"/>
  <c r="J13" i="110"/>
  <c r="G18" i="243"/>
  <c r="E67" i="308"/>
  <c r="S76" i="308"/>
  <c r="N47" i="308"/>
  <c r="X45" i="308"/>
  <c r="J45" i="308"/>
  <c r="J42" i="308"/>
  <c r="G43" i="308"/>
  <c r="J43" i="308"/>
  <c r="F43" i="308"/>
  <c r="E39" i="308"/>
  <c r="E68" i="308"/>
  <c r="J37" i="308"/>
  <c r="G67" i="308"/>
  <c r="G69" i="308"/>
  <c r="J33" i="308"/>
  <c r="G34" i="308"/>
  <c r="K20" i="308"/>
  <c r="T23" i="308"/>
  <c r="O63" i="308"/>
  <c r="O65" i="308"/>
  <c r="E63" i="308"/>
  <c r="E75" i="308"/>
  <c r="K43" i="306"/>
  <c r="G44" i="127"/>
  <c r="R53" i="294"/>
  <c r="E49" i="306"/>
  <c r="K40" i="306"/>
  <c r="K38" i="306"/>
  <c r="K19" i="306"/>
  <c r="G20" i="127"/>
  <c r="E17" i="306"/>
  <c r="E51" i="306"/>
  <c r="K12" i="306"/>
  <c r="G13" i="127"/>
  <c r="K38" i="311"/>
  <c r="K33" i="311"/>
  <c r="L26" i="311"/>
  <c r="K19" i="311"/>
  <c r="J20" i="127"/>
  <c r="E23" i="311"/>
  <c r="K12" i="311"/>
  <c r="J13" i="127"/>
  <c r="E49" i="313"/>
  <c r="G27" i="313"/>
  <c r="C73" i="291"/>
  <c r="I69" i="291"/>
  <c r="H70" i="291"/>
  <c r="H73" i="291"/>
  <c r="E27" i="291"/>
  <c r="E29" i="291"/>
  <c r="I25" i="291"/>
  <c r="I27" i="291"/>
  <c r="I29" i="291"/>
  <c r="H35" i="245"/>
  <c r="H57" i="245"/>
  <c r="H54" i="245"/>
  <c r="K32" i="110"/>
  <c r="K13" i="307"/>
  <c r="G14" i="129"/>
  <c r="C17" i="178"/>
  <c r="C13" i="178"/>
  <c r="D57" i="214"/>
  <c r="M32" i="214"/>
  <c r="M33" i="214"/>
  <c r="B90" i="214"/>
  <c r="D90" i="214"/>
  <c r="I24" i="214"/>
  <c r="I30" i="214"/>
  <c r="K15" i="214"/>
  <c r="J32" i="215"/>
  <c r="J33" i="215"/>
  <c r="J26" i="215"/>
  <c r="C86" i="215"/>
  <c r="D86" i="215"/>
  <c r="H23" i="216"/>
  <c r="H24" i="216"/>
  <c r="B45" i="216"/>
  <c r="D45" i="216"/>
  <c r="H30" i="216"/>
  <c r="B44" i="216"/>
  <c r="D44" i="216"/>
  <c r="K15" i="216"/>
  <c r="M15" i="216"/>
  <c r="J20" i="217"/>
  <c r="J21" i="217"/>
  <c r="J28" i="217"/>
  <c r="C45" i="217"/>
  <c r="D45" i="217"/>
  <c r="I23" i="217"/>
  <c r="E23" i="217"/>
  <c r="C42" i="217"/>
  <c r="D42" i="217"/>
  <c r="L23" i="217"/>
  <c r="L24" i="217"/>
  <c r="L27" i="217"/>
  <c r="L30" i="217"/>
  <c r="K15" i="217"/>
  <c r="K27" i="217"/>
  <c r="M31" i="218"/>
  <c r="B62" i="218"/>
  <c r="D62" i="218"/>
  <c r="D31" i="218"/>
  <c r="D27" i="218"/>
  <c r="C45" i="220"/>
  <c r="D45" i="220"/>
  <c r="F23" i="220"/>
  <c r="F24" i="220"/>
  <c r="F30" i="220"/>
  <c r="M24" i="220"/>
  <c r="M30" i="220"/>
  <c r="L15" i="220"/>
  <c r="K15" i="220"/>
  <c r="J33" i="221"/>
  <c r="J32" i="221"/>
  <c r="G32" i="132"/>
  <c r="K32" i="122"/>
  <c r="L32" i="125"/>
  <c r="L33" i="122"/>
  <c r="K22" i="318"/>
  <c r="M23" i="129"/>
  <c r="K15" i="318"/>
  <c r="M16" i="129"/>
  <c r="C16" i="178"/>
  <c r="B6" i="178"/>
  <c r="L29" i="214"/>
  <c r="B45" i="214"/>
  <c r="B44" i="214"/>
  <c r="D24" i="214"/>
  <c r="D30" i="214"/>
  <c r="C40" i="214"/>
  <c r="D40" i="214"/>
  <c r="J15" i="214"/>
  <c r="J28" i="214"/>
  <c r="C44" i="215"/>
  <c r="D44" i="215"/>
  <c r="F30" i="215"/>
  <c r="F27" i="215"/>
  <c r="B30" i="215"/>
  <c r="C37" i="215"/>
  <c r="D37" i="215"/>
  <c r="B27" i="215"/>
  <c r="L15" i="215"/>
  <c r="L32" i="216"/>
  <c r="B89" i="216"/>
  <c r="D89" i="216"/>
  <c r="L29" i="216"/>
  <c r="J20" i="216"/>
  <c r="C73" i="216"/>
  <c r="D73" i="216"/>
  <c r="J21" i="216"/>
  <c r="J24" i="216"/>
  <c r="J28" i="216"/>
  <c r="C59" i="216"/>
  <c r="D59" i="216"/>
  <c r="B48" i="217"/>
  <c r="D48" i="217"/>
  <c r="M32" i="217"/>
  <c r="M33" i="217"/>
  <c r="J32" i="218"/>
  <c r="C87" i="218"/>
  <c r="D87" i="218"/>
  <c r="J26" i="218"/>
  <c r="J33" i="218"/>
  <c r="F27" i="218"/>
  <c r="F30" i="218"/>
  <c r="F23" i="218"/>
  <c r="G15" i="218"/>
  <c r="G32" i="218"/>
  <c r="L15" i="218"/>
  <c r="J26" i="219"/>
  <c r="J33" i="219"/>
  <c r="C87" i="219"/>
  <c r="D87" i="219"/>
  <c r="M27" i="220"/>
  <c r="M31" i="221"/>
  <c r="K29" i="221"/>
  <c r="K31" i="221"/>
  <c r="B59" i="221"/>
  <c r="D59" i="221"/>
  <c r="J23" i="221"/>
  <c r="C44" i="221"/>
  <c r="D44" i="221"/>
  <c r="M23" i="221"/>
  <c r="M30" i="221"/>
  <c r="M24" i="221"/>
  <c r="L15" i="221"/>
  <c r="K15" i="221"/>
  <c r="I22" i="294"/>
  <c r="J32" i="116"/>
  <c r="L33" i="86"/>
  <c r="L33" i="87"/>
  <c r="D75" i="243"/>
  <c r="B35" i="244"/>
  <c r="K32" i="125"/>
  <c r="M10" i="87"/>
  <c r="M15" i="87"/>
  <c r="G74" i="308"/>
  <c r="C74" i="308"/>
  <c r="Q66" i="308"/>
  <c r="F64" i="308"/>
  <c r="N63" i="308"/>
  <c r="P62" i="308"/>
  <c r="M20" i="308"/>
  <c r="F20" i="308"/>
  <c r="E23" i="306"/>
  <c r="E17" i="311"/>
  <c r="E51" i="311"/>
  <c r="E23" i="313"/>
  <c r="K14" i="313"/>
  <c r="M15" i="127"/>
  <c r="E35" i="245"/>
  <c r="G26" i="245"/>
  <c r="L32" i="122"/>
  <c r="G21" i="245"/>
  <c r="D17" i="245"/>
  <c r="F30" i="253"/>
  <c r="N12" i="87"/>
  <c r="N32" i="87"/>
  <c r="I12" i="245"/>
  <c r="I17" i="245"/>
  <c r="C17" i="307"/>
  <c r="K26" i="312"/>
  <c r="J27" i="129"/>
  <c r="T26" i="298"/>
  <c r="E23" i="312"/>
  <c r="K26" i="318"/>
  <c r="M27" i="129"/>
  <c r="U26" i="298"/>
  <c r="C19" i="178"/>
  <c r="C15" i="178"/>
  <c r="K31" i="214"/>
  <c r="E30" i="214"/>
  <c r="B60" i="216"/>
  <c r="D60" i="216"/>
  <c r="H27" i="216"/>
  <c r="K29" i="216"/>
  <c r="L15" i="216"/>
  <c r="I30" i="217"/>
  <c r="E30" i="217"/>
  <c r="K31" i="218"/>
  <c r="M29" i="218"/>
  <c r="J23" i="218"/>
  <c r="C45" i="218"/>
  <c r="K15" i="218"/>
  <c r="J32" i="219"/>
  <c r="J23" i="219"/>
  <c r="J28" i="219"/>
  <c r="C45" i="219"/>
  <c r="D45" i="219"/>
  <c r="M27" i="219"/>
  <c r="L15" i="219"/>
  <c r="L27" i="219"/>
  <c r="K15" i="219"/>
  <c r="K27" i="219"/>
  <c r="M31" i="220"/>
  <c r="B62" i="220"/>
  <c r="D62" i="220"/>
  <c r="C86" i="221"/>
  <c r="D86" i="221"/>
  <c r="B47" i="221"/>
  <c r="D47" i="221"/>
  <c r="J28" i="221"/>
  <c r="C58" i="221"/>
  <c r="D58" i="221"/>
  <c r="L15" i="222"/>
  <c r="K15" i="222"/>
  <c r="I32" i="296"/>
  <c r="L32" i="86"/>
  <c r="L12" i="87"/>
  <c r="L32" i="87"/>
  <c r="I25" i="243"/>
  <c r="I27" i="243"/>
  <c r="I29" i="243"/>
  <c r="F18" i="243"/>
  <c r="I13" i="243"/>
  <c r="I12" i="243"/>
  <c r="K68" i="308"/>
  <c r="K69" i="308"/>
  <c r="N67" i="308"/>
  <c r="X67" i="308"/>
  <c r="F67" i="308"/>
  <c r="F75" i="308"/>
  <c r="E64" i="308"/>
  <c r="M63" i="308"/>
  <c r="N39" i="308"/>
  <c r="F34" i="308"/>
  <c r="F17" i="308"/>
  <c r="F28" i="308"/>
  <c r="M13" i="308"/>
  <c r="W13" i="308"/>
  <c r="G13" i="308"/>
  <c r="J13" i="308"/>
  <c r="H17" i="306"/>
  <c r="E27" i="313"/>
  <c r="H15" i="132"/>
  <c r="F26" i="245"/>
  <c r="F28" i="245"/>
  <c r="L15" i="122"/>
  <c r="L27" i="122"/>
  <c r="L15" i="116"/>
  <c r="G17" i="245"/>
  <c r="N15" i="86"/>
  <c r="N27" i="86"/>
  <c r="N10" i="87"/>
  <c r="K33" i="110"/>
  <c r="C18" i="175"/>
  <c r="C18" i="178"/>
  <c r="C14" i="231"/>
  <c r="C18" i="231"/>
  <c r="C15" i="231"/>
  <c r="C19" i="231"/>
  <c r="L32" i="214"/>
  <c r="D27" i="214"/>
  <c r="L31" i="215"/>
  <c r="K31" i="215"/>
  <c r="J24" i="215"/>
  <c r="F24" i="215"/>
  <c r="B24" i="215"/>
  <c r="H31" i="216"/>
  <c r="B91" i="217"/>
  <c r="D91" i="217"/>
  <c r="B63" i="217"/>
  <c r="D63" i="217"/>
  <c r="M31" i="217"/>
  <c r="I27" i="217"/>
  <c r="E27" i="217"/>
  <c r="I24" i="217"/>
  <c r="E24" i="217"/>
  <c r="J24" i="219"/>
  <c r="F27" i="220"/>
  <c r="M23" i="220"/>
  <c r="J21" i="220"/>
  <c r="J20" i="220"/>
  <c r="C73" i="220"/>
  <c r="D73" i="220"/>
  <c r="D85" i="221"/>
  <c r="J26" i="221"/>
  <c r="I27" i="221"/>
  <c r="K15" i="223"/>
  <c r="B46" i="223"/>
  <c r="D46" i="223"/>
  <c r="L10" i="296"/>
  <c r="C18" i="230"/>
  <c r="C14" i="230"/>
  <c r="J28" i="215"/>
  <c r="C58" i="215"/>
  <c r="D58" i="215"/>
  <c r="G30" i="216"/>
  <c r="B90" i="217"/>
  <c r="D90" i="217"/>
  <c r="M33" i="218"/>
  <c r="L31" i="220"/>
  <c r="I30" i="220"/>
  <c r="E30" i="220"/>
  <c r="I30" i="221"/>
  <c r="F22" i="295"/>
  <c r="F26" i="295"/>
  <c r="C17" i="230"/>
  <c r="C43" i="216"/>
  <c r="D43" i="216"/>
  <c r="L33" i="217"/>
  <c r="B61" i="218"/>
  <c r="D61" i="218"/>
  <c r="L31" i="218"/>
  <c r="J28" i="218"/>
  <c r="C59" i="218"/>
  <c r="D59" i="218"/>
  <c r="B90" i="219"/>
  <c r="D90" i="219"/>
  <c r="C41" i="219"/>
  <c r="D41" i="219"/>
  <c r="M33" i="219"/>
  <c r="C41" i="220"/>
  <c r="D41" i="220"/>
  <c r="M33" i="220"/>
  <c r="K32" i="296"/>
  <c r="K24" i="111"/>
  <c r="F22" i="299"/>
  <c r="F26" i="299"/>
  <c r="I35" i="300"/>
  <c r="M15" i="82"/>
  <c r="L15" i="86"/>
  <c r="L15" i="111"/>
  <c r="M9" i="111"/>
  <c r="M15" i="111"/>
  <c r="B59" i="112"/>
  <c r="J29" i="112"/>
  <c r="L29" i="112"/>
  <c r="H61" i="112"/>
  <c r="L24" i="112"/>
  <c r="L32" i="112"/>
  <c r="J24" i="112"/>
  <c r="J30" i="112"/>
  <c r="B45" i="112"/>
  <c r="J23" i="112"/>
  <c r="L33" i="112"/>
  <c r="H27" i="86"/>
  <c r="H31" i="86"/>
  <c r="M13" i="111"/>
  <c r="L29" i="113"/>
  <c r="H61" i="113"/>
  <c r="K30" i="111"/>
  <c r="K31" i="113"/>
  <c r="E24" i="109"/>
  <c r="C40" i="109"/>
  <c r="D40" i="109"/>
  <c r="E30" i="109"/>
  <c r="E23" i="253"/>
  <c r="E30" i="253"/>
  <c r="I23" i="122"/>
  <c r="B44" i="122"/>
  <c r="I30" i="122"/>
  <c r="I27" i="122"/>
  <c r="I24" i="122"/>
  <c r="E23" i="122"/>
  <c r="E24" i="122"/>
  <c r="J15" i="124"/>
  <c r="J27" i="124"/>
  <c r="H22" i="298"/>
  <c r="H45" i="300"/>
  <c r="H42" i="300"/>
  <c r="K30" i="82"/>
  <c r="B46" i="82"/>
  <c r="K23" i="82"/>
  <c r="K24" i="82"/>
  <c r="G27" i="82"/>
  <c r="G24" i="82"/>
  <c r="G30" i="82"/>
  <c r="G23" i="82"/>
  <c r="C38" i="82"/>
  <c r="D38" i="82"/>
  <c r="C24" i="82"/>
  <c r="C30" i="82"/>
  <c r="J26" i="111"/>
  <c r="J32" i="111"/>
  <c r="J24" i="111"/>
  <c r="J33" i="111"/>
  <c r="M12" i="111"/>
  <c r="E27" i="109"/>
  <c r="H23" i="115"/>
  <c r="H30" i="115"/>
  <c r="C43" i="115"/>
  <c r="D43" i="115"/>
  <c r="H27" i="115"/>
  <c r="D23" i="115"/>
  <c r="D30" i="115"/>
  <c r="D27" i="115"/>
  <c r="G15" i="131"/>
  <c r="J20" i="201"/>
  <c r="J21" i="201"/>
  <c r="I23" i="201"/>
  <c r="I30" i="201"/>
  <c r="I24" i="201"/>
  <c r="I27" i="201"/>
  <c r="C44" i="201"/>
  <c r="C41" i="201"/>
  <c r="D41" i="201"/>
  <c r="E24" i="201"/>
  <c r="E30" i="201"/>
  <c r="E23" i="201"/>
  <c r="E27" i="201"/>
  <c r="M15" i="201"/>
  <c r="M27" i="201"/>
  <c r="M32" i="201"/>
  <c r="K15" i="201"/>
  <c r="C19" i="232"/>
  <c r="J27" i="113"/>
  <c r="J31" i="113"/>
  <c r="J31" i="87"/>
  <c r="K15" i="110"/>
  <c r="C42" i="115"/>
  <c r="D42" i="115"/>
  <c r="G27" i="115"/>
  <c r="G23" i="115"/>
  <c r="C27" i="115"/>
  <c r="C30" i="115"/>
  <c r="J26" i="120"/>
  <c r="J29" i="120"/>
  <c r="J33" i="120"/>
  <c r="J32" i="120"/>
  <c r="M12" i="120"/>
  <c r="F23" i="124"/>
  <c r="F30" i="124"/>
  <c r="F24" i="124"/>
  <c r="K15" i="124"/>
  <c r="B30" i="82"/>
  <c r="F23" i="82"/>
  <c r="I23" i="82"/>
  <c r="I30" i="82"/>
  <c r="E23" i="82"/>
  <c r="E30" i="82"/>
  <c r="I24" i="86"/>
  <c r="E24" i="86"/>
  <c r="I23" i="86"/>
  <c r="D79" i="111"/>
  <c r="H30" i="111"/>
  <c r="J28" i="111"/>
  <c r="J20" i="111"/>
  <c r="C68" i="111"/>
  <c r="D68" i="111"/>
  <c r="K30" i="112"/>
  <c r="G30" i="112"/>
  <c r="C30" i="112"/>
  <c r="K27" i="112"/>
  <c r="C24" i="112"/>
  <c r="L23" i="112"/>
  <c r="D56" i="113"/>
  <c r="K15" i="113"/>
  <c r="G23" i="113"/>
  <c r="C42" i="113"/>
  <c r="D42" i="113"/>
  <c r="C23" i="113"/>
  <c r="C38" i="113"/>
  <c r="D38" i="113"/>
  <c r="G30" i="83"/>
  <c r="K23" i="83"/>
  <c r="H23" i="83"/>
  <c r="H30" i="83"/>
  <c r="H24" i="83"/>
  <c r="D23" i="83"/>
  <c r="D30" i="83"/>
  <c r="D24" i="83"/>
  <c r="C39" i="83"/>
  <c r="D39" i="83"/>
  <c r="I23" i="87"/>
  <c r="I27" i="87"/>
  <c r="I24" i="87"/>
  <c r="C44" i="87"/>
  <c r="D44" i="87"/>
  <c r="E23" i="87"/>
  <c r="E27" i="87"/>
  <c r="E24" i="87"/>
  <c r="C40" i="87"/>
  <c r="D40" i="87"/>
  <c r="C81" i="120"/>
  <c r="D81" i="120"/>
  <c r="D44" i="120"/>
  <c r="J24" i="120"/>
  <c r="L15" i="121"/>
  <c r="J15" i="125"/>
  <c r="J27" i="125"/>
  <c r="K15" i="125"/>
  <c r="C37" i="82"/>
  <c r="D37" i="82"/>
  <c r="F30" i="82"/>
  <c r="J24" i="82"/>
  <c r="F24" i="82"/>
  <c r="B24" i="82"/>
  <c r="J23" i="82"/>
  <c r="K23" i="86"/>
  <c r="K30" i="86"/>
  <c r="B46" i="86"/>
  <c r="G23" i="86"/>
  <c r="G30" i="86"/>
  <c r="C23" i="86"/>
  <c r="C30" i="86"/>
  <c r="K32" i="111"/>
  <c r="J27" i="112"/>
  <c r="J31" i="112"/>
  <c r="C41" i="113"/>
  <c r="D41" i="113"/>
  <c r="F27" i="113"/>
  <c r="L33" i="113"/>
  <c r="L24" i="113"/>
  <c r="L30" i="113"/>
  <c r="L23" i="113"/>
  <c r="J23" i="83"/>
  <c r="J32" i="83"/>
  <c r="J29" i="83"/>
  <c r="J33" i="83"/>
  <c r="C24" i="83"/>
  <c r="C38" i="83"/>
  <c r="D38" i="83"/>
  <c r="J29" i="87"/>
  <c r="H24" i="87"/>
  <c r="H30" i="87"/>
  <c r="C43" i="87"/>
  <c r="D43" i="87"/>
  <c r="D24" i="87"/>
  <c r="D30" i="87"/>
  <c r="C41" i="109"/>
  <c r="D41" i="109"/>
  <c r="F24" i="109"/>
  <c r="K15" i="109"/>
  <c r="G24" i="110"/>
  <c r="G23" i="110"/>
  <c r="C42" i="110"/>
  <c r="D42" i="110"/>
  <c r="C24" i="110"/>
  <c r="C27" i="110"/>
  <c r="C23" i="110"/>
  <c r="D32" i="253"/>
  <c r="C23" i="115"/>
  <c r="J15" i="115"/>
  <c r="B27" i="116"/>
  <c r="B31" i="116"/>
  <c r="G23" i="121"/>
  <c r="G30" i="121"/>
  <c r="G24" i="121"/>
  <c r="G27" i="121"/>
  <c r="C23" i="121"/>
  <c r="C30" i="121"/>
  <c r="C38" i="121"/>
  <c r="D38" i="121"/>
  <c r="C24" i="121"/>
  <c r="C27" i="121"/>
  <c r="B24" i="110"/>
  <c r="B30" i="110"/>
  <c r="I23" i="116"/>
  <c r="I27" i="116"/>
  <c r="I30" i="116"/>
  <c r="B44" i="116"/>
  <c r="E23" i="116"/>
  <c r="E27" i="116"/>
  <c r="E30" i="116"/>
  <c r="K15" i="116"/>
  <c r="D68" i="120"/>
  <c r="D57" i="120"/>
  <c r="J23" i="120"/>
  <c r="C45" i="120"/>
  <c r="D45" i="120"/>
  <c r="L9" i="120"/>
  <c r="K15" i="120"/>
  <c r="K27" i="120"/>
  <c r="K15" i="122"/>
  <c r="F30" i="125"/>
  <c r="F24" i="125"/>
  <c r="C41" i="125"/>
  <c r="D41" i="125"/>
  <c r="B38" i="125"/>
  <c r="D38" i="125"/>
  <c r="F23" i="125"/>
  <c r="B23" i="125"/>
  <c r="B30" i="125"/>
  <c r="L33" i="125"/>
  <c r="D23" i="131"/>
  <c r="C39" i="131"/>
  <c r="D39" i="131"/>
  <c r="D24" i="131"/>
  <c r="D27" i="131"/>
  <c r="D30" i="131"/>
  <c r="E15" i="225"/>
  <c r="E15" i="227"/>
  <c r="K31" i="196"/>
  <c r="H60" i="113"/>
  <c r="B44" i="113"/>
  <c r="B43" i="109"/>
  <c r="F23" i="110"/>
  <c r="B23" i="110"/>
  <c r="D15" i="253"/>
  <c r="H30" i="116"/>
  <c r="C43" i="116"/>
  <c r="D43" i="116"/>
  <c r="J15" i="116"/>
  <c r="D80" i="120"/>
  <c r="K33" i="125"/>
  <c r="E23" i="132"/>
  <c r="E27" i="132"/>
  <c r="E24" i="132"/>
  <c r="E30" i="132"/>
  <c r="B40" i="132"/>
  <c r="G33" i="132"/>
  <c r="M24" i="196"/>
  <c r="M31" i="200"/>
  <c r="G27" i="200"/>
  <c r="G31" i="200"/>
  <c r="H30" i="122"/>
  <c r="C43" i="122"/>
  <c r="D43" i="122"/>
  <c r="H27" i="122"/>
  <c r="M9" i="123"/>
  <c r="M15" i="123"/>
  <c r="L15" i="123"/>
  <c r="F27" i="124"/>
  <c r="L15" i="124"/>
  <c r="L27" i="124"/>
  <c r="I24" i="125"/>
  <c r="I27" i="125"/>
  <c r="B44" i="125"/>
  <c r="E24" i="125"/>
  <c r="E27" i="125"/>
  <c r="C27" i="131"/>
  <c r="C38" i="131"/>
  <c r="D38" i="131"/>
  <c r="D23" i="132"/>
  <c r="D27" i="132"/>
  <c r="D30" i="132"/>
  <c r="F15" i="132"/>
  <c r="F33" i="132"/>
  <c r="D24" i="196"/>
  <c r="D30" i="196"/>
  <c r="C40" i="196"/>
  <c r="D40" i="196"/>
  <c r="D27" i="196"/>
  <c r="J15" i="196"/>
  <c r="L15" i="196"/>
  <c r="L27" i="196"/>
  <c r="J26" i="199"/>
  <c r="J29" i="199"/>
  <c r="J33" i="199"/>
  <c r="C88" i="199"/>
  <c r="D88" i="199"/>
  <c r="J24" i="199"/>
  <c r="J32" i="199"/>
  <c r="C59" i="200"/>
  <c r="D59" i="200"/>
  <c r="J30" i="200"/>
  <c r="L30" i="200"/>
  <c r="L24" i="200"/>
  <c r="H27" i="200"/>
  <c r="H30" i="200"/>
  <c r="H24" i="200"/>
  <c r="B44" i="200"/>
  <c r="H23" i="200"/>
  <c r="D30" i="200"/>
  <c r="D23" i="200"/>
  <c r="D24" i="200"/>
  <c r="M29" i="203"/>
  <c r="B89" i="203"/>
  <c r="D89" i="203"/>
  <c r="M32" i="203"/>
  <c r="H30" i="121"/>
  <c r="D30" i="121"/>
  <c r="B27" i="122"/>
  <c r="B31" i="122"/>
  <c r="H23" i="122"/>
  <c r="K23" i="123"/>
  <c r="K24" i="123"/>
  <c r="K33" i="123"/>
  <c r="B26" i="125"/>
  <c r="D26" i="125"/>
  <c r="F27" i="125"/>
  <c r="I23" i="125"/>
  <c r="E23" i="125"/>
  <c r="M29" i="196"/>
  <c r="M31" i="196"/>
  <c r="B62" i="196"/>
  <c r="D62" i="196"/>
  <c r="L29" i="196"/>
  <c r="L33" i="196"/>
  <c r="B89" i="196"/>
  <c r="D89" i="196"/>
  <c r="K31" i="199"/>
  <c r="B47" i="200"/>
  <c r="D47" i="200"/>
  <c r="G23" i="200"/>
  <c r="G30" i="200"/>
  <c r="C43" i="200"/>
  <c r="D43" i="200"/>
  <c r="M15" i="200"/>
  <c r="M27" i="200"/>
  <c r="M31" i="201"/>
  <c r="K33" i="202"/>
  <c r="B88" i="202"/>
  <c r="D88" i="202"/>
  <c r="K29" i="202"/>
  <c r="M24" i="202"/>
  <c r="M31" i="203"/>
  <c r="B61" i="203"/>
  <c r="D61" i="203"/>
  <c r="M30" i="203"/>
  <c r="K31" i="203"/>
  <c r="C41" i="120"/>
  <c r="D41" i="120"/>
  <c r="D56" i="123"/>
  <c r="J29" i="123"/>
  <c r="J33" i="123"/>
  <c r="J24" i="123"/>
  <c r="C45" i="123"/>
  <c r="D45" i="123"/>
  <c r="J30" i="123"/>
  <c r="F24" i="123"/>
  <c r="F30" i="123"/>
  <c r="L12" i="123"/>
  <c r="K32" i="123"/>
  <c r="G27" i="124"/>
  <c r="C41" i="124"/>
  <c r="D41" i="124"/>
  <c r="K32" i="124"/>
  <c r="E30" i="125"/>
  <c r="L15" i="125"/>
  <c r="L27" i="125"/>
  <c r="F15" i="131"/>
  <c r="F27" i="131"/>
  <c r="D24" i="132"/>
  <c r="D15" i="224"/>
  <c r="D15" i="226"/>
  <c r="D57" i="196"/>
  <c r="C27" i="196"/>
  <c r="C31" i="196"/>
  <c r="D23" i="196"/>
  <c r="I27" i="197"/>
  <c r="I31" i="197"/>
  <c r="I24" i="199"/>
  <c r="I30" i="199"/>
  <c r="C45" i="199"/>
  <c r="D45" i="199"/>
  <c r="J28" i="199"/>
  <c r="I23" i="199"/>
  <c r="E23" i="199"/>
  <c r="E24" i="199"/>
  <c r="E30" i="199"/>
  <c r="B49" i="199"/>
  <c r="D49" i="199"/>
  <c r="M27" i="199"/>
  <c r="M24" i="199"/>
  <c r="M30" i="199"/>
  <c r="K15" i="199"/>
  <c r="G24" i="200"/>
  <c r="L23" i="200"/>
  <c r="D15" i="229"/>
  <c r="K30" i="197"/>
  <c r="K24" i="197"/>
  <c r="K23" i="197"/>
  <c r="K27" i="197"/>
  <c r="G30" i="197"/>
  <c r="G24" i="197"/>
  <c r="C42" i="197"/>
  <c r="D42" i="197"/>
  <c r="G23" i="197"/>
  <c r="C30" i="197"/>
  <c r="C24" i="197"/>
  <c r="C23" i="197"/>
  <c r="L23" i="197"/>
  <c r="L30" i="197"/>
  <c r="D44" i="199"/>
  <c r="K29" i="199"/>
  <c r="B61" i="199"/>
  <c r="D61" i="199"/>
  <c r="I31" i="200"/>
  <c r="C73" i="200"/>
  <c r="D73" i="200"/>
  <c r="J23" i="200"/>
  <c r="H23" i="201"/>
  <c r="H27" i="201"/>
  <c r="B44" i="201"/>
  <c r="D23" i="201"/>
  <c r="D27" i="201"/>
  <c r="D30" i="201"/>
  <c r="L31" i="202"/>
  <c r="B61" i="202"/>
  <c r="D61" i="202"/>
  <c r="J20" i="202"/>
  <c r="J21" i="202"/>
  <c r="I23" i="202"/>
  <c r="I24" i="202"/>
  <c r="C44" i="202"/>
  <c r="D44" i="202"/>
  <c r="E23" i="202"/>
  <c r="E27" i="202"/>
  <c r="E30" i="202"/>
  <c r="C41" i="202"/>
  <c r="D41" i="202"/>
  <c r="K15" i="202"/>
  <c r="K27" i="202"/>
  <c r="G15" i="132"/>
  <c r="E15" i="226"/>
  <c r="D15" i="228"/>
  <c r="F27" i="196"/>
  <c r="C42" i="196"/>
  <c r="D42" i="196"/>
  <c r="F23" i="196"/>
  <c r="B27" i="196"/>
  <c r="C38" i="196"/>
  <c r="D38" i="196"/>
  <c r="B23" i="196"/>
  <c r="M29" i="197"/>
  <c r="B89" i="197"/>
  <c r="D89" i="197"/>
  <c r="M33" i="197"/>
  <c r="B60" i="200"/>
  <c r="D60" i="200"/>
  <c r="K31" i="200"/>
  <c r="B89" i="200"/>
  <c r="D89" i="200"/>
  <c r="L29" i="200"/>
  <c r="M27" i="202"/>
  <c r="F31" i="202"/>
  <c r="F27" i="202"/>
  <c r="L29" i="202"/>
  <c r="B89" i="202"/>
  <c r="D89" i="202"/>
  <c r="L31" i="203"/>
  <c r="K15" i="196"/>
  <c r="K27" i="196"/>
  <c r="K29" i="197"/>
  <c r="K33" i="197"/>
  <c r="L15" i="199"/>
  <c r="L27" i="200"/>
  <c r="D27" i="200"/>
  <c r="M29" i="201"/>
  <c r="C43" i="201"/>
  <c r="D43" i="201"/>
  <c r="G23" i="201"/>
  <c r="G24" i="201"/>
  <c r="G30" i="201"/>
  <c r="G30" i="202"/>
  <c r="C43" i="202"/>
  <c r="D43" i="202"/>
  <c r="G24" i="202"/>
  <c r="L33" i="202"/>
  <c r="K32" i="202"/>
  <c r="L15" i="202"/>
  <c r="B47" i="203"/>
  <c r="D47" i="203"/>
  <c r="M23" i="203"/>
  <c r="H23" i="203"/>
  <c r="H27" i="203"/>
  <c r="H30" i="203"/>
  <c r="H24" i="203"/>
  <c r="B43" i="203"/>
  <c r="B44" i="203"/>
  <c r="D44" i="203"/>
  <c r="M33" i="203"/>
  <c r="I24" i="196"/>
  <c r="I30" i="196"/>
  <c r="B87" i="197"/>
  <c r="D87" i="197"/>
  <c r="F30" i="197"/>
  <c r="K31" i="197"/>
  <c r="F23" i="197"/>
  <c r="B23" i="197"/>
  <c r="J21" i="197"/>
  <c r="J20" i="197"/>
  <c r="C72" i="197"/>
  <c r="D72" i="197"/>
  <c r="J28" i="197"/>
  <c r="K32" i="197"/>
  <c r="J23" i="199"/>
  <c r="C45" i="200"/>
  <c r="F30" i="200"/>
  <c r="K29" i="200"/>
  <c r="J21" i="200"/>
  <c r="D45" i="201"/>
  <c r="I27" i="202"/>
  <c r="M24" i="203"/>
  <c r="L15" i="203"/>
  <c r="L24" i="203"/>
  <c r="L29" i="201"/>
  <c r="J20" i="203"/>
  <c r="J21" i="203"/>
  <c r="I23" i="203"/>
  <c r="K15" i="203"/>
  <c r="K27" i="203"/>
  <c r="K38" i="307"/>
  <c r="H51" i="306"/>
  <c r="K32" i="109"/>
  <c r="F48" i="238"/>
  <c r="G57" i="241"/>
  <c r="G20" i="131"/>
  <c r="G42" i="131"/>
  <c r="W45" i="237"/>
  <c r="Y45" i="237"/>
  <c r="O39" i="174"/>
  <c r="R37" i="174"/>
  <c r="C35" i="140"/>
  <c r="G27" i="137"/>
  <c r="J26" i="216"/>
  <c r="J29" i="218"/>
  <c r="J29" i="221"/>
  <c r="N32" i="82"/>
  <c r="W13" i="292"/>
  <c r="M15" i="83"/>
  <c r="K33" i="124"/>
  <c r="K48" i="237"/>
  <c r="E44" i="173"/>
  <c r="I11" i="185"/>
  <c r="I13" i="139"/>
  <c r="B46" i="123"/>
  <c r="D46" i="123"/>
  <c r="K20" i="163"/>
  <c r="J24" i="113"/>
  <c r="J30" i="113"/>
  <c r="J23" i="113"/>
  <c r="B45" i="113"/>
  <c r="D55" i="192"/>
  <c r="G69" i="238"/>
  <c r="F50" i="95"/>
  <c r="B37" i="97"/>
  <c r="K48" i="238"/>
  <c r="O76" i="174"/>
  <c r="H43" i="134"/>
  <c r="J30" i="215"/>
  <c r="G28" i="245"/>
  <c r="G55" i="245"/>
  <c r="J23" i="216"/>
  <c r="L32" i="115"/>
  <c r="U28" i="292"/>
  <c r="L15" i="87"/>
  <c r="L23" i="87"/>
  <c r="J15" i="122"/>
  <c r="B45" i="122"/>
  <c r="M31" i="86"/>
  <c r="I29" i="289"/>
  <c r="I73" i="289"/>
  <c r="H41" i="290"/>
  <c r="I28" i="241"/>
  <c r="E40" i="145"/>
  <c r="B36" i="144"/>
  <c r="B41" i="144"/>
  <c r="H11" i="290"/>
  <c r="I20" i="290"/>
  <c r="Q19" i="173"/>
  <c r="F50" i="185"/>
  <c r="B37" i="186"/>
  <c r="I22" i="185"/>
  <c r="F43" i="136"/>
  <c r="J26" i="123"/>
  <c r="C81" i="123"/>
  <c r="D81" i="123"/>
  <c r="J32" i="123"/>
  <c r="K24" i="112"/>
  <c r="B46" i="112"/>
  <c r="K23" i="112"/>
  <c r="D44" i="218"/>
  <c r="B45" i="218"/>
  <c r="D45" i="218"/>
  <c r="C51" i="312"/>
  <c r="K27" i="307"/>
  <c r="G55" i="213"/>
  <c r="J23" i="215"/>
  <c r="V65" i="237"/>
  <c r="V75" i="237"/>
  <c r="V77" i="237"/>
  <c r="G72" i="171"/>
  <c r="G75" i="171"/>
  <c r="B38" i="172"/>
  <c r="O9" i="174"/>
  <c r="Q23" i="290"/>
  <c r="I18" i="289"/>
  <c r="Q26" i="295"/>
  <c r="J45" i="237"/>
  <c r="G47" i="237"/>
  <c r="J47" i="237"/>
  <c r="T65" i="293"/>
  <c r="N67" i="174"/>
  <c r="Q37" i="174"/>
  <c r="G65" i="174"/>
  <c r="D75" i="171"/>
  <c r="B35" i="172"/>
  <c r="I27" i="167"/>
  <c r="I29" i="167"/>
  <c r="G67" i="174"/>
  <c r="X23" i="238"/>
  <c r="J19" i="173"/>
  <c r="D57" i="62"/>
  <c r="M30" i="87"/>
  <c r="B48" i="87"/>
  <c r="L24" i="87"/>
  <c r="L30" i="87"/>
  <c r="B47" i="87"/>
  <c r="J30" i="122"/>
  <c r="F55" i="241"/>
  <c r="F57" i="241"/>
  <c r="L23" i="83"/>
  <c r="L30" i="83"/>
  <c r="B47" i="83"/>
  <c r="L24" i="83"/>
  <c r="I72" i="289"/>
  <c r="I75" i="289"/>
  <c r="B45" i="109"/>
  <c r="J23" i="109"/>
  <c r="J30" i="109"/>
  <c r="J27" i="109"/>
  <c r="E55" i="126"/>
  <c r="B26" i="191"/>
  <c r="U65" i="238"/>
  <c r="U75" i="238"/>
  <c r="W75" i="238"/>
  <c r="U77" i="238"/>
  <c r="L31" i="83"/>
  <c r="L27" i="83"/>
  <c r="I55" i="241"/>
  <c r="T75" i="292"/>
  <c r="T77" i="292"/>
  <c r="T65" i="292"/>
  <c r="F28" i="238"/>
  <c r="X68" i="238"/>
  <c r="P17" i="290"/>
  <c r="Y17" i="290"/>
  <c r="R17" i="290"/>
  <c r="I17" i="290"/>
  <c r="M27" i="87"/>
  <c r="E72" i="289"/>
  <c r="E75" i="289"/>
  <c r="N76" i="238"/>
  <c r="X76" i="238"/>
  <c r="I39" i="290"/>
  <c r="R39" i="290"/>
  <c r="F71" i="173"/>
  <c r="V70" i="173"/>
  <c r="E29" i="212"/>
  <c r="E33" i="212"/>
  <c r="E34" i="212"/>
  <c r="D41" i="232"/>
  <c r="F76" i="174"/>
  <c r="S28" i="293"/>
  <c r="K15" i="183"/>
  <c r="H62" i="174"/>
  <c r="Q74" i="174"/>
  <c r="H66" i="174"/>
  <c r="P74" i="174"/>
  <c r="T71" i="173"/>
  <c r="T73" i="173"/>
  <c r="T61" i="173"/>
  <c r="F27" i="147"/>
  <c r="X68" i="174"/>
  <c r="J29" i="122"/>
  <c r="H59" i="122"/>
  <c r="J33" i="122"/>
  <c r="M26" i="111"/>
  <c r="E54" i="241"/>
  <c r="E57" i="241"/>
  <c r="X74" i="237"/>
  <c r="V14" i="173"/>
  <c r="W10" i="173"/>
  <c r="G55" i="62"/>
  <c r="C59" i="219"/>
  <c r="D59" i="219"/>
  <c r="J30" i="219"/>
  <c r="H62" i="308"/>
  <c r="P74" i="308"/>
  <c r="H66" i="308"/>
  <c r="B48" i="216"/>
  <c r="D48" i="216"/>
  <c r="M23" i="216"/>
  <c r="M30" i="216"/>
  <c r="H70" i="308"/>
  <c r="S18" i="296"/>
  <c r="W39" i="293"/>
  <c r="W20" i="238"/>
  <c r="M28" i="238"/>
  <c r="I54" i="241"/>
  <c r="M24" i="83"/>
  <c r="B48" i="83"/>
  <c r="H29" i="131"/>
  <c r="G53" i="131"/>
  <c r="W47" i="237"/>
  <c r="G72" i="289"/>
  <c r="G75" i="289"/>
  <c r="W74" i="293"/>
  <c r="B46" i="115"/>
  <c r="K24" i="115"/>
  <c r="X74" i="238"/>
  <c r="Q74" i="238"/>
  <c r="W13" i="290"/>
  <c r="J29" i="110"/>
  <c r="H58" i="110"/>
  <c r="H60" i="121"/>
  <c r="K29" i="121"/>
  <c r="K32" i="121"/>
  <c r="G72" i="167"/>
  <c r="G75" i="167"/>
  <c r="B38" i="168"/>
  <c r="K65" i="238"/>
  <c r="K75" i="238"/>
  <c r="K77" i="238"/>
  <c r="U28" i="238"/>
  <c r="W13" i="238"/>
  <c r="L31" i="116"/>
  <c r="L27" i="116"/>
  <c r="W67" i="238"/>
  <c r="M69" i="238"/>
  <c r="K65" i="290"/>
  <c r="K75" i="290"/>
  <c r="K77" i="290"/>
  <c r="L23" i="115"/>
  <c r="L30" i="115"/>
  <c r="B47" i="115"/>
  <c r="L24" i="115"/>
  <c r="X9" i="238"/>
  <c r="N28" i="238"/>
  <c r="N29" i="82"/>
  <c r="B65" i="82"/>
  <c r="I65" i="82"/>
  <c r="E65" i="290"/>
  <c r="P27" i="290"/>
  <c r="Q27" i="290"/>
  <c r="Y27" i="290"/>
  <c r="R27" i="290"/>
  <c r="Z27" i="290"/>
  <c r="C48" i="290"/>
  <c r="W63" i="237"/>
  <c r="I63" i="82"/>
  <c r="L29" i="82"/>
  <c r="B63" i="82"/>
  <c r="J29" i="116"/>
  <c r="H59" i="116"/>
  <c r="J33" i="116"/>
  <c r="W43" i="292"/>
  <c r="F65" i="238"/>
  <c r="F75" i="238"/>
  <c r="F77" i="238"/>
  <c r="P74" i="238"/>
  <c r="W74" i="238"/>
  <c r="T65" i="290"/>
  <c r="T75" i="290"/>
  <c r="T77" i="290"/>
  <c r="G52" i="132"/>
  <c r="G29" i="132"/>
  <c r="I48" i="187"/>
  <c r="K48" i="187"/>
  <c r="D37" i="28"/>
  <c r="D35" i="28"/>
  <c r="D39" i="28"/>
  <c r="L31" i="82"/>
  <c r="L27" i="82"/>
  <c r="N48" i="174"/>
  <c r="W60" i="173"/>
  <c r="N72" i="173"/>
  <c r="W72" i="173"/>
  <c r="G54" i="62"/>
  <c r="G57" i="62"/>
  <c r="E33" i="211"/>
  <c r="E34" i="211"/>
  <c r="H25" i="290"/>
  <c r="H21" i="290"/>
  <c r="P75" i="290"/>
  <c r="H32" i="290"/>
  <c r="H45" i="290"/>
  <c r="L21" i="111"/>
  <c r="L24" i="111"/>
  <c r="K33" i="111"/>
  <c r="K29" i="111"/>
  <c r="L21" i="123"/>
  <c r="B82" i="123"/>
  <c r="D82" i="123"/>
  <c r="K29" i="123"/>
  <c r="K27" i="121"/>
  <c r="K31" i="121"/>
  <c r="F69" i="237"/>
  <c r="C50" i="185"/>
  <c r="B34" i="186"/>
  <c r="I47" i="185"/>
  <c r="D38" i="28"/>
  <c r="X74" i="174"/>
  <c r="M69" i="174"/>
  <c r="W69" i="174"/>
  <c r="W67" i="174"/>
  <c r="V59" i="173"/>
  <c r="K22" i="147"/>
  <c r="C58" i="147"/>
  <c r="C62" i="147"/>
  <c r="Z7" i="290"/>
  <c r="H71" i="290"/>
  <c r="D36" i="28"/>
  <c r="D29" i="253"/>
  <c r="D33" i="253"/>
  <c r="W47" i="174"/>
  <c r="M48" i="174"/>
  <c r="E19" i="140"/>
  <c r="I19" i="140"/>
  <c r="Q19" i="140"/>
  <c r="P19" i="140"/>
  <c r="G27" i="131"/>
  <c r="G31" i="131"/>
  <c r="K22" i="185"/>
  <c r="M75" i="238"/>
  <c r="D36" i="231"/>
  <c r="F28" i="190"/>
  <c r="D37" i="190"/>
  <c r="I22" i="187"/>
  <c r="K22" i="187"/>
  <c r="K20" i="187"/>
  <c r="I49" i="185"/>
  <c r="K49" i="185"/>
  <c r="H50" i="185"/>
  <c r="B39" i="186"/>
  <c r="C42" i="212"/>
  <c r="D33" i="212"/>
  <c r="D34" i="212"/>
  <c r="C58" i="197"/>
  <c r="D58" i="197"/>
  <c r="J30" i="197"/>
  <c r="L24" i="199"/>
  <c r="L30" i="199"/>
  <c r="L23" i="199"/>
  <c r="B48" i="199"/>
  <c r="D48" i="199"/>
  <c r="L27" i="199"/>
  <c r="B31" i="125"/>
  <c r="B27" i="125"/>
  <c r="D44" i="200"/>
  <c r="B45" i="200"/>
  <c r="M20" i="163"/>
  <c r="D30" i="253"/>
  <c r="D24" i="253"/>
  <c r="B46" i="122"/>
  <c r="K24" i="122"/>
  <c r="K23" i="122"/>
  <c r="K30" i="122"/>
  <c r="L30" i="116"/>
  <c r="L23" i="116"/>
  <c r="B47" i="116"/>
  <c r="L24" i="116"/>
  <c r="K24" i="221"/>
  <c r="K23" i="221"/>
  <c r="B45" i="221"/>
  <c r="D45" i="221"/>
  <c r="K27" i="221"/>
  <c r="K30" i="221"/>
  <c r="J30" i="216"/>
  <c r="C74" i="217"/>
  <c r="D74" i="217"/>
  <c r="J23" i="217"/>
  <c r="N27" i="87"/>
  <c r="N23" i="87"/>
  <c r="B49" i="87"/>
  <c r="I73" i="291"/>
  <c r="H59" i="124"/>
  <c r="L29" i="124"/>
  <c r="E32" i="253"/>
  <c r="E29" i="253"/>
  <c r="E33" i="253"/>
  <c r="H65" i="86"/>
  <c r="L30" i="203"/>
  <c r="D45" i="200"/>
  <c r="J23" i="197"/>
  <c r="C60" i="199"/>
  <c r="D60" i="199"/>
  <c r="J30" i="199"/>
  <c r="J31" i="199"/>
  <c r="J27" i="199"/>
  <c r="J24" i="116"/>
  <c r="J23" i="116"/>
  <c r="J30" i="116"/>
  <c r="B45" i="116"/>
  <c r="K23" i="109"/>
  <c r="K30" i="109"/>
  <c r="K24" i="109"/>
  <c r="B46" i="109"/>
  <c r="M23" i="201"/>
  <c r="B48" i="201"/>
  <c r="D48" i="201"/>
  <c r="M24" i="201"/>
  <c r="M30" i="201"/>
  <c r="C73" i="201"/>
  <c r="D73" i="201"/>
  <c r="J23" i="201"/>
  <c r="F72" i="243"/>
  <c r="F75" i="243"/>
  <c r="B37" i="244"/>
  <c r="L30" i="221"/>
  <c r="L23" i="221"/>
  <c r="J30" i="221"/>
  <c r="J29" i="219"/>
  <c r="J27" i="218"/>
  <c r="J31" i="218"/>
  <c r="F75" i="171"/>
  <c r="B37" i="172"/>
  <c r="F73" i="171"/>
  <c r="L26" i="313"/>
  <c r="L32" i="124"/>
  <c r="K30" i="202"/>
  <c r="B46" i="202"/>
  <c r="D46" i="202"/>
  <c r="K23" i="202"/>
  <c r="K24" i="202"/>
  <c r="J26" i="202"/>
  <c r="C87" i="202"/>
  <c r="D87" i="202"/>
  <c r="J33" i="202"/>
  <c r="J24" i="202"/>
  <c r="J32" i="202"/>
  <c r="F24" i="131"/>
  <c r="F30" i="131"/>
  <c r="F23" i="131"/>
  <c r="B41" i="131"/>
  <c r="M24" i="200"/>
  <c r="B48" i="200"/>
  <c r="D48" i="200"/>
  <c r="M30" i="200"/>
  <c r="M23" i="200"/>
  <c r="L23" i="196"/>
  <c r="B47" i="196"/>
  <c r="D47" i="196"/>
  <c r="L30" i="196"/>
  <c r="L24" i="196"/>
  <c r="F24" i="132"/>
  <c r="B41" i="132"/>
  <c r="F30" i="132"/>
  <c r="M9" i="120"/>
  <c r="M15" i="120"/>
  <c r="L15" i="120"/>
  <c r="K23" i="125"/>
  <c r="K30" i="125"/>
  <c r="B46" i="125"/>
  <c r="K24" i="125"/>
  <c r="K23" i="113"/>
  <c r="B46" i="113"/>
  <c r="K24" i="113"/>
  <c r="K30" i="113"/>
  <c r="B45" i="124"/>
  <c r="K24" i="124"/>
  <c r="K30" i="124"/>
  <c r="K23" i="124"/>
  <c r="K24" i="201"/>
  <c r="K30" i="201"/>
  <c r="B46" i="201"/>
  <c r="D46" i="201"/>
  <c r="K27" i="201"/>
  <c r="K23" i="201"/>
  <c r="B42" i="131"/>
  <c r="G23" i="131"/>
  <c r="G24" i="131"/>
  <c r="G30" i="131"/>
  <c r="J31" i="111"/>
  <c r="J27" i="111"/>
  <c r="L12" i="163"/>
  <c r="J32" i="220"/>
  <c r="J33" i="220"/>
  <c r="J26" i="220"/>
  <c r="C87" i="220"/>
  <c r="D87" i="220"/>
  <c r="N24" i="86"/>
  <c r="N23" i="86"/>
  <c r="B49" i="86"/>
  <c r="N30" i="86"/>
  <c r="F55" i="245"/>
  <c r="F57" i="245"/>
  <c r="I18" i="243"/>
  <c r="K24" i="219"/>
  <c r="K30" i="219"/>
  <c r="K23" i="219"/>
  <c r="B46" i="219"/>
  <c r="D46" i="219"/>
  <c r="J30" i="218"/>
  <c r="J31" i="216"/>
  <c r="J27" i="216"/>
  <c r="J31" i="219"/>
  <c r="J27" i="219"/>
  <c r="C87" i="216"/>
  <c r="D87" i="216"/>
  <c r="J32" i="216"/>
  <c r="J33" i="216"/>
  <c r="J29" i="216"/>
  <c r="C45" i="214"/>
  <c r="D45" i="214"/>
  <c r="J30" i="214"/>
  <c r="J24" i="214"/>
  <c r="J32" i="110"/>
  <c r="L30" i="220"/>
  <c r="L23" i="220"/>
  <c r="L27" i="220"/>
  <c r="J24" i="220"/>
  <c r="J30" i="217"/>
  <c r="C60" i="217"/>
  <c r="D60" i="217"/>
  <c r="K24" i="216"/>
  <c r="B46" i="216"/>
  <c r="D46" i="216"/>
  <c r="K30" i="216"/>
  <c r="K23" i="216"/>
  <c r="K27" i="216"/>
  <c r="J31" i="215"/>
  <c r="J27" i="215"/>
  <c r="K23" i="214"/>
  <c r="K30" i="214"/>
  <c r="B46" i="214"/>
  <c r="D46" i="214"/>
  <c r="K24" i="214"/>
  <c r="J21" i="214"/>
  <c r="G41" i="127"/>
  <c r="H23" i="131"/>
  <c r="B43" i="131"/>
  <c r="H24" i="131"/>
  <c r="H30" i="131"/>
  <c r="K27" i="109"/>
  <c r="E54" i="245"/>
  <c r="E57" i="245"/>
  <c r="N33" i="82"/>
  <c r="D72" i="291"/>
  <c r="D75" i="291"/>
  <c r="I74" i="291"/>
  <c r="I51" i="291"/>
  <c r="S75" i="293"/>
  <c r="S77" i="293"/>
  <c r="S65" i="293"/>
  <c r="S40" i="296"/>
  <c r="L32" i="82"/>
  <c r="N29" i="87"/>
  <c r="H27" i="131"/>
  <c r="P20" i="290"/>
  <c r="Y20" i="290"/>
  <c r="Q20" i="290"/>
  <c r="H20" i="290"/>
  <c r="C76" i="290"/>
  <c r="H64" i="290"/>
  <c r="P64" i="290"/>
  <c r="E72" i="171"/>
  <c r="H32" i="131"/>
  <c r="X9" i="292"/>
  <c r="J39" i="238"/>
  <c r="E48" i="238"/>
  <c r="I52" i="241"/>
  <c r="I57" i="241"/>
  <c r="I61" i="241"/>
  <c r="J17" i="241"/>
  <c r="I56" i="241"/>
  <c r="X47" i="292"/>
  <c r="W67" i="290"/>
  <c r="Y67" i="290"/>
  <c r="D39" i="232"/>
  <c r="J29" i="124"/>
  <c r="J33" i="124"/>
  <c r="H57" i="124"/>
  <c r="J33" i="125"/>
  <c r="G51" i="131"/>
  <c r="F29" i="131"/>
  <c r="F32" i="131"/>
  <c r="F33" i="131"/>
  <c r="F29" i="132"/>
  <c r="F32" i="132"/>
  <c r="G51" i="132"/>
  <c r="E48" i="292"/>
  <c r="Z7" i="238"/>
  <c r="L29" i="122"/>
  <c r="H61" i="122"/>
  <c r="D9" i="290"/>
  <c r="D63" i="290"/>
  <c r="D65" i="290"/>
  <c r="H15" i="290"/>
  <c r="H64" i="83"/>
  <c r="G52" i="131"/>
  <c r="G29" i="131"/>
  <c r="C57" i="241"/>
  <c r="C54" i="241"/>
  <c r="H66" i="292"/>
  <c r="P74" i="292"/>
  <c r="H70" i="292"/>
  <c r="Q74" i="292"/>
  <c r="H37" i="290"/>
  <c r="K27" i="124"/>
  <c r="K31" i="124"/>
  <c r="W23" i="292"/>
  <c r="I29" i="239"/>
  <c r="R74" i="238"/>
  <c r="K47" i="187"/>
  <c r="D41" i="230"/>
  <c r="F75" i="174"/>
  <c r="F77" i="174"/>
  <c r="D52" i="230"/>
  <c r="J27" i="116"/>
  <c r="J31" i="116"/>
  <c r="W39" i="174"/>
  <c r="F69" i="174"/>
  <c r="E72" i="173"/>
  <c r="K32" i="120"/>
  <c r="B82" i="120"/>
  <c r="D82" i="120"/>
  <c r="K29" i="120"/>
  <c r="K33" i="120"/>
  <c r="E57" i="126"/>
  <c r="B21" i="191"/>
  <c r="C57" i="126"/>
  <c r="B21" i="189"/>
  <c r="C30" i="181"/>
  <c r="P65" i="290"/>
  <c r="K31" i="125"/>
  <c r="K27" i="125"/>
  <c r="K28" i="174"/>
  <c r="L27" i="87"/>
  <c r="L31" i="87"/>
  <c r="I34" i="145"/>
  <c r="J43" i="237"/>
  <c r="G48" i="237"/>
  <c r="I20" i="183"/>
  <c r="K20" i="183"/>
  <c r="C40" i="139"/>
  <c r="B34" i="141"/>
  <c r="L29" i="87"/>
  <c r="H63" i="87"/>
  <c r="H57" i="109"/>
  <c r="I29" i="109"/>
  <c r="V60" i="173"/>
  <c r="M72" i="173"/>
  <c r="E10" i="140"/>
  <c r="E30" i="212"/>
  <c r="F24" i="147"/>
  <c r="C26" i="147"/>
  <c r="N57" i="147"/>
  <c r="K58" i="147"/>
  <c r="K62" i="147"/>
  <c r="H51" i="173"/>
  <c r="H47" i="173"/>
  <c r="H58" i="173"/>
  <c r="H66" i="173"/>
  <c r="F40" i="137"/>
  <c r="C42" i="137"/>
  <c r="C46" i="137"/>
  <c r="O65" i="238"/>
  <c r="O75" i="238"/>
  <c r="O77" i="238"/>
  <c r="M75" i="174"/>
  <c r="W63" i="174"/>
  <c r="W43" i="174"/>
  <c r="F65" i="174"/>
  <c r="W63" i="173"/>
  <c r="N65" i="173"/>
  <c r="W65" i="173"/>
  <c r="J35" i="173"/>
  <c r="J11" i="140"/>
  <c r="P74" i="290"/>
  <c r="Q74" i="290"/>
  <c r="H62" i="290"/>
  <c r="C77" i="290"/>
  <c r="H73" i="290"/>
  <c r="H74" i="290"/>
  <c r="H66" i="290"/>
  <c r="D34" i="28"/>
  <c r="D41" i="28"/>
  <c r="L29" i="83"/>
  <c r="H63" i="83"/>
  <c r="E65" i="238"/>
  <c r="C27" i="137"/>
  <c r="H50" i="183"/>
  <c r="B39" i="184"/>
  <c r="H70" i="174"/>
  <c r="C29" i="137"/>
  <c r="C45" i="137"/>
  <c r="K60" i="147"/>
  <c r="G24" i="132"/>
  <c r="G30" i="132"/>
  <c r="G23" i="132"/>
  <c r="B42" i="132"/>
  <c r="K23" i="199"/>
  <c r="K30" i="199"/>
  <c r="K24" i="199"/>
  <c r="D43" i="203"/>
  <c r="J24" i="115"/>
  <c r="J30" i="115"/>
  <c r="J23" i="115"/>
  <c r="B45" i="115"/>
  <c r="C56" i="111"/>
  <c r="D56" i="111"/>
  <c r="J30" i="111"/>
  <c r="J24" i="201"/>
  <c r="J32" i="201"/>
  <c r="J26" i="201"/>
  <c r="C87" i="201"/>
  <c r="D87" i="201"/>
  <c r="J33" i="201"/>
  <c r="M23" i="82"/>
  <c r="M30" i="82"/>
  <c r="B48" i="82"/>
  <c r="N26" i="299"/>
  <c r="L23" i="216"/>
  <c r="L24" i="216"/>
  <c r="L30" i="216"/>
  <c r="B47" i="216"/>
  <c r="D47" i="216"/>
  <c r="F32" i="253"/>
  <c r="F33" i="253"/>
  <c r="F29" i="253"/>
  <c r="B45" i="121"/>
  <c r="J24" i="121"/>
  <c r="J23" i="121"/>
  <c r="J30" i="121"/>
  <c r="F72" i="289"/>
  <c r="F75" i="289"/>
  <c r="I24" i="109"/>
  <c r="I30" i="109"/>
  <c r="B44" i="109"/>
  <c r="I23" i="109"/>
  <c r="L29" i="125"/>
  <c r="H61" i="125"/>
  <c r="I23" i="110"/>
  <c r="I30" i="110"/>
  <c r="B44" i="110"/>
  <c r="S9" i="296"/>
  <c r="J24" i="203"/>
  <c r="C86" i="203"/>
  <c r="D86" i="203"/>
  <c r="J33" i="203"/>
  <c r="J32" i="203"/>
  <c r="M12" i="123"/>
  <c r="L24" i="124"/>
  <c r="L23" i="124"/>
  <c r="L30" i="124"/>
  <c r="B46" i="124"/>
  <c r="K30" i="120"/>
  <c r="B46" i="120"/>
  <c r="D46" i="120"/>
  <c r="K19" i="163"/>
  <c r="K21" i="163"/>
  <c r="K23" i="163"/>
  <c r="K27" i="163"/>
  <c r="L24" i="121"/>
  <c r="L23" i="121"/>
  <c r="L30" i="121"/>
  <c r="B47" i="121"/>
  <c r="K24" i="110"/>
  <c r="K23" i="110"/>
  <c r="B46" i="110"/>
  <c r="K30" i="110"/>
  <c r="M12" i="163"/>
  <c r="L27" i="216"/>
  <c r="L30" i="122"/>
  <c r="L24" i="122"/>
  <c r="B47" i="122"/>
  <c r="K27" i="318"/>
  <c r="I54" i="245"/>
  <c r="I57" i="245"/>
  <c r="I61" i="245"/>
  <c r="J17" i="245"/>
  <c r="F24" i="253"/>
  <c r="K23" i="220"/>
  <c r="K27" i="220"/>
  <c r="K24" i="220"/>
  <c r="B46" i="220"/>
  <c r="D46" i="220"/>
  <c r="K30" i="220"/>
  <c r="K24" i="217"/>
  <c r="K30" i="217"/>
  <c r="B47" i="217"/>
  <c r="D47" i="217"/>
  <c r="K23" i="217"/>
  <c r="J29" i="215"/>
  <c r="N15" i="83"/>
  <c r="N27" i="83"/>
  <c r="J23" i="203"/>
  <c r="J28" i="203"/>
  <c r="C72" i="203"/>
  <c r="D72" i="203"/>
  <c r="J26" i="200"/>
  <c r="J29" i="200"/>
  <c r="J33" i="200"/>
  <c r="J32" i="200"/>
  <c r="C87" i="200"/>
  <c r="D87" i="200"/>
  <c r="J24" i="200"/>
  <c r="J26" i="197"/>
  <c r="C86" i="197"/>
  <c r="D86" i="197"/>
  <c r="J32" i="197"/>
  <c r="J24" i="197"/>
  <c r="J33" i="197"/>
  <c r="J29" i="197"/>
  <c r="K30" i="203"/>
  <c r="B45" i="203"/>
  <c r="D45" i="203"/>
  <c r="K24" i="203"/>
  <c r="K23" i="203"/>
  <c r="J26" i="203"/>
  <c r="L24" i="202"/>
  <c r="L30" i="202"/>
  <c r="L23" i="202"/>
  <c r="L27" i="202"/>
  <c r="B47" i="202"/>
  <c r="D47" i="202"/>
  <c r="K23" i="196"/>
  <c r="K24" i="196"/>
  <c r="K30" i="196"/>
  <c r="B46" i="196"/>
  <c r="D46" i="196"/>
  <c r="C73" i="202"/>
  <c r="D73" i="202"/>
  <c r="J23" i="202"/>
  <c r="J28" i="202"/>
  <c r="J29" i="202"/>
  <c r="J28" i="201"/>
  <c r="L23" i="125"/>
  <c r="L24" i="125"/>
  <c r="L30" i="125"/>
  <c r="B47" i="125"/>
  <c r="D31" i="125"/>
  <c r="D27" i="125"/>
  <c r="C45" i="196"/>
  <c r="D45" i="196"/>
  <c r="J20" i="196"/>
  <c r="C73" i="196"/>
  <c r="D73" i="196"/>
  <c r="J21" i="196"/>
  <c r="J28" i="196"/>
  <c r="J23" i="196"/>
  <c r="J30" i="196"/>
  <c r="L23" i="123"/>
  <c r="L20" i="163"/>
  <c r="B46" i="116"/>
  <c r="K23" i="116"/>
  <c r="K30" i="116"/>
  <c r="J30" i="125"/>
  <c r="J24" i="125"/>
  <c r="B45" i="125"/>
  <c r="J23" i="125"/>
  <c r="J23" i="111"/>
  <c r="J31" i="120"/>
  <c r="J27" i="120"/>
  <c r="D44" i="201"/>
  <c r="J29" i="111"/>
  <c r="B48" i="86"/>
  <c r="M23" i="86"/>
  <c r="J23" i="124"/>
  <c r="J30" i="124"/>
  <c r="B44" i="124"/>
  <c r="J24" i="124"/>
  <c r="K27" i="113"/>
  <c r="I22" i="298"/>
  <c r="I22" i="300"/>
  <c r="L24" i="86"/>
  <c r="L30" i="86"/>
  <c r="B47" i="86"/>
  <c r="L23" i="86"/>
  <c r="R26" i="295"/>
  <c r="J31" i="221"/>
  <c r="J27" i="221"/>
  <c r="G57" i="245"/>
  <c r="G54" i="245"/>
  <c r="H30" i="132"/>
  <c r="B43" i="132"/>
  <c r="H23" i="132"/>
  <c r="L24" i="219"/>
  <c r="L30" i="219"/>
  <c r="B47" i="219"/>
  <c r="D47" i="219"/>
  <c r="L23" i="219"/>
  <c r="K30" i="218"/>
  <c r="K23" i="218"/>
  <c r="N32" i="86"/>
  <c r="D54" i="245"/>
  <c r="D57" i="245"/>
  <c r="J15" i="110"/>
  <c r="I33" i="110"/>
  <c r="L24" i="218"/>
  <c r="B47" i="218"/>
  <c r="D47" i="218"/>
  <c r="L27" i="218"/>
  <c r="L30" i="218"/>
  <c r="L23" i="218"/>
  <c r="G24" i="218"/>
  <c r="G27" i="218"/>
  <c r="G30" i="218"/>
  <c r="G23" i="218"/>
  <c r="C43" i="218"/>
  <c r="D43" i="218"/>
  <c r="L23" i="215"/>
  <c r="L24" i="215"/>
  <c r="B46" i="215"/>
  <c r="D46" i="215"/>
  <c r="L27" i="215"/>
  <c r="L30" i="215"/>
  <c r="H26" i="178"/>
  <c r="H45" i="178"/>
  <c r="J23" i="220"/>
  <c r="J28" i="220"/>
  <c r="J24" i="217"/>
  <c r="J32" i="217"/>
  <c r="C88" i="217"/>
  <c r="D88" i="217"/>
  <c r="J26" i="217"/>
  <c r="J29" i="217"/>
  <c r="J33" i="217"/>
  <c r="J20" i="214"/>
  <c r="C73" i="214"/>
  <c r="D73" i="214"/>
  <c r="K27" i="214"/>
  <c r="E73" i="291"/>
  <c r="E75" i="291"/>
  <c r="G75" i="243"/>
  <c r="B38" i="244"/>
  <c r="G72" i="243"/>
  <c r="K33" i="121"/>
  <c r="N29" i="83"/>
  <c r="H65" i="83"/>
  <c r="C57" i="245"/>
  <c r="C54" i="245"/>
  <c r="I72" i="291"/>
  <c r="I75" i="291"/>
  <c r="I77" i="291"/>
  <c r="K27" i="311"/>
  <c r="X74" i="308"/>
  <c r="I55" i="245"/>
  <c r="N32" i="83"/>
  <c r="U75" i="292"/>
  <c r="U77" i="292"/>
  <c r="U65" i="292"/>
  <c r="W65" i="292"/>
  <c r="H59" i="110"/>
  <c r="K29" i="110"/>
  <c r="L29" i="121"/>
  <c r="H61" i="121"/>
  <c r="L33" i="124"/>
  <c r="S9" i="300"/>
  <c r="X74" i="292"/>
  <c r="I18" i="167"/>
  <c r="K29" i="109"/>
  <c r="H59" i="109"/>
  <c r="L27" i="121"/>
  <c r="H18" i="290"/>
  <c r="H19" i="290"/>
  <c r="H64" i="86"/>
  <c r="K29" i="115"/>
  <c r="K29" i="122"/>
  <c r="H60" i="122"/>
  <c r="I18" i="171"/>
  <c r="X39" i="238"/>
  <c r="N48" i="238"/>
  <c r="X34" i="290"/>
  <c r="Z34" i="290"/>
  <c r="X67" i="290"/>
  <c r="Z67" i="290"/>
  <c r="M27" i="86"/>
  <c r="K27" i="115"/>
  <c r="K27" i="122"/>
  <c r="C63" i="169"/>
  <c r="B34" i="170"/>
  <c r="X67" i="238"/>
  <c r="N69" i="238"/>
  <c r="X69" i="238"/>
  <c r="H61" i="115"/>
  <c r="L29" i="115"/>
  <c r="W39" i="238"/>
  <c r="G65" i="238"/>
  <c r="G75" i="238"/>
  <c r="G77" i="238"/>
  <c r="H7" i="290"/>
  <c r="P34" i="290"/>
  <c r="W34" i="290"/>
  <c r="Y34" i="290"/>
  <c r="O76" i="237"/>
  <c r="K29" i="124"/>
  <c r="H58" i="124"/>
  <c r="G31" i="132"/>
  <c r="G27" i="132"/>
  <c r="L29" i="86"/>
  <c r="H63" i="86"/>
  <c r="K23" i="121"/>
  <c r="K30" i="121"/>
  <c r="K24" i="121"/>
  <c r="B46" i="121"/>
  <c r="N75" i="238"/>
  <c r="P13" i="290"/>
  <c r="H13" i="290"/>
  <c r="Y13" i="290"/>
  <c r="C28" i="290"/>
  <c r="I27" i="290"/>
  <c r="W74" i="290"/>
  <c r="R74" i="290"/>
  <c r="G75" i="237"/>
  <c r="H60" i="125"/>
  <c r="K29" i="125"/>
  <c r="X47" i="237"/>
  <c r="W74" i="237"/>
  <c r="L27" i="86"/>
  <c r="P74" i="293"/>
  <c r="Q74" i="293"/>
  <c r="H62" i="293"/>
  <c r="H66" i="293"/>
  <c r="I39" i="145"/>
  <c r="I40" i="145"/>
  <c r="D9" i="238"/>
  <c r="N31" i="83"/>
  <c r="M65" i="238"/>
  <c r="W65" i="238"/>
  <c r="I9" i="290"/>
  <c r="Q67" i="290"/>
  <c r="H67" i="290"/>
  <c r="C69" i="290"/>
  <c r="P67" i="290"/>
  <c r="J9" i="237"/>
  <c r="G29" i="239"/>
  <c r="S65" i="237"/>
  <c r="S76" i="237"/>
  <c r="S77" i="237"/>
  <c r="M76" i="174"/>
  <c r="W64" i="174"/>
  <c r="H59" i="115"/>
  <c r="J29" i="115"/>
  <c r="J33" i="115"/>
  <c r="M65" i="174"/>
  <c r="W65" i="174"/>
  <c r="L41" i="163"/>
  <c r="M26" i="120"/>
  <c r="L27" i="120"/>
  <c r="M28" i="123"/>
  <c r="M49" i="163"/>
  <c r="R68" i="290"/>
  <c r="H68" i="290"/>
  <c r="M27" i="82"/>
  <c r="M31" i="82"/>
  <c r="P74" i="237"/>
  <c r="K47" i="183"/>
  <c r="I50" i="183"/>
  <c r="C15" i="140"/>
  <c r="G18" i="137"/>
  <c r="X64" i="174"/>
  <c r="N76" i="174"/>
  <c r="J29" i="121"/>
  <c r="J33" i="121"/>
  <c r="H59" i="121"/>
  <c r="N65" i="174"/>
  <c r="O75" i="174"/>
  <c r="O77" i="174"/>
  <c r="O65" i="174"/>
  <c r="D51" i="176"/>
  <c r="D53" i="176"/>
  <c r="O60" i="140"/>
  <c r="P56" i="102"/>
  <c r="G26" i="147"/>
  <c r="B26" i="190"/>
  <c r="D40" i="190"/>
  <c r="F40" i="190"/>
  <c r="D54" i="126"/>
  <c r="D57" i="126"/>
  <c r="B21" i="190"/>
  <c r="C50" i="187"/>
  <c r="B34" i="188"/>
  <c r="I43" i="187"/>
  <c r="H44" i="187"/>
  <c r="H49" i="187"/>
  <c r="I27" i="109"/>
  <c r="J27" i="115"/>
  <c r="J31" i="115"/>
  <c r="D39" i="191"/>
  <c r="O69" i="140"/>
  <c r="O69" i="238"/>
  <c r="H70" i="290"/>
  <c r="F48" i="237"/>
  <c r="C50" i="183"/>
  <c r="B34" i="184"/>
  <c r="N75" i="174"/>
  <c r="N77" i="174"/>
  <c r="X63" i="174"/>
  <c r="L31" i="123"/>
  <c r="M26" i="123"/>
  <c r="L27" i="123"/>
  <c r="W63" i="238"/>
  <c r="E77" i="238"/>
  <c r="W43" i="173"/>
  <c r="C35" i="137"/>
  <c r="C44" i="137"/>
  <c r="C47" i="137"/>
  <c r="E34" i="140"/>
  <c r="J34" i="140"/>
  <c r="J31" i="140"/>
  <c r="K28" i="147"/>
  <c r="K61" i="147"/>
  <c r="E29" i="140"/>
  <c r="J26" i="140"/>
  <c r="E42" i="140"/>
  <c r="J39" i="140"/>
  <c r="H17" i="290"/>
  <c r="X67" i="174"/>
  <c r="D54" i="230"/>
  <c r="D56" i="230"/>
  <c r="E35" i="140"/>
  <c r="J35" i="140"/>
  <c r="I35" i="140"/>
  <c r="P35" i="140"/>
  <c r="C61" i="140"/>
  <c r="Q35" i="140"/>
  <c r="M77" i="238"/>
  <c r="W77" i="238"/>
  <c r="J23" i="122"/>
  <c r="G75" i="174"/>
  <c r="H27" i="290"/>
  <c r="N69" i="174"/>
  <c r="X69" i="174"/>
  <c r="J27" i="122"/>
  <c r="J24" i="122"/>
  <c r="J31" i="123"/>
  <c r="J27" i="123"/>
  <c r="I22" i="183"/>
  <c r="K22" i="183"/>
  <c r="G29" i="137"/>
  <c r="G45" i="137"/>
  <c r="J28" i="241"/>
  <c r="J25" i="241"/>
  <c r="F45" i="176"/>
  <c r="C58" i="203"/>
  <c r="D58" i="203"/>
  <c r="J30" i="203"/>
  <c r="J29" i="203"/>
  <c r="F29" i="230"/>
  <c r="D44" i="230"/>
  <c r="F44" i="230"/>
  <c r="D40" i="191"/>
  <c r="F40" i="191"/>
  <c r="F28" i="191"/>
  <c r="D37" i="191"/>
  <c r="F13" i="290"/>
  <c r="I11" i="290"/>
  <c r="F63" i="290"/>
  <c r="H28" i="290"/>
  <c r="W75" i="174"/>
  <c r="M77" i="174"/>
  <c r="C14" i="191"/>
  <c r="C18" i="191"/>
  <c r="C15" i="191"/>
  <c r="C19" i="191"/>
  <c r="C16" i="191"/>
  <c r="C13" i="191"/>
  <c r="C17" i="191"/>
  <c r="M21" i="123"/>
  <c r="M32" i="123"/>
  <c r="L33" i="123"/>
  <c r="M27" i="111"/>
  <c r="M27" i="123"/>
  <c r="C18" i="140"/>
  <c r="P18" i="140"/>
  <c r="Q15" i="140"/>
  <c r="E15" i="140"/>
  <c r="E57" i="140"/>
  <c r="I15" i="140"/>
  <c r="P15" i="140"/>
  <c r="C57" i="140"/>
  <c r="J30" i="201"/>
  <c r="C59" i="201"/>
  <c r="D59" i="201"/>
  <c r="J31" i="203"/>
  <c r="J27" i="203"/>
  <c r="J31" i="200"/>
  <c r="J27" i="200"/>
  <c r="J27" i="201"/>
  <c r="J31" i="201"/>
  <c r="D43" i="232"/>
  <c r="J26" i="214"/>
  <c r="J33" i="214"/>
  <c r="J29" i="214"/>
  <c r="C87" i="214"/>
  <c r="D87" i="214"/>
  <c r="J32" i="214"/>
  <c r="J27" i="220"/>
  <c r="J31" i="220"/>
  <c r="L19" i="163"/>
  <c r="L21" i="163"/>
  <c r="L23" i="163"/>
  <c r="L27" i="163"/>
  <c r="J31" i="202"/>
  <c r="J27" i="202"/>
  <c r="C28" i="147"/>
  <c r="C61" i="147"/>
  <c r="C63" i="147"/>
  <c r="C44" i="63"/>
  <c r="I49" i="187"/>
  <c r="H50" i="187"/>
  <c r="B39" i="188"/>
  <c r="J26" i="196"/>
  <c r="J33" i="196"/>
  <c r="C87" i="196"/>
  <c r="D87" i="196"/>
  <c r="J29" i="196"/>
  <c r="J32" i="196"/>
  <c r="J28" i="245"/>
  <c r="J25" i="245"/>
  <c r="K63" i="147"/>
  <c r="C44" i="195"/>
  <c r="C14" i="189"/>
  <c r="C18" i="189"/>
  <c r="C15" i="189"/>
  <c r="C19" i="189"/>
  <c r="C16" i="189"/>
  <c r="C13" i="189"/>
  <c r="C17" i="189"/>
  <c r="B41" i="186"/>
  <c r="D34" i="186"/>
  <c r="I77" i="289"/>
  <c r="I79" i="289"/>
  <c r="G73" i="239"/>
  <c r="G75" i="239"/>
  <c r="B38" i="240"/>
  <c r="H69" i="290"/>
  <c r="B41" i="184"/>
  <c r="K43" i="187"/>
  <c r="I44" i="187"/>
  <c r="K44" i="187"/>
  <c r="C14" i="190"/>
  <c r="C18" i="190"/>
  <c r="C15" i="190"/>
  <c r="C19" i="190"/>
  <c r="C16" i="190"/>
  <c r="C13" i="190"/>
  <c r="C17" i="190"/>
  <c r="G28" i="147"/>
  <c r="G61" i="147"/>
  <c r="G63" i="147"/>
  <c r="B15" i="103"/>
  <c r="J24" i="110"/>
  <c r="J30" i="110"/>
  <c r="B45" i="110"/>
  <c r="L24" i="123"/>
  <c r="J24" i="196"/>
  <c r="J30" i="202"/>
  <c r="C59" i="202"/>
  <c r="D59" i="202"/>
  <c r="J29" i="201"/>
  <c r="H77" i="290"/>
  <c r="H23" i="290"/>
  <c r="H47" i="290"/>
  <c r="H43" i="290"/>
  <c r="H9" i="290"/>
  <c r="H34" i="290"/>
  <c r="H65" i="290"/>
  <c r="J23" i="214"/>
  <c r="M19" i="163"/>
  <c r="M21" i="163"/>
  <c r="M23" i="163"/>
  <c r="M27" i="163"/>
  <c r="D39" i="212"/>
  <c r="D40" i="212"/>
  <c r="H75" i="290"/>
  <c r="N77" i="238"/>
  <c r="B41" i="188"/>
  <c r="D34" i="188"/>
  <c r="M27" i="120"/>
  <c r="W76" i="174"/>
  <c r="G13" i="290"/>
  <c r="J11" i="290"/>
  <c r="G63" i="290"/>
  <c r="J27" i="217"/>
  <c r="J31" i="217"/>
  <c r="C59" i="220"/>
  <c r="D59" i="220"/>
  <c r="J30" i="220"/>
  <c r="J27" i="197"/>
  <c r="J31" i="197"/>
  <c r="B49" i="83"/>
  <c r="N24" i="83"/>
  <c r="N30" i="83"/>
  <c r="N23" i="83"/>
  <c r="L32" i="123"/>
  <c r="C31" i="181"/>
  <c r="C36" i="181"/>
  <c r="H16" i="290"/>
  <c r="H22" i="290"/>
  <c r="H76" i="290"/>
  <c r="H12" i="290"/>
  <c r="H38" i="290"/>
  <c r="H46" i="290"/>
  <c r="H72" i="290"/>
  <c r="H8" i="290"/>
  <c r="H33" i="290"/>
  <c r="H42" i="290"/>
  <c r="H26" i="290"/>
  <c r="R50" i="294"/>
  <c r="J29" i="220"/>
  <c r="E22" i="140"/>
  <c r="J22" i="140"/>
  <c r="J19" i="140"/>
  <c r="K47" i="185"/>
  <c r="I50" i="185"/>
  <c r="M21" i="111"/>
  <c r="L29" i="111"/>
  <c r="L33" i="111"/>
  <c r="L32" i="111"/>
  <c r="H48" i="290"/>
  <c r="W69" i="238"/>
  <c r="H39" i="290"/>
  <c r="Q61" i="140"/>
  <c r="E61" i="140"/>
  <c r="J13" i="290"/>
  <c r="D36" i="188"/>
  <c r="D35" i="188"/>
  <c r="D37" i="188"/>
  <c r="D38" i="188"/>
  <c r="H26" i="190"/>
  <c r="H41" i="190"/>
  <c r="B6" i="190"/>
  <c r="H40" i="190"/>
  <c r="D39" i="188"/>
  <c r="D39" i="186"/>
  <c r="J27" i="214"/>
  <c r="J31" i="214"/>
  <c r="P57" i="140"/>
  <c r="M24" i="123"/>
  <c r="E29" i="181"/>
  <c r="C42" i="181"/>
  <c r="E33" i="181"/>
  <c r="E34" i="181"/>
  <c r="D41" i="188"/>
  <c r="H26" i="189"/>
  <c r="B6" i="189"/>
  <c r="H40" i="189"/>
  <c r="J24" i="245"/>
  <c r="K49" i="187"/>
  <c r="I50" i="187"/>
  <c r="H26" i="191"/>
  <c r="B6" i="191"/>
  <c r="H40" i="191"/>
  <c r="I13" i="290"/>
  <c r="F28" i="290"/>
  <c r="I28" i="290"/>
  <c r="E30" i="181"/>
  <c r="G65" i="290"/>
  <c r="G75" i="290"/>
  <c r="G77" i="290"/>
  <c r="D37" i="184"/>
  <c r="D35" i="184"/>
  <c r="D36" i="184"/>
  <c r="D38" i="184"/>
  <c r="J31" i="196"/>
  <c r="J27" i="196"/>
  <c r="D39" i="184"/>
  <c r="M32" i="111"/>
  <c r="M33" i="111"/>
  <c r="M24" i="111"/>
  <c r="D34" i="184"/>
  <c r="D35" i="186"/>
  <c r="D37" i="186"/>
  <c r="D38" i="186"/>
  <c r="D36" i="186"/>
  <c r="D44" i="232"/>
  <c r="F44" i="232"/>
  <c r="F29" i="232"/>
  <c r="F65" i="290"/>
  <c r="F75" i="290"/>
  <c r="F77" i="290"/>
  <c r="I77" i="290"/>
  <c r="J20" i="241"/>
  <c r="D41" i="184"/>
  <c r="D41" i="186"/>
  <c r="D39" i="181"/>
  <c r="D40" i="181"/>
  <c r="D33" i="181"/>
  <c r="D34" i="181"/>
  <c r="D29" i="181"/>
  <c r="D31" i="181"/>
  <c r="D36" i="181"/>
  <c r="D42" i="181"/>
  <c r="D30" i="181"/>
  <c r="H41" i="191"/>
  <c r="H41" i="189"/>
  <c r="E31" i="181"/>
  <c r="E36" i="181"/>
  <c r="O76" i="292"/>
  <c r="F48" i="293"/>
  <c r="M48" i="293"/>
  <c r="W20" i="293"/>
  <c r="O74" i="308"/>
  <c r="R74" i="308"/>
  <c r="O65" i="293"/>
  <c r="K69" i="292"/>
  <c r="X34" i="308"/>
  <c r="F28" i="293"/>
  <c r="L22" i="296"/>
  <c r="K22" i="296"/>
  <c r="K44" i="296"/>
  <c r="O22" i="296"/>
  <c r="O44" i="296"/>
  <c r="L21" i="296"/>
  <c r="L43" i="296"/>
  <c r="K12" i="296"/>
  <c r="M44" i="296"/>
  <c r="M22" i="296"/>
  <c r="K35" i="296"/>
  <c r="N44" i="296"/>
  <c r="N22" i="296"/>
  <c r="K43" i="296"/>
  <c r="K21" i="296"/>
  <c r="F15" i="298"/>
  <c r="F38" i="300"/>
  <c r="D15" i="298"/>
  <c r="D15" i="300"/>
  <c r="P27" i="301"/>
  <c r="M27" i="301"/>
  <c r="D15" i="301"/>
  <c r="D25" i="301"/>
  <c r="D27" i="301"/>
  <c r="G15" i="301"/>
  <c r="G25" i="301"/>
  <c r="G27" i="301"/>
  <c r="F15" i="301"/>
  <c r="F25" i="301"/>
  <c r="F27" i="301"/>
  <c r="R27" i="301"/>
  <c r="N27" i="301"/>
  <c r="J15" i="301"/>
  <c r="J25" i="301"/>
  <c r="J27" i="301"/>
  <c r="E15" i="301"/>
  <c r="E25" i="301"/>
  <c r="E27" i="301"/>
  <c r="Q27" i="301"/>
  <c r="L27" i="301"/>
  <c r="K27" i="301"/>
  <c r="O27" i="301"/>
  <c r="P7" i="300"/>
  <c r="P7" i="301"/>
  <c r="K35" i="299"/>
  <c r="I37" i="300"/>
  <c r="E33" i="300"/>
  <c r="D32" i="300"/>
  <c r="F20" i="300"/>
  <c r="I11" i="300"/>
  <c r="H10" i="300"/>
  <c r="I15" i="298"/>
  <c r="I60" i="298"/>
  <c r="G32" i="300"/>
  <c r="I12" i="300"/>
  <c r="G22" i="298"/>
  <c r="G22" i="300"/>
  <c r="G19" i="300"/>
  <c r="H18" i="300"/>
  <c r="H37" i="300"/>
  <c r="I20" i="300"/>
  <c r="H14" i="300"/>
  <c r="G10" i="300"/>
  <c r="G33" i="300"/>
  <c r="F18" i="300"/>
  <c r="G14" i="300"/>
  <c r="F9" i="300"/>
  <c r="L7" i="300"/>
  <c r="L7" i="301"/>
  <c r="I43" i="300"/>
  <c r="H35" i="300"/>
  <c r="I18" i="300"/>
  <c r="F14" i="300"/>
  <c r="E10" i="300"/>
  <c r="E9" i="300"/>
  <c r="P54" i="299"/>
  <c r="G43" i="299"/>
  <c r="G53" i="299"/>
  <c r="G55" i="299"/>
  <c r="O15" i="300"/>
  <c r="O25" i="299"/>
  <c r="S35" i="299"/>
  <c r="O35" i="299"/>
  <c r="I43" i="299"/>
  <c r="I53" i="299"/>
  <c r="I55" i="299"/>
  <c r="M54" i="299"/>
  <c r="L25" i="299"/>
  <c r="J18" i="300"/>
  <c r="J22" i="299"/>
  <c r="J26" i="299"/>
  <c r="J7" i="300"/>
  <c r="J7" i="301"/>
  <c r="O27" i="299"/>
  <c r="D43" i="299"/>
  <c r="D53" i="299"/>
  <c r="R35" i="299"/>
  <c r="F41" i="300"/>
  <c r="G35" i="300"/>
  <c r="J35" i="299"/>
  <c r="H15" i="299"/>
  <c r="H25" i="299"/>
  <c r="H27" i="299"/>
  <c r="K26" i="299"/>
  <c r="R26" i="299"/>
  <c r="R15" i="300"/>
  <c r="R25" i="299"/>
  <c r="N25" i="299"/>
  <c r="N27" i="299"/>
  <c r="N15" i="300"/>
  <c r="G50" i="299"/>
  <c r="G54" i="299"/>
  <c r="H43" i="299"/>
  <c r="H53" i="299"/>
  <c r="H55" i="299"/>
  <c r="I15" i="299"/>
  <c r="I25" i="299"/>
  <c r="I27" i="299"/>
  <c r="J15" i="299"/>
  <c r="E50" i="299"/>
  <c r="E54" i="299"/>
  <c r="E15" i="299"/>
  <c r="E25" i="299"/>
  <c r="E27" i="299"/>
  <c r="F15" i="299"/>
  <c r="J43" i="299"/>
  <c r="J38" i="300"/>
  <c r="I41" i="300"/>
  <c r="H50" i="299"/>
  <c r="E43" i="299"/>
  <c r="E53" i="299"/>
  <c r="E55" i="299"/>
  <c r="Q35" i="299"/>
  <c r="G15" i="299"/>
  <c r="G25" i="299"/>
  <c r="G27" i="299"/>
  <c r="Q25" i="299"/>
  <c r="Q27" i="299"/>
  <c r="H12" i="300"/>
  <c r="O43" i="299"/>
  <c r="M38" i="300"/>
  <c r="M53" i="299"/>
  <c r="M55" i="299"/>
  <c r="M26" i="299"/>
  <c r="H22" i="299"/>
  <c r="F50" i="299"/>
  <c r="N53" i="299"/>
  <c r="N38" i="300"/>
  <c r="L53" i="299"/>
  <c r="L38" i="300"/>
  <c r="R53" i="299"/>
  <c r="R38" i="300"/>
  <c r="P15" i="300"/>
  <c r="P25" i="299"/>
  <c r="P27" i="299"/>
  <c r="P53" i="299"/>
  <c r="P55" i="299"/>
  <c r="P38" i="300"/>
  <c r="G22" i="299"/>
  <c r="E32" i="300"/>
  <c r="K15" i="299"/>
  <c r="L33" i="300"/>
  <c r="M33" i="300"/>
  <c r="D33" i="300"/>
  <c r="H33" i="300"/>
  <c r="Q53" i="299"/>
  <c r="M15" i="299"/>
  <c r="F27" i="297"/>
  <c r="J27" i="297"/>
  <c r="L27" i="297"/>
  <c r="H15" i="297"/>
  <c r="H25" i="297"/>
  <c r="H27" i="297"/>
  <c r="Q27" i="297"/>
  <c r="I15" i="297"/>
  <c r="I25" i="297"/>
  <c r="I27" i="297"/>
  <c r="G15" i="297"/>
  <c r="G25" i="297"/>
  <c r="G27" i="297"/>
  <c r="M27" i="297"/>
  <c r="P27" i="297"/>
  <c r="O27" i="297"/>
  <c r="K27" i="297"/>
  <c r="R27" i="297"/>
  <c r="P7" i="297"/>
  <c r="O30" i="296"/>
  <c r="D15" i="295"/>
  <c r="D25" i="295"/>
  <c r="D27" i="295"/>
  <c r="R25" i="295"/>
  <c r="G43" i="295"/>
  <c r="G53" i="295"/>
  <c r="G55" i="295"/>
  <c r="K15" i="295"/>
  <c r="K25" i="295"/>
  <c r="R30" i="296"/>
  <c r="K30" i="296"/>
  <c r="K54" i="295"/>
  <c r="I30" i="296"/>
  <c r="F15" i="295"/>
  <c r="F25" i="295"/>
  <c r="F27" i="295"/>
  <c r="P15" i="296"/>
  <c r="P25" i="295"/>
  <c r="O15" i="296"/>
  <c r="O25" i="295"/>
  <c r="O27" i="295"/>
  <c r="Q25" i="295"/>
  <c r="J22" i="295"/>
  <c r="L37" i="296"/>
  <c r="I40" i="296"/>
  <c r="I43" i="295"/>
  <c r="F50" i="295"/>
  <c r="F44" i="296"/>
  <c r="I15" i="295"/>
  <c r="P27" i="295"/>
  <c r="N53" i="295"/>
  <c r="N55" i="295"/>
  <c r="P53" i="295"/>
  <c r="P37" i="296"/>
  <c r="L15" i="296"/>
  <c r="L25" i="295"/>
  <c r="L27" i="295"/>
  <c r="L54" i="295"/>
  <c r="L55" i="295"/>
  <c r="J43" i="295"/>
  <c r="J37" i="296"/>
  <c r="K55" i="295"/>
  <c r="Q30" i="296"/>
  <c r="R27" i="295"/>
  <c r="H50" i="295"/>
  <c r="J15" i="295"/>
  <c r="J15" i="296"/>
  <c r="P54" i="295"/>
  <c r="P55" i="295"/>
  <c r="F22" i="296"/>
  <c r="G15" i="295"/>
  <c r="Q27" i="295"/>
  <c r="N30" i="296"/>
  <c r="R37" i="296"/>
  <c r="R53" i="295"/>
  <c r="R55" i="295"/>
  <c r="H22" i="295"/>
  <c r="N27" i="295"/>
  <c r="M26" i="295"/>
  <c r="I50" i="295"/>
  <c r="O53" i="295"/>
  <c r="O55" i="295"/>
  <c r="O37" i="296"/>
  <c r="M25" i="295"/>
  <c r="E43" i="295"/>
  <c r="E37" i="296"/>
  <c r="H15" i="295"/>
  <c r="H15" i="296"/>
  <c r="H43" i="295"/>
  <c r="J30" i="296"/>
  <c r="L7" i="297"/>
  <c r="F43" i="295"/>
  <c r="F53" i="295"/>
  <c r="F55" i="295"/>
  <c r="D43" i="295"/>
  <c r="K37" i="296"/>
  <c r="F15" i="296"/>
  <c r="D15" i="296"/>
  <c r="Q53" i="295"/>
  <c r="E15" i="295"/>
  <c r="E15" i="296"/>
  <c r="S26" i="297"/>
  <c r="F76" i="293"/>
  <c r="N76" i="293"/>
  <c r="X76" i="293"/>
  <c r="K76" i="293"/>
  <c r="S15" i="297"/>
  <c r="S25" i="297"/>
  <c r="S43" i="295"/>
  <c r="S37" i="296"/>
  <c r="N65" i="293"/>
  <c r="S15" i="299"/>
  <c r="S25" i="299"/>
  <c r="S43" i="299"/>
  <c r="R66" i="293"/>
  <c r="S15" i="295"/>
  <c r="E74" i="293"/>
  <c r="X68" i="292"/>
  <c r="G69" i="292"/>
  <c r="G75" i="292"/>
  <c r="O75" i="292"/>
  <c r="K76" i="292"/>
  <c r="M65" i="292"/>
  <c r="F75" i="292"/>
  <c r="F65" i="292"/>
  <c r="O65" i="292"/>
  <c r="M76" i="292"/>
  <c r="W76" i="292"/>
  <c r="M75" i="308"/>
  <c r="O48" i="308"/>
  <c r="G76" i="308"/>
  <c r="G77" i="308"/>
  <c r="G48" i="308"/>
  <c r="X68" i="308"/>
  <c r="M69" i="308"/>
  <c r="W69" i="308"/>
  <c r="M76" i="308"/>
  <c r="W76" i="308"/>
  <c r="N69" i="308"/>
  <c r="X69" i="308"/>
  <c r="F69" i="308"/>
  <c r="K28" i="308"/>
  <c r="G65" i="308"/>
  <c r="N65" i="308"/>
  <c r="N75" i="308"/>
  <c r="J9" i="308"/>
  <c r="E65" i="308"/>
  <c r="J39" i="308"/>
  <c r="D55" i="299"/>
  <c r="Q54" i="299"/>
  <c r="Q55" i="299"/>
  <c r="F25" i="299"/>
  <c r="F27" i="299"/>
  <c r="O54" i="299"/>
  <c r="R27" i="299"/>
  <c r="R54" i="299"/>
  <c r="R55" i="299"/>
  <c r="J25" i="299"/>
  <c r="J27" i="299"/>
  <c r="J15" i="300"/>
  <c r="N54" i="299"/>
  <c r="N55" i="299"/>
  <c r="K25" i="299"/>
  <c r="K27" i="299"/>
  <c r="K15" i="300"/>
  <c r="L26" i="299"/>
  <c r="L27" i="299"/>
  <c r="J22" i="300"/>
  <c r="F54" i="299"/>
  <c r="F55" i="299"/>
  <c r="H26" i="299"/>
  <c r="H22" i="300"/>
  <c r="M15" i="300"/>
  <c r="M25" i="299"/>
  <c r="M27" i="299"/>
  <c r="H54" i="299"/>
  <c r="K54" i="299"/>
  <c r="K55" i="299"/>
  <c r="G26" i="299"/>
  <c r="I50" i="299"/>
  <c r="S15" i="300"/>
  <c r="K15" i="296"/>
  <c r="F54" i="295"/>
  <c r="G50" i="295"/>
  <c r="I37" i="296"/>
  <c r="I53" i="295"/>
  <c r="I55" i="295"/>
  <c r="J22" i="296"/>
  <c r="J26" i="295"/>
  <c r="H54" i="295"/>
  <c r="M27" i="295"/>
  <c r="J25" i="295"/>
  <c r="J27" i="295"/>
  <c r="J53" i="295"/>
  <c r="O54" i="295"/>
  <c r="H25" i="295"/>
  <c r="H27" i="295"/>
  <c r="H26" i="295"/>
  <c r="G22" i="295"/>
  <c r="J50" i="295"/>
  <c r="I54" i="295"/>
  <c r="I44" i="296"/>
  <c r="Q54" i="295"/>
  <c r="Q55" i="295"/>
  <c r="F37" i="296"/>
  <c r="N54" i="295"/>
  <c r="K26" i="295"/>
  <c r="K27" i="295"/>
  <c r="E53" i="295"/>
  <c r="E55" i="295"/>
  <c r="E25" i="295"/>
  <c r="E27" i="295"/>
  <c r="I22" i="295"/>
  <c r="M54" i="295"/>
  <c r="M55" i="295"/>
  <c r="S27" i="297"/>
  <c r="S53" i="295"/>
  <c r="S26" i="299"/>
  <c r="S27" i="299"/>
  <c r="S54" i="299"/>
  <c r="S25" i="295"/>
  <c r="S15" i="296"/>
  <c r="S38" i="300"/>
  <c r="S53" i="299"/>
  <c r="L54" i="299"/>
  <c r="L55" i="299"/>
  <c r="I54" i="299"/>
  <c r="G54" i="295"/>
  <c r="G44" i="296"/>
  <c r="I22" i="296"/>
  <c r="I26" i="295"/>
  <c r="J44" i="296"/>
  <c r="J54" i="295"/>
  <c r="G26" i="295"/>
  <c r="G22" i="296"/>
  <c r="S26" i="295"/>
  <c r="S27" i="295"/>
  <c r="S55" i="299"/>
  <c r="S54" i="295"/>
  <c r="S55" i="295"/>
  <c r="O48" i="293"/>
  <c r="F65" i="293"/>
  <c r="N48" i="293"/>
  <c r="W17" i="293"/>
  <c r="F75" i="293"/>
  <c r="F77" i="293"/>
  <c r="W63" i="293"/>
  <c r="W47" i="293"/>
  <c r="W9" i="308"/>
  <c r="J43" i="293"/>
  <c r="F69" i="293"/>
  <c r="N76" i="308"/>
  <c r="X76" i="308"/>
  <c r="K48" i="292"/>
  <c r="X68" i="293"/>
  <c r="E69" i="293"/>
  <c r="J9" i="293"/>
  <c r="E28" i="292"/>
  <c r="J9" i="292"/>
  <c r="G48" i="293"/>
  <c r="K48" i="308"/>
  <c r="X63" i="292"/>
  <c r="K48" i="293"/>
  <c r="M65" i="308"/>
  <c r="W23" i="293"/>
  <c r="N28" i="308"/>
  <c r="O28" i="308"/>
  <c r="W64" i="292"/>
  <c r="N77" i="308"/>
  <c r="X69" i="293"/>
  <c r="E48" i="308"/>
  <c r="F48" i="292"/>
  <c r="E28" i="293"/>
  <c r="O28" i="293"/>
  <c r="X64" i="308"/>
  <c r="X64" i="292"/>
  <c r="M69" i="293"/>
  <c r="M28" i="292"/>
  <c r="J34" i="308"/>
  <c r="J48" i="308"/>
  <c r="K65" i="308"/>
  <c r="O76" i="308"/>
  <c r="M65" i="293"/>
  <c r="E76" i="308"/>
  <c r="E77" i="308"/>
  <c r="J77" i="308"/>
  <c r="M77" i="308"/>
  <c r="F65" i="308"/>
  <c r="W64" i="308"/>
  <c r="O69" i="308"/>
  <c r="O69" i="292"/>
  <c r="M76" i="293"/>
  <c r="W76" i="293"/>
  <c r="O69" i="293"/>
  <c r="K75" i="293"/>
  <c r="K77" i="293"/>
  <c r="O76" i="293"/>
  <c r="O77" i="293"/>
  <c r="M75" i="293"/>
  <c r="X39" i="292"/>
  <c r="G76" i="293"/>
  <c r="K69" i="293"/>
  <c r="G76" i="292"/>
  <c r="G77" i="292"/>
  <c r="K28" i="292"/>
  <c r="E28" i="308"/>
  <c r="G28" i="308"/>
  <c r="J28" i="308"/>
  <c r="N48" i="308"/>
  <c r="M69" i="292"/>
  <c r="M75" i="292"/>
  <c r="X20" i="292"/>
  <c r="O48" i="292"/>
  <c r="N28" i="293"/>
  <c r="X9" i="293"/>
  <c r="G28" i="293"/>
  <c r="J13" i="293"/>
  <c r="O75" i="308"/>
  <c r="F76" i="308"/>
  <c r="F77" i="308"/>
  <c r="X65" i="292"/>
  <c r="F76" i="292"/>
  <c r="F77" i="292"/>
  <c r="O77" i="292"/>
  <c r="G69" i="293"/>
  <c r="G75" i="293"/>
  <c r="X64" i="293"/>
  <c r="E65" i="293"/>
  <c r="E75" i="293"/>
  <c r="E77" i="293"/>
  <c r="J39" i="293"/>
  <c r="E48" i="293"/>
  <c r="J48" i="293"/>
  <c r="J47" i="293"/>
  <c r="S22" i="301"/>
  <c r="S26" i="301"/>
  <c r="X63" i="293"/>
  <c r="N28" i="292"/>
  <c r="F48" i="308"/>
  <c r="W64" i="293"/>
  <c r="X43" i="293"/>
  <c r="W63" i="292"/>
  <c r="M48" i="292"/>
  <c r="W20" i="308"/>
  <c r="S15" i="301"/>
  <c r="S25" i="301"/>
  <c r="N48" i="292"/>
  <c r="E69" i="308"/>
  <c r="W67" i="292"/>
  <c r="F69" i="292"/>
  <c r="J23" i="308"/>
  <c r="M28" i="308"/>
  <c r="M48" i="308"/>
  <c r="W28" i="292"/>
  <c r="X47" i="293"/>
  <c r="X39" i="308"/>
  <c r="K76" i="308"/>
  <c r="K77" i="308"/>
  <c r="X47" i="308"/>
  <c r="X67" i="293"/>
  <c r="N75" i="293"/>
  <c r="E65" i="292"/>
  <c r="E75" i="292"/>
  <c r="E77" i="292"/>
  <c r="J77" i="292"/>
  <c r="J39" i="292"/>
  <c r="X67" i="292"/>
  <c r="N69" i="292"/>
  <c r="N75" i="292"/>
  <c r="K65" i="292"/>
  <c r="K75" i="292"/>
  <c r="J23" i="292"/>
  <c r="G28" i="292"/>
  <c r="J28" i="292"/>
  <c r="F28" i="292"/>
  <c r="J17" i="292"/>
  <c r="K28" i="293"/>
  <c r="X20" i="308"/>
  <c r="J34" i="293"/>
  <c r="K77" i="292"/>
  <c r="G48" i="292"/>
  <c r="J48" i="292"/>
  <c r="J17" i="293"/>
  <c r="O28" i="292"/>
  <c r="J28" i="293"/>
  <c r="G77" i="293"/>
  <c r="O77" i="308"/>
  <c r="W65" i="293"/>
  <c r="W69" i="293"/>
  <c r="W75" i="293"/>
  <c r="M77" i="293"/>
  <c r="W77" i="293"/>
  <c r="N77" i="292"/>
  <c r="N77" i="293"/>
  <c r="W69" i="292"/>
  <c r="W28" i="308"/>
  <c r="X69" i="292"/>
  <c r="S27" i="301"/>
  <c r="J77" i="293"/>
  <c r="M77" i="292"/>
  <c r="W77" i="292"/>
  <c r="W75" i="292"/>
  <c r="D51" i="311"/>
  <c r="E51" i="313"/>
  <c r="M14" i="127"/>
  <c r="Q13" i="313"/>
  <c r="Q16" i="313"/>
  <c r="M16" i="127"/>
  <c r="B28" i="315"/>
  <c r="Q15" i="313"/>
  <c r="J14" i="127"/>
  <c r="C11" i="292"/>
  <c r="Q13" i="311"/>
  <c r="Q16" i="311"/>
  <c r="J16" i="127"/>
  <c r="B28" i="314"/>
  <c r="Q15" i="311"/>
  <c r="H51" i="312"/>
  <c r="K27" i="312"/>
  <c r="K53" i="313"/>
  <c r="I54" i="165"/>
  <c r="F33" i="137"/>
  <c r="C20" i="230"/>
  <c r="E75" i="239"/>
  <c r="B36" i="240"/>
  <c r="H57" i="165"/>
  <c r="H61" i="165"/>
  <c r="H62" i="165"/>
  <c r="B39" i="166"/>
  <c r="I72" i="243"/>
  <c r="R26" i="238"/>
  <c r="F32" i="147"/>
  <c r="I12" i="174"/>
  <c r="Y33" i="238"/>
  <c r="Y46" i="237"/>
  <c r="D38" i="174"/>
  <c r="Z38" i="174"/>
  <c r="R38" i="174"/>
  <c r="C27" i="174"/>
  <c r="I27" i="174"/>
  <c r="Q26" i="174"/>
  <c r="C72" i="238"/>
  <c r="D26" i="238"/>
  <c r="D27" i="238"/>
  <c r="Z46" i="237"/>
  <c r="Z26" i="174"/>
  <c r="I69" i="171"/>
  <c r="I43" i="243"/>
  <c r="I51" i="243"/>
  <c r="I75" i="243"/>
  <c r="G39" i="129"/>
  <c r="C53" i="308"/>
  <c r="Z39" i="237"/>
  <c r="I32" i="300"/>
  <c r="G15" i="298"/>
  <c r="G15" i="300"/>
  <c r="G41" i="300"/>
  <c r="I10" i="300"/>
  <c r="G45" i="300"/>
  <c r="F10" i="300"/>
  <c r="F45" i="300"/>
  <c r="M35" i="299"/>
  <c r="H20" i="300"/>
  <c r="F19" i="300"/>
  <c r="I42" i="300"/>
  <c r="I45" i="300"/>
  <c r="H32" i="300"/>
  <c r="H15" i="298"/>
  <c r="N15" i="296"/>
  <c r="L44" i="296"/>
  <c r="H44" i="296"/>
  <c r="P22" i="296"/>
  <c r="K15" i="294"/>
  <c r="L60" i="294"/>
  <c r="G37" i="296"/>
  <c r="G15" i="296"/>
  <c r="M10" i="296"/>
  <c r="S30" i="296"/>
  <c r="U27" i="295"/>
  <c r="U27" i="299"/>
  <c r="C20" i="238"/>
  <c r="Q20" i="238"/>
  <c r="I33" i="174"/>
  <c r="R12" i="237"/>
  <c r="E46" i="169"/>
  <c r="E70" i="171"/>
  <c r="R26" i="308"/>
  <c r="Z33" i="174"/>
  <c r="H44" i="178"/>
  <c r="I38" i="237"/>
  <c r="Z21" i="174"/>
  <c r="E12" i="137"/>
  <c r="E14" i="137"/>
  <c r="E18" i="137"/>
  <c r="E44" i="137"/>
  <c r="E47" i="137"/>
  <c r="R33" i="174"/>
  <c r="Q46" i="174"/>
  <c r="I17" i="147"/>
  <c r="D33" i="174"/>
  <c r="E73" i="243"/>
  <c r="C27" i="308"/>
  <c r="C27" i="292"/>
  <c r="Z27" i="292"/>
  <c r="C13" i="249"/>
  <c r="Z42" i="237"/>
  <c r="Y33" i="174"/>
  <c r="E25" i="137"/>
  <c r="C29" i="173"/>
  <c r="X29" i="173"/>
  <c r="P39" i="237"/>
  <c r="C15" i="175"/>
  <c r="C13" i="175"/>
  <c r="I19" i="238"/>
  <c r="N12" i="147"/>
  <c r="N17" i="147"/>
  <c r="N60" i="147"/>
  <c r="C16" i="247"/>
  <c r="D7" i="237"/>
  <c r="D9" i="237"/>
  <c r="F21" i="147"/>
  <c r="J62" i="147"/>
  <c r="C40" i="194"/>
  <c r="C41" i="194"/>
  <c r="C20" i="247"/>
  <c r="C13" i="247"/>
  <c r="C19" i="175"/>
  <c r="C16" i="176"/>
  <c r="H42" i="176"/>
  <c r="C17" i="175"/>
  <c r="E34" i="165"/>
  <c r="Y39" i="237"/>
  <c r="C18" i="176"/>
  <c r="C16" i="175"/>
  <c r="C17" i="238"/>
  <c r="Q17" i="238"/>
  <c r="Q7" i="237"/>
  <c r="I7" i="237"/>
  <c r="J26" i="62"/>
  <c r="J36" i="62"/>
  <c r="C20" i="140"/>
  <c r="Q20" i="140"/>
  <c r="I17" i="140"/>
  <c r="P17" i="140"/>
  <c r="D17" i="140"/>
  <c r="Q17" i="140"/>
  <c r="I72" i="171"/>
  <c r="I21" i="238"/>
  <c r="I46" i="237"/>
  <c r="Z38" i="238"/>
  <c r="Y42" i="237"/>
  <c r="C63" i="237"/>
  <c r="Q46" i="237"/>
  <c r="D38" i="238"/>
  <c r="Q12" i="237"/>
  <c r="R21" i="237"/>
  <c r="X13" i="173"/>
  <c r="C29" i="257"/>
  <c r="G21" i="310"/>
  <c r="R8" i="237"/>
  <c r="D46" i="238"/>
  <c r="Q38" i="237"/>
  <c r="Y38" i="174"/>
  <c r="I21" i="62"/>
  <c r="I27" i="62"/>
  <c r="I55" i="62"/>
  <c r="F51" i="147"/>
  <c r="C52" i="140"/>
  <c r="E52" i="140"/>
  <c r="E67" i="140"/>
  <c r="C35" i="257"/>
  <c r="C41" i="257"/>
  <c r="I26" i="174"/>
  <c r="B45" i="232"/>
  <c r="C72" i="237"/>
  <c r="R42" i="237"/>
  <c r="C68" i="237"/>
  <c r="R68" i="237"/>
  <c r="I12" i="237"/>
  <c r="P46" i="238"/>
  <c r="Z33" i="238"/>
  <c r="D22" i="238"/>
  <c r="I38" i="169"/>
  <c r="I43" i="169"/>
  <c r="Y12" i="238"/>
  <c r="R33" i="238"/>
  <c r="Y38" i="237"/>
  <c r="Z38" i="237"/>
  <c r="Q42" i="237"/>
  <c r="P22" i="174"/>
  <c r="P46" i="237"/>
  <c r="R16" i="174"/>
  <c r="Z12" i="238"/>
  <c r="P33" i="238"/>
  <c r="P38" i="237"/>
  <c r="D12" i="237"/>
  <c r="Y13" i="173"/>
  <c r="M62" i="147"/>
  <c r="E28" i="147"/>
  <c r="E61" i="147"/>
  <c r="U48" i="298"/>
  <c r="C68" i="173"/>
  <c r="D46" i="237"/>
  <c r="D42" i="237"/>
  <c r="S54" i="298"/>
  <c r="Q33" i="238"/>
  <c r="Y46" i="238"/>
  <c r="R46" i="237"/>
  <c r="D8" i="238"/>
  <c r="R38" i="237"/>
  <c r="Y22" i="173"/>
  <c r="Y68" i="237"/>
  <c r="H58" i="249"/>
  <c r="H45" i="249"/>
  <c r="H28" i="249"/>
  <c r="H60" i="249"/>
  <c r="H44" i="249"/>
  <c r="H57" i="249"/>
  <c r="P13" i="140"/>
  <c r="R13" i="140"/>
  <c r="I13" i="140"/>
  <c r="Q13" i="140"/>
  <c r="P27" i="238"/>
  <c r="I27" i="238"/>
  <c r="Q27" i="238"/>
  <c r="R27" i="238"/>
  <c r="Z27" i="238"/>
  <c r="Y27" i="238"/>
  <c r="D42" i="173"/>
  <c r="Q42" i="173"/>
  <c r="B56" i="231"/>
  <c r="I42" i="173"/>
  <c r="P42" i="173"/>
  <c r="C15" i="232"/>
  <c r="X22" i="173"/>
  <c r="Y42" i="173"/>
  <c r="Q28" i="140"/>
  <c r="S39" i="298"/>
  <c r="S48" i="298"/>
  <c r="Q12" i="238"/>
  <c r="I62" i="147"/>
  <c r="C30" i="93"/>
  <c r="C13" i="232"/>
  <c r="C20" i="232"/>
  <c r="Y26" i="293"/>
  <c r="R12" i="238"/>
  <c r="I12" i="238"/>
  <c r="Y42" i="238"/>
  <c r="Q22" i="173"/>
  <c r="M39" i="129"/>
  <c r="Y22" i="174"/>
  <c r="P22" i="173"/>
  <c r="Y12" i="174"/>
  <c r="Q26" i="292"/>
  <c r="Z12" i="174"/>
  <c r="R22" i="174"/>
  <c r="F57" i="147"/>
  <c r="C60" i="173"/>
  <c r="P60" i="173"/>
  <c r="E60" i="147"/>
  <c r="E63" i="147"/>
  <c r="C31" i="209"/>
  <c r="C36" i="209"/>
  <c r="C42" i="209"/>
  <c r="I22" i="174"/>
  <c r="D12" i="174"/>
  <c r="E35" i="169"/>
  <c r="E60" i="169"/>
  <c r="E63" i="169"/>
  <c r="B36" i="170"/>
  <c r="C14" i="232"/>
  <c r="Q21" i="238"/>
  <c r="Z46" i="174"/>
  <c r="P12" i="174"/>
  <c r="R33" i="237"/>
  <c r="R27" i="237"/>
  <c r="C18" i="232"/>
  <c r="C16" i="232"/>
  <c r="H28" i="232"/>
  <c r="H60" i="232"/>
  <c r="E54" i="243"/>
  <c r="Q26" i="293"/>
  <c r="C23" i="238"/>
  <c r="P23" i="238"/>
  <c r="F21" i="310"/>
  <c r="B42" i="231"/>
  <c r="C68" i="174"/>
  <c r="Q68" i="174"/>
  <c r="P46" i="174"/>
  <c r="Y46" i="174"/>
  <c r="X42" i="173"/>
  <c r="I23" i="137"/>
  <c r="F34" i="147"/>
  <c r="M28" i="147"/>
  <c r="M61" i="147"/>
  <c r="C72" i="174"/>
  <c r="R46" i="174"/>
  <c r="R26" i="293"/>
  <c r="C27" i="293"/>
  <c r="I53" i="171"/>
  <c r="I54" i="171"/>
  <c r="I9" i="173"/>
  <c r="Y9" i="173"/>
  <c r="P9" i="173"/>
  <c r="I41" i="140"/>
  <c r="D16" i="173"/>
  <c r="X16" i="173"/>
  <c r="I16" i="173"/>
  <c r="Q27" i="174"/>
  <c r="Z27" i="174"/>
  <c r="Y27" i="174"/>
  <c r="P27" i="174"/>
  <c r="C68" i="238"/>
  <c r="R68" i="238"/>
  <c r="D42" i="238"/>
  <c r="I42" i="238"/>
  <c r="P42" i="238"/>
  <c r="R42" i="238"/>
  <c r="Z8" i="238"/>
  <c r="I50" i="169"/>
  <c r="I58" i="169"/>
  <c r="E58" i="169"/>
  <c r="S56" i="298"/>
  <c r="E21" i="310"/>
  <c r="C17" i="249"/>
  <c r="C15" i="249"/>
  <c r="C20" i="249"/>
  <c r="C19" i="249"/>
  <c r="C14" i="249"/>
  <c r="C18" i="249"/>
  <c r="P38" i="173"/>
  <c r="I38" i="173"/>
  <c r="Q38" i="173"/>
  <c r="I13" i="173"/>
  <c r="Z13" i="173"/>
  <c r="P13" i="173"/>
  <c r="Q13" i="173"/>
  <c r="D13" i="173"/>
  <c r="C33" i="140"/>
  <c r="P33" i="140"/>
  <c r="I27" i="137"/>
  <c r="Q42" i="174"/>
  <c r="D42" i="174"/>
  <c r="B46" i="232"/>
  <c r="E8" i="174"/>
  <c r="Y8" i="174"/>
  <c r="R8" i="174"/>
  <c r="P8" i="174"/>
  <c r="Z8" i="174"/>
  <c r="I27" i="292"/>
  <c r="Y27" i="292"/>
  <c r="P27" i="292"/>
  <c r="Q27" i="292"/>
  <c r="Z68" i="174"/>
  <c r="I27" i="237"/>
  <c r="P27" i="237"/>
  <c r="X60" i="173"/>
  <c r="E28" i="257"/>
  <c r="B49" i="257"/>
  <c r="H46" i="249"/>
  <c r="B6" i="249"/>
  <c r="H47" i="249"/>
  <c r="H59" i="249"/>
  <c r="D38" i="173"/>
  <c r="M60" i="147"/>
  <c r="M63" i="147"/>
  <c r="C46" i="195"/>
  <c r="I60" i="147"/>
  <c r="I63" i="147"/>
  <c r="C46" i="194"/>
  <c r="C9" i="140"/>
  <c r="I18" i="137"/>
  <c r="I44" i="137"/>
  <c r="I47" i="137"/>
  <c r="Y26" i="237"/>
  <c r="R26" i="237"/>
  <c r="D26" i="237"/>
  <c r="D27" i="237"/>
  <c r="I26" i="237"/>
  <c r="P26" i="237"/>
  <c r="Z26" i="237"/>
  <c r="D22" i="237"/>
  <c r="Q22" i="237"/>
  <c r="R22" i="237"/>
  <c r="Z22" i="237"/>
  <c r="D16" i="237"/>
  <c r="P16" i="237"/>
  <c r="I16" i="237"/>
  <c r="R16" i="237"/>
  <c r="C64" i="237"/>
  <c r="R64" i="237"/>
  <c r="B46" i="249"/>
  <c r="P8" i="237"/>
  <c r="Q8" i="237"/>
  <c r="I67" i="243"/>
  <c r="E74" i="243"/>
  <c r="P26" i="308"/>
  <c r="I26" i="308"/>
  <c r="Q26" i="308"/>
  <c r="Z26" i="308"/>
  <c r="Y26" i="308"/>
  <c r="I41" i="62"/>
  <c r="I56" i="62"/>
  <c r="C39" i="93"/>
  <c r="X9" i="173"/>
  <c r="Q9" i="173"/>
  <c r="D9" i="173"/>
  <c r="B44" i="231"/>
  <c r="Q41" i="140"/>
  <c r="P41" i="140"/>
  <c r="I8" i="238"/>
  <c r="P8" i="238"/>
  <c r="R8" i="238"/>
  <c r="Q8" i="238"/>
  <c r="I49" i="171"/>
  <c r="I73" i="171"/>
  <c r="E73" i="171"/>
  <c r="F23" i="310"/>
  <c r="T57" i="298"/>
  <c r="Q27" i="237"/>
  <c r="R27" i="292"/>
  <c r="Z27" i="237"/>
  <c r="C36" i="93"/>
  <c r="Q9" i="238"/>
  <c r="H44" i="232"/>
  <c r="X38" i="173"/>
  <c r="R42" i="174"/>
  <c r="C30" i="258"/>
  <c r="E27" i="137"/>
  <c r="E29" i="137"/>
  <c r="E45" i="137"/>
  <c r="P33" i="237"/>
  <c r="I33" i="237"/>
  <c r="D33" i="237"/>
  <c r="Q26" i="237"/>
  <c r="I42" i="169"/>
  <c r="E51" i="171"/>
  <c r="E75" i="171"/>
  <c r="B36" i="172"/>
  <c r="I43" i="171"/>
  <c r="E74" i="171"/>
  <c r="H70" i="243"/>
  <c r="H75" i="243"/>
  <c r="B39" i="244"/>
  <c r="I69" i="243"/>
  <c r="P27" i="308"/>
  <c r="R27" i="308"/>
  <c r="Z27" i="308"/>
  <c r="I27" i="308"/>
  <c r="Y27" i="308"/>
  <c r="Q27" i="308"/>
  <c r="Y33" i="237"/>
  <c r="E62" i="147"/>
  <c r="C34" i="173"/>
  <c r="P34" i="173"/>
  <c r="I26" i="147"/>
  <c r="I28" i="147"/>
  <c r="I61" i="147"/>
  <c r="F33" i="147"/>
  <c r="I21" i="140"/>
  <c r="D21" i="140"/>
  <c r="Q21" i="140"/>
  <c r="D26" i="174"/>
  <c r="D27" i="174"/>
  <c r="Y26" i="174"/>
  <c r="P26" i="174"/>
  <c r="D21" i="174"/>
  <c r="D23" i="174"/>
  <c r="P21" i="174"/>
  <c r="P26" i="238"/>
  <c r="Y26" i="238"/>
  <c r="I26" i="238"/>
  <c r="Q26" i="238"/>
  <c r="P22" i="238"/>
  <c r="Q22" i="238"/>
  <c r="U57" i="298"/>
  <c r="G23" i="310"/>
  <c r="C13" i="231"/>
  <c r="C16" i="231"/>
  <c r="C53" i="293"/>
  <c r="C53" i="292"/>
  <c r="C51" i="129"/>
  <c r="F16" i="137"/>
  <c r="I54" i="62"/>
  <c r="I57" i="62"/>
  <c r="C46" i="63"/>
  <c r="D28" i="140"/>
  <c r="P28" i="140"/>
  <c r="Z42" i="174"/>
  <c r="Z26" i="238"/>
  <c r="Q42" i="238"/>
  <c r="D33" i="238"/>
  <c r="Y8" i="237"/>
  <c r="Y42" i="174"/>
  <c r="F50" i="147"/>
  <c r="F58" i="147"/>
  <c r="Z8" i="237"/>
  <c r="Z42" i="238"/>
  <c r="Z22" i="238"/>
  <c r="Q16" i="174"/>
  <c r="C74" i="167"/>
  <c r="I74" i="167"/>
  <c r="Q32" i="238"/>
  <c r="Y21" i="174"/>
  <c r="R7" i="174"/>
  <c r="P16" i="174"/>
  <c r="I15" i="238"/>
  <c r="C64" i="174"/>
  <c r="P64" i="174"/>
  <c r="C22" i="140"/>
  <c r="P22" i="140"/>
  <c r="R23" i="238"/>
  <c r="H58" i="247"/>
  <c r="R15" i="238"/>
  <c r="Y21" i="238"/>
  <c r="Y32" i="238"/>
  <c r="Z21" i="238"/>
  <c r="D21" i="238"/>
  <c r="D23" i="238"/>
  <c r="C71" i="237"/>
  <c r="C73" i="237"/>
  <c r="I7" i="174"/>
  <c r="I21" i="174"/>
  <c r="E7" i="174"/>
  <c r="C16" i="230"/>
  <c r="H57" i="230"/>
  <c r="Y15" i="238"/>
  <c r="D73" i="167"/>
  <c r="Q15" i="238"/>
  <c r="Q21" i="174"/>
  <c r="R23" i="174"/>
  <c r="C20" i="174"/>
  <c r="Z20" i="174"/>
  <c r="I19" i="174"/>
  <c r="D16" i="174"/>
  <c r="I45" i="238"/>
  <c r="C43" i="238"/>
  <c r="R43" i="238"/>
  <c r="Z41" i="238"/>
  <c r="Q41" i="238"/>
  <c r="Y63" i="237"/>
  <c r="E73" i="167"/>
  <c r="Z15" i="238"/>
  <c r="I16" i="174"/>
  <c r="R21" i="174"/>
  <c r="Z23" i="238"/>
  <c r="H44" i="247"/>
  <c r="I21" i="237"/>
  <c r="C64" i="238"/>
  <c r="P64" i="238"/>
  <c r="R21" i="238"/>
  <c r="R7" i="237"/>
  <c r="D21" i="237"/>
  <c r="D23" i="237"/>
  <c r="Z16" i="174"/>
  <c r="H16" i="62"/>
  <c r="B46" i="230"/>
  <c r="E45" i="165"/>
  <c r="D41" i="238"/>
  <c r="D43" i="238"/>
  <c r="D15" i="238"/>
  <c r="D17" i="238"/>
  <c r="D15" i="137"/>
  <c r="F15" i="137"/>
  <c r="I37" i="165"/>
  <c r="I42" i="165"/>
  <c r="C59" i="238"/>
  <c r="C59" i="237"/>
  <c r="I18" i="238"/>
  <c r="Y64" i="174"/>
  <c r="C65" i="237"/>
  <c r="E72" i="239"/>
  <c r="H44" i="175"/>
  <c r="E9" i="174"/>
  <c r="J9" i="174"/>
  <c r="E72" i="243"/>
  <c r="R39" i="237"/>
  <c r="P9" i="238"/>
  <c r="H28" i="247"/>
  <c r="H60" i="247"/>
  <c r="I73" i="243"/>
  <c r="C15" i="176"/>
  <c r="H59" i="247"/>
  <c r="B6" i="247"/>
  <c r="H46" i="230"/>
  <c r="C13" i="176"/>
  <c r="C13" i="238"/>
  <c r="P13" i="238"/>
  <c r="Y18" i="238"/>
  <c r="I62" i="167"/>
  <c r="R16" i="238"/>
  <c r="Y45" i="238"/>
  <c r="D18" i="237"/>
  <c r="D20" i="237"/>
  <c r="Y7" i="237"/>
  <c r="Y15" i="237"/>
  <c r="P18" i="237"/>
  <c r="Y21" i="237"/>
  <c r="J14" i="137"/>
  <c r="J18" i="137"/>
  <c r="C9" i="174"/>
  <c r="Y7" i="174"/>
  <c r="Y19" i="238"/>
  <c r="Y16" i="237"/>
  <c r="I18" i="174"/>
  <c r="Y16" i="238"/>
  <c r="P7" i="237"/>
  <c r="Q45" i="238"/>
  <c r="C47" i="238"/>
  <c r="P47" i="238"/>
  <c r="J12" i="62"/>
  <c r="J16" i="62"/>
  <c r="J12" i="137"/>
  <c r="H32" i="62"/>
  <c r="H54" i="62"/>
  <c r="H57" i="62"/>
  <c r="C45" i="63"/>
  <c r="H35" i="147"/>
  <c r="L60" i="147"/>
  <c r="L63" i="147"/>
  <c r="C45" i="195"/>
  <c r="Y18" i="174"/>
  <c r="D15" i="237"/>
  <c r="D17" i="237"/>
  <c r="Q11" i="237"/>
  <c r="I61" i="167"/>
  <c r="I70" i="167"/>
  <c r="I75" i="167"/>
  <c r="I72" i="239"/>
  <c r="Z9" i="238"/>
  <c r="J16" i="137"/>
  <c r="I39" i="237"/>
  <c r="H44" i="230"/>
  <c r="C19" i="176"/>
  <c r="H46" i="247"/>
  <c r="C17" i="176"/>
  <c r="P18" i="238"/>
  <c r="D18" i="238"/>
  <c r="D20" i="238"/>
  <c r="P19" i="238"/>
  <c r="P11" i="237"/>
  <c r="D11" i="237"/>
  <c r="D13" i="237"/>
  <c r="I13" i="237"/>
  <c r="R9" i="237"/>
  <c r="C17" i="237"/>
  <c r="R17" i="237"/>
  <c r="P21" i="237"/>
  <c r="Q21" i="237"/>
  <c r="J26" i="137"/>
  <c r="Z7" i="174"/>
  <c r="Q7" i="174"/>
  <c r="Q19" i="174"/>
  <c r="B46" i="247"/>
  <c r="Q18" i="174"/>
  <c r="J14" i="62"/>
  <c r="Z45" i="238"/>
  <c r="C30" i="207"/>
  <c r="C35" i="207"/>
  <c r="C41" i="207"/>
  <c r="Y18" i="237"/>
  <c r="I18" i="237"/>
  <c r="R45" i="238"/>
  <c r="R11" i="237"/>
  <c r="D41" i="137"/>
  <c r="F41" i="137"/>
  <c r="D58" i="147"/>
  <c r="I52" i="165"/>
  <c r="I51" i="165"/>
  <c r="C70" i="167"/>
  <c r="C75" i="167"/>
  <c r="B34" i="168"/>
  <c r="C30" i="173"/>
  <c r="X30" i="173"/>
  <c r="I28" i="173"/>
  <c r="Q28" i="173"/>
  <c r="D28" i="173"/>
  <c r="D30" i="173"/>
  <c r="Y28" i="173"/>
  <c r="P28" i="173"/>
  <c r="P43" i="237"/>
  <c r="R43" i="237"/>
  <c r="Z43" i="237"/>
  <c r="I43" i="237"/>
  <c r="Q43" i="237"/>
  <c r="Y43" i="237"/>
  <c r="I75" i="239"/>
  <c r="R48" i="294"/>
  <c r="D51" i="127"/>
  <c r="B6" i="176"/>
  <c r="J35" i="62"/>
  <c r="J38" i="62"/>
  <c r="C35" i="255"/>
  <c r="P16" i="238"/>
  <c r="I64" i="167"/>
  <c r="E64" i="167"/>
  <c r="E74" i="167"/>
  <c r="Q22" i="140"/>
  <c r="H57" i="176"/>
  <c r="H41" i="176"/>
  <c r="D32" i="137"/>
  <c r="D26" i="137"/>
  <c r="F26" i="137"/>
  <c r="F45" i="147"/>
  <c r="F46" i="147"/>
  <c r="C29" i="255"/>
  <c r="R41" i="237"/>
  <c r="D16" i="238"/>
  <c r="I67" i="167"/>
  <c r="E74" i="239"/>
  <c r="I74" i="239"/>
  <c r="J23" i="62"/>
  <c r="H22" i="147"/>
  <c r="J22" i="147"/>
  <c r="J21" i="147"/>
  <c r="Q16" i="238"/>
  <c r="I66" i="167"/>
  <c r="Q64" i="238"/>
  <c r="D39" i="137"/>
  <c r="F39" i="137"/>
  <c r="J48" i="62"/>
  <c r="J13" i="147"/>
  <c r="C12" i="173"/>
  <c r="Q12" i="173"/>
  <c r="J39" i="127"/>
  <c r="S41" i="294"/>
  <c r="S48" i="294"/>
  <c r="T40" i="294"/>
  <c r="D34" i="238"/>
  <c r="N21" i="147"/>
  <c r="L22" i="147"/>
  <c r="N22" i="147"/>
  <c r="C12" i="140"/>
  <c r="P12" i="140"/>
  <c r="J15" i="137"/>
  <c r="Q18" i="140"/>
  <c r="I18" i="140"/>
  <c r="H17" i="147"/>
  <c r="J12" i="147"/>
  <c r="C8" i="173"/>
  <c r="C31" i="92"/>
  <c r="J26" i="147"/>
  <c r="F31" i="147"/>
  <c r="F35" i="147"/>
  <c r="D35" i="147"/>
  <c r="D62" i="147"/>
  <c r="C37" i="173"/>
  <c r="Y37" i="173"/>
  <c r="J25" i="147"/>
  <c r="C33" i="173"/>
  <c r="J24" i="147"/>
  <c r="J38" i="137"/>
  <c r="J42" i="137"/>
  <c r="H42" i="137"/>
  <c r="D41" i="174"/>
  <c r="D43" i="174"/>
  <c r="Y41" i="174"/>
  <c r="Q15" i="174"/>
  <c r="C17" i="174"/>
  <c r="I15" i="174"/>
  <c r="Y15" i="174"/>
  <c r="D15" i="174"/>
  <c r="D17" i="174"/>
  <c r="R15" i="174"/>
  <c r="Z15" i="174"/>
  <c r="C13" i="174"/>
  <c r="C63" i="174"/>
  <c r="Y63" i="174"/>
  <c r="Z11" i="174"/>
  <c r="P11" i="174"/>
  <c r="B45" i="230"/>
  <c r="I49" i="165"/>
  <c r="I57" i="165"/>
  <c r="E57" i="165"/>
  <c r="E61" i="165"/>
  <c r="P20" i="237"/>
  <c r="Q37" i="238"/>
  <c r="P37" i="238"/>
  <c r="D37" i="238"/>
  <c r="D39" i="238"/>
  <c r="Y37" i="238"/>
  <c r="D11" i="238"/>
  <c r="P11" i="238"/>
  <c r="Q11" i="238"/>
  <c r="R11" i="238"/>
  <c r="N24" i="147"/>
  <c r="L26" i="147"/>
  <c r="N26" i="147"/>
  <c r="D16" i="140"/>
  <c r="D18" i="140"/>
  <c r="I16" i="140"/>
  <c r="C27" i="140"/>
  <c r="H23" i="137"/>
  <c r="J23" i="137"/>
  <c r="C50" i="173"/>
  <c r="C55" i="173"/>
  <c r="C67" i="173"/>
  <c r="C69" i="173"/>
  <c r="B58" i="230"/>
  <c r="I45" i="174"/>
  <c r="C47" i="174"/>
  <c r="Y47" i="174"/>
  <c r="Y45" i="174"/>
  <c r="P45" i="174"/>
  <c r="C39" i="174"/>
  <c r="Z37" i="174"/>
  <c r="D37" i="174"/>
  <c r="D39" i="174"/>
  <c r="P37" i="174"/>
  <c r="D32" i="174"/>
  <c r="D34" i="174"/>
  <c r="Y32" i="174"/>
  <c r="Q32" i="174"/>
  <c r="D57" i="165"/>
  <c r="D61" i="165"/>
  <c r="D62" i="165"/>
  <c r="B35" i="166"/>
  <c r="C47" i="237"/>
  <c r="I45" i="237"/>
  <c r="D45" i="237"/>
  <c r="D47" i="237"/>
  <c r="Z32" i="237"/>
  <c r="C34" i="237"/>
  <c r="C34" i="238"/>
  <c r="I34" i="238"/>
  <c r="R32" i="238"/>
  <c r="C67" i="238"/>
  <c r="H70" i="167"/>
  <c r="H75" i="167"/>
  <c r="B39" i="168"/>
  <c r="H74" i="167"/>
  <c r="I73" i="239"/>
  <c r="G39" i="127"/>
  <c r="E22" i="309"/>
  <c r="Y11" i="238"/>
  <c r="R32" i="237"/>
  <c r="C71" i="238"/>
  <c r="C73" i="238"/>
  <c r="J27" i="147"/>
  <c r="C41" i="173"/>
  <c r="P41" i="173"/>
  <c r="D20" i="140"/>
  <c r="D22" i="140"/>
  <c r="P20" i="140"/>
  <c r="I20" i="140"/>
  <c r="I55" i="165"/>
  <c r="Y20" i="238"/>
  <c r="Y20" i="237"/>
  <c r="Z32" i="174"/>
  <c r="E60" i="165"/>
  <c r="I60" i="165"/>
  <c r="J22" i="137"/>
  <c r="I32" i="237"/>
  <c r="I32" i="238"/>
  <c r="T56" i="294"/>
  <c r="G21" i="309"/>
  <c r="C51" i="127"/>
  <c r="Z45" i="174"/>
  <c r="I11" i="174"/>
  <c r="I50" i="165"/>
  <c r="I68" i="167"/>
  <c r="E70" i="243"/>
  <c r="E75" i="243"/>
  <c r="B36" i="244"/>
  <c r="Y11" i="174"/>
  <c r="J45" i="62"/>
  <c r="J52" i="62"/>
  <c r="N50" i="147"/>
  <c r="N58" i="147"/>
  <c r="H46" i="147"/>
  <c r="H18" i="137"/>
  <c r="H44" i="137"/>
  <c r="H47" i="137"/>
  <c r="D11" i="174"/>
  <c r="D13" i="174"/>
  <c r="C57" i="165"/>
  <c r="C61" i="165"/>
  <c r="I53" i="165"/>
  <c r="I65" i="167"/>
  <c r="B41" i="240"/>
  <c r="E59" i="165"/>
  <c r="T57" i="294"/>
  <c r="G23" i="309"/>
  <c r="D36" i="140"/>
  <c r="D38" i="140"/>
  <c r="Q36" i="140"/>
  <c r="P36" i="140"/>
  <c r="P20" i="238"/>
  <c r="Z20" i="238"/>
  <c r="C14" i="173"/>
  <c r="Y12" i="173"/>
  <c r="F12" i="147"/>
  <c r="D17" i="147"/>
  <c r="D60" i="147"/>
  <c r="D63" i="147"/>
  <c r="H26" i="176"/>
  <c r="H58" i="176"/>
  <c r="H55" i="176"/>
  <c r="H40" i="176"/>
  <c r="H44" i="176"/>
  <c r="H43" i="176"/>
  <c r="H54" i="176"/>
  <c r="P12" i="173"/>
  <c r="C35" i="208"/>
  <c r="Z12" i="173"/>
  <c r="H21" i="62"/>
  <c r="J21" i="62"/>
  <c r="D22" i="137"/>
  <c r="J20" i="62"/>
  <c r="C39" i="208"/>
  <c r="I20" i="238"/>
  <c r="R17" i="238"/>
  <c r="Z17" i="238"/>
  <c r="E73" i="239"/>
  <c r="J25" i="62"/>
  <c r="J47" i="62"/>
  <c r="D38" i="137"/>
  <c r="H41" i="62"/>
  <c r="H56" i="62"/>
  <c r="C39" i="92"/>
  <c r="J40" i="62"/>
  <c r="F25" i="137"/>
  <c r="L46" i="147"/>
  <c r="L62" i="147"/>
  <c r="N45" i="147"/>
  <c r="N46" i="147"/>
  <c r="D28" i="147"/>
  <c r="D61" i="147"/>
  <c r="F22" i="147"/>
  <c r="F28" i="147"/>
  <c r="F61" i="147"/>
  <c r="C33" i="63"/>
  <c r="C40" i="140"/>
  <c r="P40" i="140"/>
  <c r="J28" i="137"/>
  <c r="P16" i="140"/>
  <c r="Q16" i="140"/>
  <c r="Q12" i="140"/>
  <c r="C14" i="140"/>
  <c r="I12" i="140"/>
  <c r="D8" i="140"/>
  <c r="D10" i="140"/>
  <c r="Q8" i="140"/>
  <c r="C10" i="140"/>
  <c r="C58" i="140"/>
  <c r="I8" i="140"/>
  <c r="H58" i="147"/>
  <c r="H43" i="147"/>
  <c r="F38" i="147"/>
  <c r="F43" i="147"/>
  <c r="S54" i="294"/>
  <c r="F22" i="309"/>
  <c r="T48" i="294"/>
  <c r="P32" i="174"/>
  <c r="C34" i="174"/>
  <c r="C67" i="174"/>
  <c r="Y67" i="174"/>
  <c r="I37" i="238"/>
  <c r="Z37" i="238"/>
  <c r="C39" i="238"/>
  <c r="R37" i="238"/>
  <c r="D34" i="137"/>
  <c r="F34" i="137"/>
  <c r="J37" i="62"/>
  <c r="D17" i="137"/>
  <c r="F17" i="137"/>
  <c r="J15" i="62"/>
  <c r="I36" i="140"/>
  <c r="C54" i="174"/>
  <c r="C59" i="174"/>
  <c r="C71" i="174"/>
  <c r="Y9" i="238"/>
  <c r="J16" i="147"/>
  <c r="C21" i="173"/>
  <c r="C32" i="140"/>
  <c r="D32" i="140"/>
  <c r="D34" i="140"/>
  <c r="H27" i="137"/>
  <c r="J27" i="137"/>
  <c r="R41" i="174"/>
  <c r="Z41" i="174"/>
  <c r="C43" i="174"/>
  <c r="Y43" i="174"/>
  <c r="I41" i="174"/>
  <c r="I7" i="238"/>
  <c r="C63" i="238"/>
  <c r="D70" i="167"/>
  <c r="D75" i="167"/>
  <c r="B35" i="168"/>
  <c r="D74" i="167"/>
  <c r="C14" i="247"/>
  <c r="C15" i="247"/>
  <c r="C19" i="247"/>
  <c r="X41" i="173"/>
  <c r="X28" i="173"/>
  <c r="J34" i="137"/>
  <c r="R45" i="174"/>
  <c r="J33" i="137"/>
  <c r="R12" i="140"/>
  <c r="J12" i="245"/>
  <c r="J14" i="245"/>
  <c r="J15" i="245"/>
  <c r="J13" i="245"/>
  <c r="J16" i="245"/>
  <c r="D57" i="230"/>
  <c r="F57" i="230"/>
  <c r="F48" i="230"/>
  <c r="J16" i="241"/>
  <c r="J14" i="241"/>
  <c r="J15" i="241"/>
  <c r="J12" i="241"/>
  <c r="J13" i="241"/>
  <c r="G69" i="290"/>
  <c r="M76" i="237"/>
  <c r="M65" i="237"/>
  <c r="P65" i="237"/>
  <c r="Y12" i="237"/>
  <c r="W64" i="237"/>
  <c r="J34" i="237"/>
  <c r="E48" i="237"/>
  <c r="J48" i="237"/>
  <c r="B48" i="219"/>
  <c r="D48" i="219"/>
  <c r="M30" i="219"/>
  <c r="M23" i="219"/>
  <c r="M24" i="219"/>
  <c r="L93" i="192"/>
  <c r="X13" i="290"/>
  <c r="Z13" i="290"/>
  <c r="Q13" i="290"/>
  <c r="V65" i="174"/>
  <c r="V75" i="174"/>
  <c r="V77" i="174"/>
  <c r="S65" i="290"/>
  <c r="W65" i="290"/>
  <c r="Y65" i="290"/>
  <c r="S75" i="290"/>
  <c r="S77" i="290"/>
  <c r="X42" i="290"/>
  <c r="Z42" i="290"/>
  <c r="N43" i="290"/>
  <c r="Q42" i="290"/>
  <c r="N68" i="290"/>
  <c r="N69" i="290"/>
  <c r="G43" i="290"/>
  <c r="J42" i="290"/>
  <c r="O43" i="290"/>
  <c r="R43" i="290"/>
  <c r="R41" i="290"/>
  <c r="E39" i="290"/>
  <c r="J39" i="290"/>
  <c r="E68" i="290"/>
  <c r="E76" i="290"/>
  <c r="D38" i="290"/>
  <c r="D68" i="290"/>
  <c r="G68" i="290"/>
  <c r="J33" i="290"/>
  <c r="O34" i="290"/>
  <c r="R34" i="290"/>
  <c r="R32" i="290"/>
  <c r="D32" i="290"/>
  <c r="J32" i="290"/>
  <c r="E34" i="290"/>
  <c r="Q18" i="290"/>
  <c r="N63" i="290"/>
  <c r="X18" i="290"/>
  <c r="Z18" i="290"/>
  <c r="U65" i="290"/>
  <c r="U75" i="290"/>
  <c r="U77" i="290"/>
  <c r="J8" i="290"/>
  <c r="G64" i="290"/>
  <c r="O9" i="290"/>
  <c r="O63" i="290"/>
  <c r="G9" i="290"/>
  <c r="M30" i="196"/>
  <c r="M27" i="196"/>
  <c r="M23" i="196"/>
  <c r="B48" i="196"/>
  <c r="D48" i="196"/>
  <c r="M33" i="123"/>
  <c r="K27" i="218"/>
  <c r="B46" i="218"/>
  <c r="D46" i="218"/>
  <c r="K24" i="218"/>
  <c r="L27" i="221"/>
  <c r="L24" i="221"/>
  <c r="B46" i="221"/>
  <c r="D46" i="221"/>
  <c r="B47" i="220"/>
  <c r="D47" i="220"/>
  <c r="L24" i="220"/>
  <c r="M27" i="216"/>
  <c r="M24" i="216"/>
  <c r="K33" i="115"/>
  <c r="K32" i="115"/>
  <c r="H60" i="115"/>
  <c r="D50" i="231"/>
  <c r="D63" i="102"/>
  <c r="D68" i="102"/>
  <c r="D71" i="102"/>
  <c r="D77" i="102"/>
  <c r="U28" i="237"/>
  <c r="W13" i="237"/>
  <c r="Y13" i="237"/>
  <c r="O69" i="174"/>
  <c r="W23" i="173"/>
  <c r="N24" i="173"/>
  <c r="N65" i="290"/>
  <c r="N76" i="290"/>
  <c r="X76" i="290"/>
  <c r="Z76" i="290"/>
  <c r="V39" i="173"/>
  <c r="I27" i="94"/>
  <c r="E28" i="94"/>
  <c r="I31" i="142"/>
  <c r="I39" i="142"/>
  <c r="C34" i="142"/>
  <c r="K20" i="115"/>
  <c r="M34" i="237"/>
  <c r="P32" i="237"/>
  <c r="W32" i="237"/>
  <c r="Y32" i="237"/>
  <c r="D32" i="237"/>
  <c r="J32" i="237"/>
  <c r="E67" i="237"/>
  <c r="J20" i="110"/>
  <c r="H45" i="110"/>
  <c r="M23" i="237"/>
  <c r="W22" i="237"/>
  <c r="Y22" i="237"/>
  <c r="P22" i="237"/>
  <c r="X21" i="237"/>
  <c r="Z21" i="237"/>
  <c r="J21" i="109"/>
  <c r="N23" i="237"/>
  <c r="D37" i="247"/>
  <c r="J21" i="237"/>
  <c r="G23" i="237"/>
  <c r="Q16" i="237"/>
  <c r="N64" i="237"/>
  <c r="M21" i="87"/>
  <c r="J16" i="237"/>
  <c r="G64" i="237"/>
  <c r="G76" i="237"/>
  <c r="G77" i="237"/>
  <c r="G17" i="237"/>
  <c r="J17" i="237"/>
  <c r="M26" i="83"/>
  <c r="M27" i="83"/>
  <c r="F17" i="237"/>
  <c r="O63" i="237"/>
  <c r="O13" i="237"/>
  <c r="G25" i="295"/>
  <c r="G27" i="295"/>
  <c r="E38" i="300"/>
  <c r="J15" i="140"/>
  <c r="M24" i="86"/>
  <c r="M29" i="86"/>
  <c r="O76" i="238"/>
  <c r="H48" i="83"/>
  <c r="M23" i="83"/>
  <c r="W67" i="237"/>
  <c r="Y67" i="237"/>
  <c r="M69" i="237"/>
  <c r="P67" i="237"/>
  <c r="M75" i="237"/>
  <c r="M77" i="237"/>
  <c r="J29" i="125"/>
  <c r="H59" i="125"/>
  <c r="J32" i="125"/>
  <c r="B60" i="115"/>
  <c r="K30" i="115"/>
  <c r="K31" i="115"/>
  <c r="L21" i="120"/>
  <c r="K24" i="120"/>
  <c r="F28" i="174"/>
  <c r="L31" i="111"/>
  <c r="L27" i="111"/>
  <c r="K27" i="116"/>
  <c r="K31" i="116"/>
  <c r="L28" i="120"/>
  <c r="B58" i="120"/>
  <c r="D58" i="120"/>
  <c r="K48" i="163"/>
  <c r="K50" i="163"/>
  <c r="K52" i="163"/>
  <c r="K56" i="163"/>
  <c r="K31" i="120"/>
  <c r="G60" i="102"/>
  <c r="G28" i="102"/>
  <c r="K20" i="111"/>
  <c r="M57" i="102"/>
  <c r="K27" i="111"/>
  <c r="K31" i="111"/>
  <c r="C57" i="102"/>
  <c r="C21" i="102"/>
  <c r="D33" i="175"/>
  <c r="N17" i="102"/>
  <c r="M34" i="140"/>
  <c r="J32" i="140"/>
  <c r="G71" i="140"/>
  <c r="F23" i="140"/>
  <c r="J37" i="173"/>
  <c r="G39" i="173"/>
  <c r="J39" i="173"/>
  <c r="G63" i="173"/>
  <c r="J34" i="173"/>
  <c r="T75" i="174"/>
  <c r="X75" i="174"/>
  <c r="T65" i="174"/>
  <c r="X65" i="174"/>
  <c r="D46" i="174"/>
  <c r="E47" i="174"/>
  <c r="E48" i="174"/>
  <c r="J46" i="174"/>
  <c r="I38" i="300"/>
  <c r="D38" i="300"/>
  <c r="H15" i="300"/>
  <c r="I15" i="300"/>
  <c r="F15" i="300"/>
  <c r="E18" i="140"/>
  <c r="J18" i="140"/>
  <c r="B47" i="199"/>
  <c r="D47" i="199"/>
  <c r="K27" i="199"/>
  <c r="L32" i="116"/>
  <c r="L29" i="116"/>
  <c r="H61" i="116"/>
  <c r="L33" i="116"/>
  <c r="B64" i="86"/>
  <c r="M30" i="86"/>
  <c r="X13" i="292"/>
  <c r="X28" i="292"/>
  <c r="T28" i="292"/>
  <c r="V77" i="238"/>
  <c r="X77" i="238"/>
  <c r="X75" i="238"/>
  <c r="G65" i="237"/>
  <c r="L30" i="111"/>
  <c r="M28" i="111"/>
  <c r="X13" i="174"/>
  <c r="N28" i="174"/>
  <c r="Q9" i="290"/>
  <c r="X9" i="290"/>
  <c r="Z9" i="290"/>
  <c r="H43" i="136"/>
  <c r="W28" i="238"/>
  <c r="X67" i="237"/>
  <c r="Z67" i="237"/>
  <c r="Q67" i="237"/>
  <c r="P13" i="102"/>
  <c r="X43" i="174"/>
  <c r="J55" i="213"/>
  <c r="D28" i="290"/>
  <c r="D54" i="247"/>
  <c r="D56" i="247"/>
  <c r="K33" i="102"/>
  <c r="G33" i="102"/>
  <c r="G42" i="102"/>
  <c r="F22" i="140"/>
  <c r="I22" i="140"/>
  <c r="N39" i="173"/>
  <c r="Q37" i="173"/>
  <c r="D33" i="176"/>
  <c r="D35" i="176"/>
  <c r="N59" i="173"/>
  <c r="O14" i="173"/>
  <c r="O24" i="173"/>
  <c r="N23" i="174"/>
  <c r="Q22" i="174"/>
  <c r="I33" i="139"/>
  <c r="I39" i="139"/>
  <c r="E39" i="139"/>
  <c r="Q18" i="237"/>
  <c r="N20" i="237"/>
  <c r="F67" i="290"/>
  <c r="F69" i="290"/>
  <c r="D45" i="290"/>
  <c r="D47" i="290"/>
  <c r="E47" i="290"/>
  <c r="Z19" i="290"/>
  <c r="H26" i="132"/>
  <c r="I46" i="238"/>
  <c r="F68" i="238"/>
  <c r="J77" i="238"/>
  <c r="K52" i="192"/>
  <c r="D56" i="232"/>
  <c r="O62" i="102"/>
  <c r="O70" i="102"/>
  <c r="G62" i="102"/>
  <c r="G70" i="102"/>
  <c r="G63" i="140"/>
  <c r="N62" i="140"/>
  <c r="G29" i="140"/>
  <c r="J29" i="140"/>
  <c r="D69" i="140"/>
  <c r="D48" i="231"/>
  <c r="W38" i="173"/>
  <c r="Y38" i="173"/>
  <c r="G43" i="174"/>
  <c r="J43" i="174"/>
  <c r="G68" i="174"/>
  <c r="G69" i="174"/>
  <c r="J11" i="185"/>
  <c r="K11" i="185"/>
  <c r="G13" i="237"/>
  <c r="J12" i="237"/>
  <c r="F63" i="237"/>
  <c r="F75" i="237"/>
  <c r="J38" i="290"/>
  <c r="P8" i="290"/>
  <c r="W8" i="290"/>
  <c r="E31" i="212"/>
  <c r="O69" i="102"/>
  <c r="M23" i="140"/>
  <c r="F25" i="136"/>
  <c r="H25" i="136"/>
  <c r="H25" i="206"/>
  <c r="H27" i="206"/>
  <c r="N41" i="102"/>
  <c r="Q41" i="102"/>
  <c r="R12" i="102"/>
  <c r="Z18" i="174"/>
  <c r="O23" i="290"/>
  <c r="R23" i="290"/>
  <c r="R21" i="290"/>
  <c r="K64" i="290"/>
  <c r="F33" i="102"/>
  <c r="I33" i="102"/>
  <c r="F17" i="102"/>
  <c r="I17" i="102"/>
  <c r="M17" i="102"/>
  <c r="P17" i="102"/>
  <c r="E17" i="102"/>
  <c r="G42" i="140"/>
  <c r="F62" i="140"/>
  <c r="F70" i="140"/>
  <c r="G10" i="140"/>
  <c r="J10" i="140"/>
  <c r="K43" i="173"/>
  <c r="E23" i="173"/>
  <c r="S77" i="174"/>
  <c r="W77" i="174"/>
  <c r="O20" i="174"/>
  <c r="O28" i="174"/>
  <c r="I28" i="94"/>
  <c r="M68" i="290"/>
  <c r="O13" i="290"/>
  <c r="R13" i="290"/>
  <c r="I53" i="192"/>
  <c r="J85" i="213"/>
  <c r="J87" i="213"/>
  <c r="J91" i="213"/>
  <c r="J93" i="213"/>
  <c r="V63" i="308"/>
  <c r="V65" i="308"/>
  <c r="B62" i="214"/>
  <c r="D62" i="214"/>
  <c r="K32" i="217"/>
  <c r="K33" i="218"/>
  <c r="M15" i="218"/>
  <c r="K29" i="219"/>
  <c r="B61" i="219"/>
  <c r="D61" i="219"/>
  <c r="L33" i="219"/>
  <c r="K32" i="219"/>
  <c r="I15" i="301"/>
  <c r="I25" i="301"/>
  <c r="I27" i="301"/>
  <c r="K32" i="196"/>
  <c r="L31" i="196"/>
  <c r="M32" i="196"/>
  <c r="K33" i="196"/>
  <c r="B89" i="199"/>
  <c r="D89" i="199"/>
  <c r="K33" i="200"/>
  <c r="K32" i="200"/>
  <c r="L29" i="203"/>
  <c r="D59" i="102"/>
  <c r="M61" i="102"/>
  <c r="P61" i="102"/>
  <c r="M28" i="102"/>
  <c r="P28" i="102"/>
  <c r="K28" i="102"/>
  <c r="E28" i="102"/>
  <c r="D21" i="102"/>
  <c r="D17" i="102"/>
  <c r="D13" i="102"/>
  <c r="D22" i="102"/>
  <c r="M61" i="140"/>
  <c r="D61" i="140"/>
  <c r="M58" i="140"/>
  <c r="J41" i="173"/>
  <c r="O35" i="173"/>
  <c r="F30" i="173"/>
  <c r="O23" i="173"/>
  <c r="Q18" i="173"/>
  <c r="K19" i="173"/>
  <c r="K24" i="173"/>
  <c r="S14" i="173"/>
  <c r="G20" i="174"/>
  <c r="G28" i="174"/>
  <c r="E23" i="237"/>
  <c r="N17" i="237"/>
  <c r="F47" i="290"/>
  <c r="P37" i="290"/>
  <c r="P33" i="290"/>
  <c r="G34" i="290"/>
  <c r="E20" i="290"/>
  <c r="E17" i="290"/>
  <c r="V75" i="292"/>
  <c r="V77" i="292"/>
  <c r="X77" i="292"/>
  <c r="U13" i="293"/>
  <c r="L31" i="192"/>
  <c r="L53" i="192"/>
  <c r="B88" i="215"/>
  <c r="D88" i="215"/>
  <c r="O13" i="300"/>
  <c r="M15" i="197"/>
  <c r="M24" i="197"/>
  <c r="L15" i="201"/>
  <c r="T15" i="295"/>
  <c r="T25" i="295"/>
  <c r="T15" i="299"/>
  <c r="T25" i="299"/>
  <c r="E37" i="102"/>
  <c r="J37" i="102"/>
  <c r="C58" i="102"/>
  <c r="N57" i="102"/>
  <c r="O17" i="102"/>
  <c r="O13" i="102"/>
  <c r="O22" i="102"/>
  <c r="G13" i="102"/>
  <c r="C13" i="102"/>
  <c r="K10" i="140"/>
  <c r="K23" i="140"/>
  <c r="F43" i="173"/>
  <c r="O59" i="173"/>
  <c r="O61" i="173"/>
  <c r="D19" i="173"/>
  <c r="I42" i="174"/>
  <c r="P19" i="174"/>
  <c r="J22" i="237"/>
  <c r="N13" i="237"/>
  <c r="P12" i="237"/>
  <c r="O64" i="290"/>
  <c r="G48" i="238"/>
  <c r="J48" i="238"/>
  <c r="J33" i="238"/>
  <c r="X16" i="238"/>
  <c r="K31" i="192"/>
  <c r="K53" i="192"/>
  <c r="L31" i="213"/>
  <c r="L53" i="213"/>
  <c r="W11" i="308"/>
  <c r="W63" i="308"/>
  <c r="L31" i="214"/>
  <c r="M15" i="215"/>
  <c r="K29" i="217"/>
  <c r="K31" i="219"/>
  <c r="K33" i="199"/>
  <c r="M29" i="200"/>
  <c r="J31" i="192"/>
  <c r="J52" i="192"/>
  <c r="I15" i="192"/>
  <c r="I52" i="192"/>
  <c r="I55" i="192"/>
  <c r="K15" i="215"/>
  <c r="M29" i="217"/>
  <c r="L33" i="218"/>
  <c r="B60" i="219"/>
  <c r="D60" i="219"/>
  <c r="L32" i="219"/>
  <c r="B90" i="220"/>
  <c r="D90" i="220"/>
  <c r="K29" i="220"/>
  <c r="M15" i="223"/>
  <c r="B48" i="223"/>
  <c r="D48" i="223"/>
  <c r="L15" i="223"/>
  <c r="B47" i="223"/>
  <c r="D47" i="223"/>
  <c r="J50" i="299"/>
  <c r="K15" i="200"/>
  <c r="T22" i="301"/>
  <c r="T26" i="301"/>
  <c r="T27" i="301"/>
  <c r="V22" i="295"/>
  <c r="V26" i="295"/>
  <c r="V27" i="295"/>
  <c r="K17" i="306"/>
  <c r="O23" i="307"/>
  <c r="R20" i="307"/>
  <c r="R19" i="307"/>
  <c r="R21" i="307"/>
  <c r="R22" i="307"/>
  <c r="R23" i="307"/>
  <c r="R23" i="313"/>
  <c r="R19" i="313"/>
  <c r="R20" i="313"/>
  <c r="R22" i="313"/>
  <c r="R21" i="313"/>
  <c r="O23" i="313"/>
  <c r="O23" i="311"/>
  <c r="R19" i="311"/>
  <c r="R22" i="311"/>
  <c r="R21" i="311"/>
  <c r="R20" i="311"/>
  <c r="G23" i="127"/>
  <c r="R21" i="294"/>
  <c r="G22" i="127"/>
  <c r="R20" i="294"/>
  <c r="K23" i="307"/>
  <c r="G51" i="306"/>
  <c r="U43" i="295"/>
  <c r="U53" i="295"/>
  <c r="E50" i="334"/>
  <c r="E52" i="334"/>
  <c r="G49" i="334"/>
  <c r="T27" i="295"/>
  <c r="U50" i="295"/>
  <c r="U54" i="295"/>
  <c r="T43" i="299"/>
  <c r="T53" i="299"/>
  <c r="V37" i="299"/>
  <c r="V43" i="299"/>
  <c r="V53" i="299"/>
  <c r="T27" i="297"/>
  <c r="T27" i="299"/>
  <c r="U27" i="297"/>
  <c r="U50" i="299"/>
  <c r="U54" i="299"/>
  <c r="V50" i="299"/>
  <c r="V54" i="299"/>
  <c r="V27" i="301"/>
  <c r="E35" i="332"/>
  <c r="E37" i="332"/>
  <c r="U43" i="299"/>
  <c r="U53" i="299"/>
  <c r="U55" i="299"/>
  <c r="V27" i="297"/>
  <c r="K17" i="313"/>
  <c r="Q17" i="313"/>
  <c r="G51" i="313"/>
  <c r="K23" i="313"/>
  <c r="K23" i="306"/>
  <c r="H51" i="311"/>
  <c r="J51" i="311"/>
  <c r="G51" i="311"/>
  <c r="K23" i="318"/>
  <c r="G51" i="318"/>
  <c r="E51" i="312"/>
  <c r="K17" i="312"/>
  <c r="G51" i="312"/>
  <c r="K33" i="318"/>
  <c r="J33" i="129"/>
  <c r="T31" i="298"/>
  <c r="J32" i="129"/>
  <c r="T30" i="298"/>
  <c r="J30" i="129"/>
  <c r="T32" i="298"/>
  <c r="F51" i="312"/>
  <c r="J51" i="312"/>
  <c r="T48" i="298"/>
  <c r="K38" i="312"/>
  <c r="J39" i="129"/>
  <c r="K23" i="312"/>
  <c r="I25" i="295"/>
  <c r="I27" i="295"/>
  <c r="I15" i="296"/>
  <c r="X69" i="290"/>
  <c r="Z69" i="290"/>
  <c r="Q69" i="290"/>
  <c r="D39" i="97"/>
  <c r="D57" i="232"/>
  <c r="F57" i="232"/>
  <c r="F48" i="232"/>
  <c r="D37" i="296"/>
  <c r="D53" i="295"/>
  <c r="D55" i="295"/>
  <c r="H37" i="296"/>
  <c r="H53" i="295"/>
  <c r="H55" i="295"/>
  <c r="E36" i="212"/>
  <c r="D39" i="144"/>
  <c r="D37" i="144"/>
  <c r="D34" i="144"/>
  <c r="D35" i="144"/>
  <c r="D38" i="144"/>
  <c r="D36" i="144"/>
  <c r="J55" i="295"/>
  <c r="G38" i="300"/>
  <c r="G60" i="298"/>
  <c r="O38" i="300"/>
  <c r="O53" i="299"/>
  <c r="O55" i="299"/>
  <c r="Q65" i="290"/>
  <c r="X65" i="290"/>
  <c r="Z65" i="290"/>
  <c r="Q57" i="102"/>
  <c r="P57" i="102"/>
  <c r="O60" i="102"/>
  <c r="O28" i="102"/>
  <c r="J19" i="193"/>
  <c r="J20" i="193"/>
  <c r="J34" i="193"/>
  <c r="J37" i="193"/>
  <c r="K23" i="111"/>
  <c r="D30" i="189"/>
  <c r="N21" i="102"/>
  <c r="Q21" i="102"/>
  <c r="F21" i="102"/>
  <c r="I21" i="102"/>
  <c r="F56" i="102"/>
  <c r="Q17" i="102"/>
  <c r="J47" i="174"/>
  <c r="G48" i="174"/>
  <c r="J48" i="174"/>
  <c r="Q47" i="290"/>
  <c r="X47" i="290"/>
  <c r="Z47" i="290"/>
  <c r="R45" i="290"/>
  <c r="O47" i="290"/>
  <c r="O67" i="290"/>
  <c r="L23" i="201"/>
  <c r="B47" i="201"/>
  <c r="D47" i="201"/>
  <c r="L24" i="201"/>
  <c r="L30" i="201"/>
  <c r="G48" i="332"/>
  <c r="G46" i="332"/>
  <c r="G47" i="332"/>
  <c r="G49" i="332"/>
  <c r="J24" i="241"/>
  <c r="J20" i="245"/>
  <c r="D75" i="290"/>
  <c r="D77" i="290"/>
  <c r="L33" i="120"/>
  <c r="J23" i="110"/>
  <c r="M31" i="123"/>
  <c r="C42" i="211"/>
  <c r="Q68" i="290"/>
  <c r="L31" i="120"/>
  <c r="L30" i="123"/>
  <c r="M48" i="290"/>
  <c r="P48" i="290"/>
  <c r="Q64" i="290"/>
  <c r="H65" i="87"/>
  <c r="W64" i="238"/>
  <c r="L23" i="203"/>
  <c r="N29" i="86"/>
  <c r="M65" i="173"/>
  <c r="E29" i="211"/>
  <c r="E31" i="211"/>
  <c r="E36" i="211"/>
  <c r="G59" i="102"/>
  <c r="I29" i="110"/>
  <c r="W13" i="174"/>
  <c r="P39" i="290"/>
  <c r="M31" i="87"/>
  <c r="X68" i="290"/>
  <c r="Z68" i="290"/>
  <c r="B41" i="97"/>
  <c r="D36" i="97"/>
  <c r="M32" i="86"/>
  <c r="M33" i="86"/>
  <c r="J9" i="238"/>
  <c r="E28" i="238"/>
  <c r="J23" i="238"/>
  <c r="G28" i="238"/>
  <c r="J28" i="238"/>
  <c r="M23" i="202"/>
  <c r="M30" i="202"/>
  <c r="B48" i="202"/>
  <c r="D48" i="202"/>
  <c r="B48" i="214"/>
  <c r="D48" i="214"/>
  <c r="M24" i="214"/>
  <c r="M30" i="214"/>
  <c r="M27" i="214"/>
  <c r="M23" i="217"/>
  <c r="M27" i="217"/>
  <c r="B49" i="217"/>
  <c r="D49" i="217"/>
  <c r="M30" i="217"/>
  <c r="I50" i="95"/>
  <c r="I41" i="102"/>
  <c r="J41" i="102"/>
  <c r="F48" i="174"/>
  <c r="B58" i="123"/>
  <c r="D58" i="123"/>
  <c r="K31" i="123"/>
  <c r="K30" i="123"/>
  <c r="C60" i="102"/>
  <c r="C37" i="102"/>
  <c r="D36" i="178"/>
  <c r="N33" i="102"/>
  <c r="Q33" i="102"/>
  <c r="M70" i="102"/>
  <c r="P58" i="102"/>
  <c r="E9" i="102"/>
  <c r="E58" i="102"/>
  <c r="M9" i="102"/>
  <c r="F57" i="102"/>
  <c r="F9" i="102"/>
  <c r="O62" i="140"/>
  <c r="O29" i="140"/>
  <c r="O43" i="140"/>
  <c r="W14" i="173"/>
  <c r="S24" i="173"/>
  <c r="E14" i="173"/>
  <c r="E59" i="173"/>
  <c r="J12" i="173"/>
  <c r="D12" i="173"/>
  <c r="G10" i="173"/>
  <c r="J8" i="173"/>
  <c r="G59" i="173"/>
  <c r="K37" i="185"/>
  <c r="J44" i="185"/>
  <c r="K9" i="187"/>
  <c r="J50" i="187"/>
  <c r="N68" i="237"/>
  <c r="K21" i="116"/>
  <c r="N34" i="237"/>
  <c r="D48" i="249"/>
  <c r="D52" i="249"/>
  <c r="X33" i="237"/>
  <c r="Z33" i="237"/>
  <c r="Q33" i="237"/>
  <c r="J53" i="299"/>
  <c r="E15" i="300"/>
  <c r="J27" i="241"/>
  <c r="J27" i="245"/>
  <c r="E38" i="140"/>
  <c r="W76" i="237"/>
  <c r="D30" i="212"/>
  <c r="D29" i="212"/>
  <c r="D31" i="212"/>
  <c r="D36" i="212"/>
  <c r="D42" i="212"/>
  <c r="L29" i="120"/>
  <c r="L29" i="123"/>
  <c r="X76" i="174"/>
  <c r="C59" i="102"/>
  <c r="W23" i="174"/>
  <c r="Y23" i="174"/>
  <c r="O48" i="174"/>
  <c r="L27" i="203"/>
  <c r="B46" i="203"/>
  <c r="D46" i="203"/>
  <c r="Y17" i="238"/>
  <c r="N24" i="87"/>
  <c r="M71" i="173"/>
  <c r="E75" i="290"/>
  <c r="E77" i="290"/>
  <c r="J77" i="290"/>
  <c r="M28" i="120"/>
  <c r="H57" i="110"/>
  <c r="M23" i="87"/>
  <c r="K75" i="193"/>
  <c r="R9" i="290"/>
  <c r="O48" i="238"/>
  <c r="N56" i="102"/>
  <c r="M61" i="173"/>
  <c r="L20" i="111"/>
  <c r="X23" i="237"/>
  <c r="Z23" i="237"/>
  <c r="Q23" i="237"/>
  <c r="W68" i="238"/>
  <c r="P68" i="238"/>
  <c r="E69" i="237"/>
  <c r="C65" i="102"/>
  <c r="C48" i="102"/>
  <c r="C53" i="102"/>
  <c r="M60" i="102"/>
  <c r="M41" i="102"/>
  <c r="P41" i="102"/>
  <c r="E63" i="102"/>
  <c r="E68" i="102"/>
  <c r="J33" i="140"/>
  <c r="E63" i="140"/>
  <c r="M43" i="173"/>
  <c r="F64" i="173"/>
  <c r="F39" i="173"/>
  <c r="V34" i="173"/>
  <c r="M35" i="173"/>
  <c r="O30" i="173"/>
  <c r="O44" i="173"/>
  <c r="O63" i="173"/>
  <c r="O65" i="173"/>
  <c r="J21" i="173"/>
  <c r="G23" i="173"/>
  <c r="J23" i="173"/>
  <c r="M19" i="173"/>
  <c r="V18" i="173"/>
  <c r="X18" i="173"/>
  <c r="P18" i="173"/>
  <c r="I18" i="173"/>
  <c r="F19" i="173"/>
  <c r="O71" i="173"/>
  <c r="O73" i="173"/>
  <c r="W9" i="237"/>
  <c r="P9" i="237"/>
  <c r="N9" i="237"/>
  <c r="N63" i="237"/>
  <c r="M21" i="82"/>
  <c r="D29" i="247"/>
  <c r="X7" i="237"/>
  <c r="W47" i="238"/>
  <c r="F27" i="253"/>
  <c r="F31" i="253"/>
  <c r="D34" i="178"/>
  <c r="N58" i="102"/>
  <c r="D39" i="178"/>
  <c r="J26" i="110"/>
  <c r="I22" i="237"/>
  <c r="F23" i="237"/>
  <c r="F64" i="237"/>
  <c r="K67" i="290"/>
  <c r="K69" i="290"/>
  <c r="K47" i="290"/>
  <c r="X11" i="308"/>
  <c r="X63" i="308"/>
  <c r="T13" i="308"/>
  <c r="T63" i="308"/>
  <c r="M30" i="197"/>
  <c r="M23" i="197"/>
  <c r="M27" i="197"/>
  <c r="B47" i="197"/>
  <c r="D47" i="197"/>
  <c r="G32" i="334"/>
  <c r="G34" i="334"/>
  <c r="G31" i="334"/>
  <c r="G30" i="334"/>
  <c r="M29" i="123"/>
  <c r="Q76" i="290"/>
  <c r="M30" i="123"/>
  <c r="P23" i="174"/>
  <c r="I24" i="110"/>
  <c r="F23" i="132"/>
  <c r="N30" i="87"/>
  <c r="N31" i="87"/>
  <c r="M29" i="87"/>
  <c r="L27" i="201"/>
  <c r="L27" i="197"/>
  <c r="L24" i="197"/>
  <c r="B46" i="197"/>
  <c r="D46" i="197"/>
  <c r="H17" i="206"/>
  <c r="H20" i="206"/>
  <c r="F20" i="206"/>
  <c r="F43" i="206"/>
  <c r="F17" i="136"/>
  <c r="H17" i="136"/>
  <c r="M43" i="140"/>
  <c r="M62" i="140"/>
  <c r="J40" i="140"/>
  <c r="Q37" i="140"/>
  <c r="N38" i="140"/>
  <c r="N63" i="140"/>
  <c r="N64" i="140"/>
  <c r="F63" i="140"/>
  <c r="I37" i="140"/>
  <c r="E59" i="140"/>
  <c r="D13" i="140"/>
  <c r="Q7" i="140"/>
  <c r="N57" i="140"/>
  <c r="N10" i="140"/>
  <c r="F57" i="140"/>
  <c r="I7" i="140"/>
  <c r="S61" i="173"/>
  <c r="S71" i="173"/>
  <c r="W59" i="173"/>
  <c r="B58" i="109"/>
  <c r="J31" i="109"/>
  <c r="D19" i="237"/>
  <c r="E64" i="237"/>
  <c r="E76" i="237"/>
  <c r="Z18" i="237"/>
  <c r="E20" i="237"/>
  <c r="U65" i="237"/>
  <c r="W65" i="237"/>
  <c r="Y65" i="237"/>
  <c r="U75" i="237"/>
  <c r="U77" i="237"/>
  <c r="K13" i="237"/>
  <c r="K28" i="237"/>
  <c r="M28" i="83"/>
  <c r="J11" i="237"/>
  <c r="E63" i="237"/>
  <c r="E13" i="237"/>
  <c r="K68" i="290"/>
  <c r="K76" i="290"/>
  <c r="K39" i="290"/>
  <c r="X22" i="290"/>
  <c r="Q22" i="290"/>
  <c r="Q46" i="238"/>
  <c r="X46" i="238"/>
  <c r="Z46" i="238"/>
  <c r="H21" i="132"/>
  <c r="W38" i="238"/>
  <c r="Y38" i="238"/>
  <c r="P38" i="238"/>
  <c r="L20" i="122"/>
  <c r="C64" i="102"/>
  <c r="H38" i="125"/>
  <c r="J38" i="125"/>
  <c r="M37" i="102"/>
  <c r="M33" i="102"/>
  <c r="P33" i="102"/>
  <c r="K20" i="120"/>
  <c r="G17" i="102"/>
  <c r="M63" i="140"/>
  <c r="K29" i="140"/>
  <c r="O22" i="140"/>
  <c r="O23" i="140"/>
  <c r="J12" i="140"/>
  <c r="M70" i="140"/>
  <c r="J42" i="173"/>
  <c r="G64" i="173"/>
  <c r="G65" i="173"/>
  <c r="G43" i="173"/>
  <c r="F26" i="132"/>
  <c r="I46" i="174"/>
  <c r="J22" i="174"/>
  <c r="I27" i="139"/>
  <c r="E37" i="139"/>
  <c r="O34" i="237"/>
  <c r="O67" i="237"/>
  <c r="D35" i="249"/>
  <c r="D39" i="249"/>
  <c r="X16" i="237"/>
  <c r="J18" i="290"/>
  <c r="N17" i="290"/>
  <c r="X15" i="290"/>
  <c r="K43" i="140"/>
  <c r="F28" i="102"/>
  <c r="F61" i="102"/>
  <c r="F63" i="102"/>
  <c r="G61" i="140"/>
  <c r="P17" i="173"/>
  <c r="V17" i="173"/>
  <c r="X17" i="173"/>
  <c r="F60" i="173"/>
  <c r="D45" i="174"/>
  <c r="J45" i="174"/>
  <c r="J18" i="237"/>
  <c r="G20" i="237"/>
  <c r="G28" i="237"/>
  <c r="F71" i="140"/>
  <c r="K37" i="102"/>
  <c r="O37" i="102"/>
  <c r="O42" i="102"/>
  <c r="E33" i="102"/>
  <c r="E42" i="102"/>
  <c r="J42" i="102"/>
  <c r="C62" i="102"/>
  <c r="D35" i="175"/>
  <c r="D39" i="175"/>
  <c r="N61" i="102"/>
  <c r="D28" i="102"/>
  <c r="D42" i="102"/>
  <c r="J13" i="102"/>
  <c r="D27" i="189"/>
  <c r="D35" i="189"/>
  <c r="N9" i="102"/>
  <c r="J37" i="140"/>
  <c r="D37" i="140"/>
  <c r="F38" i="140"/>
  <c r="I38" i="140"/>
  <c r="E62" i="140"/>
  <c r="E58" i="140"/>
  <c r="D12" i="140"/>
  <c r="R72" i="173"/>
  <c r="R61" i="173"/>
  <c r="K30" i="173"/>
  <c r="K44" i="173"/>
  <c r="D22" i="174"/>
  <c r="E23" i="174"/>
  <c r="J23" i="174"/>
  <c r="J50" i="183"/>
  <c r="M21" i="102"/>
  <c r="P21" i="102"/>
  <c r="G14" i="140"/>
  <c r="W17" i="173"/>
  <c r="Y17" i="173"/>
  <c r="Q45" i="174"/>
  <c r="I26" i="110"/>
  <c r="D26" i="253"/>
  <c r="E13" i="174"/>
  <c r="G41" i="137"/>
  <c r="H45" i="94"/>
  <c r="I44" i="94"/>
  <c r="I29" i="142"/>
  <c r="X15" i="237"/>
  <c r="Z15" i="237"/>
  <c r="D35" i="247"/>
  <c r="Q38" i="290"/>
  <c r="W33" i="290"/>
  <c r="Y33" i="290"/>
  <c r="O20" i="290"/>
  <c r="R12" i="290"/>
  <c r="M9" i="290"/>
  <c r="W7" i="290"/>
  <c r="K26" i="110"/>
  <c r="I22" i="238"/>
  <c r="V13" i="293"/>
  <c r="V63" i="293"/>
  <c r="L58" i="193"/>
  <c r="L72" i="193"/>
  <c r="L75" i="193"/>
  <c r="K31" i="193"/>
  <c r="K35" i="193"/>
  <c r="G46" i="334"/>
  <c r="J12" i="238"/>
  <c r="G64" i="238"/>
  <c r="G76" i="238"/>
  <c r="V13" i="238"/>
  <c r="V28" i="238"/>
  <c r="X11" i="238"/>
  <c r="S65" i="308"/>
  <c r="S75" i="308"/>
  <c r="N39" i="290"/>
  <c r="K76" i="192"/>
  <c r="K90" i="192"/>
  <c r="K93" i="192"/>
  <c r="I37" i="192"/>
  <c r="K15" i="213"/>
  <c r="K52" i="213"/>
  <c r="K55" i="213"/>
  <c r="V43" i="295"/>
  <c r="V53" i="295"/>
  <c r="K33" i="216"/>
  <c r="K12" i="193"/>
  <c r="K17" i="193"/>
  <c r="V75" i="308"/>
  <c r="V77" i="308"/>
  <c r="B90" i="216"/>
  <c r="D90" i="216"/>
  <c r="J41" i="300"/>
  <c r="B90" i="196"/>
  <c r="D90" i="196"/>
  <c r="M33" i="196"/>
  <c r="E35" i="331"/>
  <c r="E37" i="331"/>
  <c r="G33" i="334"/>
  <c r="E50" i="330"/>
  <c r="E52" i="330"/>
  <c r="G49" i="330"/>
  <c r="E50" i="331"/>
  <c r="E52" i="331"/>
  <c r="T41" i="295"/>
  <c r="T43" i="295"/>
  <c r="T53" i="295"/>
  <c r="V46" i="295"/>
  <c r="V50" i="295"/>
  <c r="V54" i="295"/>
  <c r="T48" i="295"/>
  <c r="T50" i="295"/>
  <c r="T54" i="295"/>
  <c r="T49" i="299"/>
  <c r="T50" i="299"/>
  <c r="T54" i="299"/>
  <c r="M29" i="214"/>
  <c r="B89" i="217"/>
  <c r="D89" i="217"/>
  <c r="L31" i="199"/>
  <c r="B89" i="201"/>
  <c r="D89" i="201"/>
  <c r="B88" i="203"/>
  <c r="D88" i="203"/>
  <c r="E35" i="329"/>
  <c r="E37" i="329"/>
  <c r="E50" i="329"/>
  <c r="E52" i="329"/>
  <c r="G48" i="329"/>
  <c r="E35" i="330"/>
  <c r="E37" i="330"/>
  <c r="I48" i="331"/>
  <c r="I33" i="332"/>
  <c r="E35" i="333"/>
  <c r="E37" i="333"/>
  <c r="G32" i="333"/>
  <c r="E50" i="333"/>
  <c r="E52" i="333"/>
  <c r="U63" i="308"/>
  <c r="K29" i="196"/>
  <c r="C41" i="334"/>
  <c r="U10" i="298"/>
  <c r="C16" i="293"/>
  <c r="R16" i="293"/>
  <c r="U11" i="298"/>
  <c r="K17" i="318"/>
  <c r="C8" i="293"/>
  <c r="U9" i="298"/>
  <c r="C42" i="334"/>
  <c r="B28" i="320"/>
  <c r="Q19" i="293"/>
  <c r="I19" i="293"/>
  <c r="Y19" i="293"/>
  <c r="P19" i="293"/>
  <c r="M18" i="129"/>
  <c r="C28" i="334"/>
  <c r="I40" i="334"/>
  <c r="C22" i="293"/>
  <c r="U12" i="298"/>
  <c r="U13" i="298"/>
  <c r="C12" i="293"/>
  <c r="U21" i="298"/>
  <c r="C56" i="334"/>
  <c r="C46" i="293"/>
  <c r="C38" i="293"/>
  <c r="U19" i="298"/>
  <c r="C42" i="293"/>
  <c r="U20" i="298"/>
  <c r="U18" i="298"/>
  <c r="C61" i="334"/>
  <c r="M24" i="129"/>
  <c r="C46" i="334"/>
  <c r="I55" i="334"/>
  <c r="C33" i="293"/>
  <c r="M28" i="129"/>
  <c r="U25" i="298"/>
  <c r="U27" i="298"/>
  <c r="U32" i="298"/>
  <c r="U37" i="298"/>
  <c r="M34" i="129"/>
  <c r="U51" i="298"/>
  <c r="G22" i="310"/>
  <c r="U54" i="298"/>
  <c r="T54" i="298"/>
  <c r="F22" i="310"/>
  <c r="J28" i="129"/>
  <c r="T25" i="298"/>
  <c r="T27" i="298"/>
  <c r="C56" i="333"/>
  <c r="C46" i="292"/>
  <c r="T21" i="298"/>
  <c r="C38" i="292"/>
  <c r="T19" i="298"/>
  <c r="T18" i="298"/>
  <c r="C61" i="333"/>
  <c r="J24" i="129"/>
  <c r="C33" i="292"/>
  <c r="T20" i="298"/>
  <c r="C42" i="292"/>
  <c r="C12" i="292"/>
  <c r="T10" i="298"/>
  <c r="C41" i="333"/>
  <c r="C19" i="292"/>
  <c r="T13" i="298"/>
  <c r="T11" i="298"/>
  <c r="C16" i="292"/>
  <c r="C22" i="292"/>
  <c r="J18" i="129"/>
  <c r="T12" i="298"/>
  <c r="C42" i="333"/>
  <c r="B28" i="319"/>
  <c r="C8" i="292"/>
  <c r="T9" i="298"/>
  <c r="S25" i="298"/>
  <c r="S27" i="298"/>
  <c r="G28" i="129"/>
  <c r="S30" i="298"/>
  <c r="S37" i="298"/>
  <c r="G34" i="129"/>
  <c r="C46" i="308"/>
  <c r="S21" i="298"/>
  <c r="C56" i="332"/>
  <c r="C51" i="307"/>
  <c r="C42" i="308"/>
  <c r="S20" i="298"/>
  <c r="C38" i="308"/>
  <c r="S19" i="298"/>
  <c r="G24" i="129"/>
  <c r="C33" i="308"/>
  <c r="C61" i="332"/>
  <c r="S18" i="298"/>
  <c r="C19" i="308"/>
  <c r="S13" i="298"/>
  <c r="C42" i="332"/>
  <c r="C8" i="308"/>
  <c r="S9" i="298"/>
  <c r="B28" i="287"/>
  <c r="C16" i="308"/>
  <c r="S11" i="298"/>
  <c r="K17" i="307"/>
  <c r="C12" i="308"/>
  <c r="C41" i="332"/>
  <c r="S10" i="298"/>
  <c r="S12" i="298"/>
  <c r="G18" i="129"/>
  <c r="C22" i="308"/>
  <c r="K23" i="311"/>
  <c r="K17" i="311"/>
  <c r="Q17" i="311"/>
  <c r="T54" i="294"/>
  <c r="G22" i="309"/>
  <c r="T32" i="294"/>
  <c r="T37" i="294"/>
  <c r="K33" i="313"/>
  <c r="T25" i="294"/>
  <c r="T27" i="294"/>
  <c r="K27" i="313"/>
  <c r="C56" i="331"/>
  <c r="T21" i="294"/>
  <c r="C45" i="293"/>
  <c r="T18" i="294"/>
  <c r="C32" i="293"/>
  <c r="C61" i="331"/>
  <c r="T19" i="294"/>
  <c r="C37" i="293"/>
  <c r="T20" i="294"/>
  <c r="C41" i="293"/>
  <c r="T12" i="294"/>
  <c r="C21" i="293"/>
  <c r="C15" i="293"/>
  <c r="T11" i="294"/>
  <c r="C18" i="293"/>
  <c r="T13" i="294"/>
  <c r="C11" i="293"/>
  <c r="C41" i="331"/>
  <c r="T10" i="294"/>
  <c r="S33" i="294"/>
  <c r="S37" i="294"/>
  <c r="J34" i="127"/>
  <c r="S25" i="294"/>
  <c r="S27" i="294"/>
  <c r="J28" i="127"/>
  <c r="L25" i="311"/>
  <c r="L25" i="313"/>
  <c r="C56" i="330"/>
  <c r="C45" i="292"/>
  <c r="S21" i="294"/>
  <c r="C32" i="292"/>
  <c r="S18" i="294"/>
  <c r="C61" i="330"/>
  <c r="J24" i="127"/>
  <c r="C41" i="292"/>
  <c r="S20" i="294"/>
  <c r="C37" i="292"/>
  <c r="S19" i="294"/>
  <c r="C15" i="292"/>
  <c r="S11" i="294"/>
  <c r="C18" i="292"/>
  <c r="S13" i="294"/>
  <c r="S12" i="294"/>
  <c r="C21" i="292"/>
  <c r="K33" i="306"/>
  <c r="R31" i="294"/>
  <c r="R37" i="294"/>
  <c r="G34" i="127"/>
  <c r="C56" i="329"/>
  <c r="C37" i="308"/>
  <c r="R19" i="294"/>
  <c r="R18" i="294"/>
  <c r="C61" i="329"/>
  <c r="C32" i="308"/>
  <c r="C51" i="306"/>
  <c r="R13" i="294"/>
  <c r="C18" i="308"/>
  <c r="R11" i="294"/>
  <c r="C15" i="308"/>
  <c r="C42" i="329"/>
  <c r="B28" i="256"/>
  <c r="C7" i="308"/>
  <c r="R9" i="294"/>
  <c r="C41" i="329"/>
  <c r="R10" i="294"/>
  <c r="C11" i="308"/>
  <c r="C21" i="308"/>
  <c r="G18" i="127"/>
  <c r="C28" i="329"/>
  <c r="I40" i="329"/>
  <c r="R12" i="294"/>
  <c r="R26" i="294"/>
  <c r="R25" i="294"/>
  <c r="G28" i="127"/>
  <c r="S10" i="294"/>
  <c r="C41" i="330"/>
  <c r="C7" i="293"/>
  <c r="T9" i="294"/>
  <c r="C42" i="331"/>
  <c r="M18" i="127"/>
  <c r="M57" i="127"/>
  <c r="C7" i="292"/>
  <c r="D7" i="292"/>
  <c r="C42" i="330"/>
  <c r="S9" i="294"/>
  <c r="S15" i="294"/>
  <c r="J18" i="127"/>
  <c r="C28" i="330"/>
  <c r="D27" i="137"/>
  <c r="B42" i="176"/>
  <c r="H47" i="230"/>
  <c r="I17" i="238"/>
  <c r="X12" i="173"/>
  <c r="I12" i="173"/>
  <c r="H56" i="176"/>
  <c r="P17" i="238"/>
  <c r="N63" i="147"/>
  <c r="Y64" i="237"/>
  <c r="C29" i="195"/>
  <c r="C31" i="195"/>
  <c r="C67" i="140"/>
  <c r="E62" i="169"/>
  <c r="I62" i="169"/>
  <c r="C72" i="173"/>
  <c r="H60" i="173"/>
  <c r="R27" i="174"/>
  <c r="Q23" i="238"/>
  <c r="E35" i="257"/>
  <c r="T37" i="298"/>
  <c r="E29" i="257"/>
  <c r="B50" i="257"/>
  <c r="I23" i="238"/>
  <c r="Y60" i="173"/>
  <c r="H60" i="298"/>
  <c r="H38" i="300"/>
  <c r="K60" i="294"/>
  <c r="M15" i="296"/>
  <c r="M37" i="296"/>
  <c r="T55" i="299"/>
  <c r="U55" i="295"/>
  <c r="D64" i="237"/>
  <c r="D76" i="237"/>
  <c r="Y68" i="238"/>
  <c r="F12" i="137"/>
  <c r="F14" i="137"/>
  <c r="F18" i="137"/>
  <c r="P29" i="173"/>
  <c r="E61" i="169"/>
  <c r="I61" i="169"/>
  <c r="H45" i="232"/>
  <c r="H58" i="232"/>
  <c r="I74" i="243"/>
  <c r="Y23" i="238"/>
  <c r="Q60" i="173"/>
  <c r="Q29" i="173"/>
  <c r="D29" i="173"/>
  <c r="Y29" i="173"/>
  <c r="H57" i="232"/>
  <c r="I29" i="173"/>
  <c r="B6" i="175"/>
  <c r="H26" i="175"/>
  <c r="H45" i="175"/>
  <c r="H47" i="247"/>
  <c r="H45" i="247"/>
  <c r="H57" i="247"/>
  <c r="D32" i="257"/>
  <c r="D33" i="257"/>
  <c r="D28" i="257"/>
  <c r="D41" i="257"/>
  <c r="D30" i="257"/>
  <c r="C76" i="237"/>
  <c r="H8" i="237"/>
  <c r="C64" i="173"/>
  <c r="X64" i="173"/>
  <c r="P68" i="174"/>
  <c r="P68" i="237"/>
  <c r="D33" i="140"/>
  <c r="D34" i="173"/>
  <c r="D68" i="237"/>
  <c r="E32" i="257"/>
  <c r="B51" i="257"/>
  <c r="Y68" i="174"/>
  <c r="E30" i="257"/>
  <c r="P63" i="237"/>
  <c r="C75" i="237"/>
  <c r="D68" i="238"/>
  <c r="M56" i="129"/>
  <c r="U56" i="129"/>
  <c r="Q64" i="237"/>
  <c r="D64" i="238"/>
  <c r="D76" i="238"/>
  <c r="R68" i="174"/>
  <c r="D29" i="257"/>
  <c r="D35" i="257"/>
  <c r="I29" i="137"/>
  <c r="I45" i="137"/>
  <c r="E33" i="257"/>
  <c r="B41" i="170"/>
  <c r="D35" i="170"/>
  <c r="I27" i="293"/>
  <c r="P27" i="293"/>
  <c r="Q27" i="293"/>
  <c r="Z27" i="293"/>
  <c r="Y27" i="293"/>
  <c r="R27" i="293"/>
  <c r="H46" i="232"/>
  <c r="H59" i="232"/>
  <c r="B6" i="232"/>
  <c r="H47" i="232"/>
  <c r="Y34" i="238"/>
  <c r="Z64" i="174"/>
  <c r="I60" i="169"/>
  <c r="I63" i="169"/>
  <c r="D39" i="257"/>
  <c r="D38" i="257"/>
  <c r="X34" i="173"/>
  <c r="Y64" i="238"/>
  <c r="R64" i="238"/>
  <c r="F27" i="137"/>
  <c r="R13" i="238"/>
  <c r="Y30" i="173"/>
  <c r="H41" i="231"/>
  <c r="H45" i="231"/>
  <c r="H43" i="231"/>
  <c r="H56" i="231"/>
  <c r="H55" i="231"/>
  <c r="H57" i="231"/>
  <c r="B6" i="231"/>
  <c r="H44" i="231"/>
  <c r="H58" i="231"/>
  <c r="H42" i="231"/>
  <c r="H26" i="231"/>
  <c r="H59" i="231"/>
  <c r="B41" i="172"/>
  <c r="D36" i="172"/>
  <c r="C35" i="258"/>
  <c r="E30" i="258"/>
  <c r="H38" i="173"/>
  <c r="H9" i="173"/>
  <c r="C40" i="93"/>
  <c r="C42" i="93"/>
  <c r="D39" i="93"/>
  <c r="D40" i="93"/>
  <c r="D8" i="174"/>
  <c r="D64" i="174"/>
  <c r="D76" i="174"/>
  <c r="E64" i="174"/>
  <c r="E76" i="174"/>
  <c r="J8" i="174"/>
  <c r="Z68" i="238"/>
  <c r="Q68" i="238"/>
  <c r="D28" i="237"/>
  <c r="E33" i="93"/>
  <c r="E34" i="93"/>
  <c r="E29" i="93"/>
  <c r="E31" i="93"/>
  <c r="E30" i="93"/>
  <c r="P34" i="238"/>
  <c r="I47" i="174"/>
  <c r="Z47" i="174"/>
  <c r="I51" i="171"/>
  <c r="I75" i="171"/>
  <c r="I74" i="171"/>
  <c r="H68" i="173"/>
  <c r="Y72" i="173"/>
  <c r="P72" i="173"/>
  <c r="H53" i="173"/>
  <c r="H49" i="173"/>
  <c r="H42" i="173"/>
  <c r="Q72" i="173"/>
  <c r="H22" i="173"/>
  <c r="H13" i="173"/>
  <c r="H18" i="173"/>
  <c r="H29" i="173"/>
  <c r="H16" i="173"/>
  <c r="J34" i="129"/>
  <c r="Q13" i="238"/>
  <c r="P17" i="237"/>
  <c r="Y13" i="238"/>
  <c r="I30" i="173"/>
  <c r="D68" i="174"/>
  <c r="P64" i="237"/>
  <c r="C28" i="237"/>
  <c r="I13" i="238"/>
  <c r="F62" i="147"/>
  <c r="C40" i="63"/>
  <c r="C41" i="63"/>
  <c r="Q34" i="173"/>
  <c r="I34" i="173"/>
  <c r="H34" i="173"/>
  <c r="Y34" i="173"/>
  <c r="D60" i="173"/>
  <c r="D72" i="173"/>
  <c r="D9" i="140"/>
  <c r="D59" i="140"/>
  <c r="D71" i="140"/>
  <c r="C59" i="140"/>
  <c r="I9" i="140"/>
  <c r="Q9" i="140"/>
  <c r="P9" i="140"/>
  <c r="I33" i="140"/>
  <c r="Q33" i="140"/>
  <c r="C63" i="140"/>
  <c r="P63" i="140"/>
  <c r="Y20" i="174"/>
  <c r="C45" i="308"/>
  <c r="Y76" i="237"/>
  <c r="C76" i="238"/>
  <c r="H64" i="238"/>
  <c r="H59" i="230"/>
  <c r="H58" i="230"/>
  <c r="H28" i="230"/>
  <c r="H60" i="230"/>
  <c r="H45" i="230"/>
  <c r="B6" i="230"/>
  <c r="Y43" i="238"/>
  <c r="Q43" i="238"/>
  <c r="P43" i="238"/>
  <c r="Z43" i="238"/>
  <c r="Y47" i="238"/>
  <c r="H68" i="237"/>
  <c r="I43" i="238"/>
  <c r="E63" i="174"/>
  <c r="J7" i="174"/>
  <c r="D7" i="174"/>
  <c r="D9" i="174"/>
  <c r="D28" i="174"/>
  <c r="C76" i="174"/>
  <c r="Z76" i="174"/>
  <c r="R64" i="174"/>
  <c r="Q64" i="174"/>
  <c r="D63" i="237"/>
  <c r="D65" i="237"/>
  <c r="P76" i="237"/>
  <c r="B41" i="168"/>
  <c r="D34" i="168"/>
  <c r="D41" i="168"/>
  <c r="I47" i="238"/>
  <c r="R47" i="238"/>
  <c r="Z47" i="238"/>
  <c r="Q47" i="238"/>
  <c r="R76" i="237"/>
  <c r="H33" i="237"/>
  <c r="H42" i="237"/>
  <c r="H38" i="237"/>
  <c r="H12" i="237"/>
  <c r="H26" i="237"/>
  <c r="I9" i="174"/>
  <c r="Q9" i="174"/>
  <c r="P9" i="174"/>
  <c r="Z9" i="174"/>
  <c r="Y9" i="174"/>
  <c r="R9" i="174"/>
  <c r="I17" i="237"/>
  <c r="D35" i="168"/>
  <c r="C28" i="238"/>
  <c r="Q28" i="238"/>
  <c r="J54" i="62"/>
  <c r="J57" i="62"/>
  <c r="D48" i="238"/>
  <c r="H28" i="147"/>
  <c r="H61" i="147"/>
  <c r="H60" i="147"/>
  <c r="H63" i="147"/>
  <c r="C45" i="194"/>
  <c r="Y17" i="237"/>
  <c r="H22" i="237"/>
  <c r="D39" i="168"/>
  <c r="I73" i="167"/>
  <c r="I72" i="167"/>
  <c r="E30" i="255"/>
  <c r="E28" i="255"/>
  <c r="B49" i="255"/>
  <c r="E33" i="255"/>
  <c r="E35" i="255"/>
  <c r="E32" i="255"/>
  <c r="B51" i="255"/>
  <c r="C41" i="308"/>
  <c r="I41" i="308"/>
  <c r="H27" i="62"/>
  <c r="H55" i="62"/>
  <c r="C33" i="92"/>
  <c r="D35" i="137"/>
  <c r="D44" i="137"/>
  <c r="D47" i="137"/>
  <c r="F32" i="137"/>
  <c r="R43" i="174"/>
  <c r="I32" i="140"/>
  <c r="Q40" i="140"/>
  <c r="E29" i="255"/>
  <c r="B50" i="255"/>
  <c r="C41" i="255"/>
  <c r="D29" i="255"/>
  <c r="P30" i="173"/>
  <c r="Q30" i="173"/>
  <c r="C52" i="293"/>
  <c r="C54" i="293"/>
  <c r="C52" i="292"/>
  <c r="C54" i="292"/>
  <c r="C52" i="308"/>
  <c r="C54" i="308"/>
  <c r="L28" i="147"/>
  <c r="L61" i="147"/>
  <c r="Z63" i="174"/>
  <c r="R13" i="174"/>
  <c r="P13" i="174"/>
  <c r="C28" i="174"/>
  <c r="Q28" i="174"/>
  <c r="Q13" i="174"/>
  <c r="I33" i="173"/>
  <c r="X33" i="173"/>
  <c r="C63" i="173"/>
  <c r="C35" i="173"/>
  <c r="P35" i="173"/>
  <c r="Q33" i="173"/>
  <c r="D33" i="173"/>
  <c r="P33" i="173"/>
  <c r="C29" i="140"/>
  <c r="Q27" i="140"/>
  <c r="P27" i="140"/>
  <c r="I27" i="140"/>
  <c r="D40" i="140"/>
  <c r="D42" i="140"/>
  <c r="H62" i="147"/>
  <c r="D27" i="140"/>
  <c r="D29" i="140"/>
  <c r="Z43" i="174"/>
  <c r="I13" i="174"/>
  <c r="R67" i="174"/>
  <c r="B41" i="244"/>
  <c r="C43" i="173"/>
  <c r="P43" i="173"/>
  <c r="D41" i="173"/>
  <c r="D43" i="173"/>
  <c r="I41" i="173"/>
  <c r="B55" i="176"/>
  <c r="Q41" i="173"/>
  <c r="Q34" i="238"/>
  <c r="R34" i="238"/>
  <c r="Q47" i="174"/>
  <c r="P47" i="174"/>
  <c r="R47" i="174"/>
  <c r="D13" i="238"/>
  <c r="D28" i="238"/>
  <c r="D63" i="238"/>
  <c r="C51" i="140"/>
  <c r="H46" i="137"/>
  <c r="J28" i="147"/>
  <c r="J61" i="147"/>
  <c r="C33" i="194"/>
  <c r="Q8" i="173"/>
  <c r="C10" i="173"/>
  <c r="B43" i="176"/>
  <c r="D8" i="173"/>
  <c r="D10" i="173"/>
  <c r="P8" i="173"/>
  <c r="X8" i="173"/>
  <c r="Y8" i="173"/>
  <c r="I8" i="173"/>
  <c r="C69" i="238"/>
  <c r="P67" i="238"/>
  <c r="Y67" i="238"/>
  <c r="R67" i="238"/>
  <c r="Q67" i="238"/>
  <c r="Z67" i="238"/>
  <c r="C65" i="174"/>
  <c r="C75" i="174"/>
  <c r="H63" i="174"/>
  <c r="Q63" i="174"/>
  <c r="P63" i="174"/>
  <c r="R63" i="174"/>
  <c r="I61" i="165"/>
  <c r="C62" i="165"/>
  <c r="B34" i="166"/>
  <c r="Q43" i="174"/>
  <c r="I43" i="174"/>
  <c r="J29" i="137"/>
  <c r="J45" i="137"/>
  <c r="N62" i="147"/>
  <c r="C40" i="195"/>
  <c r="C41" i="195"/>
  <c r="Y33" i="173"/>
  <c r="D32" i="255"/>
  <c r="D33" i="255"/>
  <c r="I34" i="237"/>
  <c r="R47" i="237"/>
  <c r="Y47" i="237"/>
  <c r="Z47" i="237"/>
  <c r="I47" i="237"/>
  <c r="P47" i="237"/>
  <c r="Q47" i="237"/>
  <c r="C48" i="237"/>
  <c r="I39" i="174"/>
  <c r="R39" i="174"/>
  <c r="Z39" i="174"/>
  <c r="Y39" i="174"/>
  <c r="P39" i="174"/>
  <c r="Q39" i="174"/>
  <c r="N28" i="147"/>
  <c r="N61" i="147"/>
  <c r="C33" i="195"/>
  <c r="C35" i="195"/>
  <c r="Q17" i="174"/>
  <c r="Z17" i="174"/>
  <c r="R17" i="174"/>
  <c r="P17" i="174"/>
  <c r="Y17" i="174"/>
  <c r="I17" i="174"/>
  <c r="X37" i="173"/>
  <c r="I37" i="173"/>
  <c r="C39" i="173"/>
  <c r="P39" i="173"/>
  <c r="P37" i="173"/>
  <c r="D37" i="173"/>
  <c r="D39" i="173"/>
  <c r="C29" i="194"/>
  <c r="C31" i="194"/>
  <c r="J17" i="147"/>
  <c r="J60" i="147"/>
  <c r="D67" i="238"/>
  <c r="D69" i="238"/>
  <c r="Z34" i="238"/>
  <c r="Y41" i="173"/>
  <c r="C35" i="63"/>
  <c r="X21" i="173"/>
  <c r="I21" i="173"/>
  <c r="B41" i="176"/>
  <c r="P21" i="173"/>
  <c r="Q21" i="173"/>
  <c r="C23" i="173"/>
  <c r="Y23" i="173"/>
  <c r="C59" i="173"/>
  <c r="Y59" i="173"/>
  <c r="Y21" i="173"/>
  <c r="P10" i="140"/>
  <c r="C23" i="140"/>
  <c r="P23" i="140"/>
  <c r="I10" i="140"/>
  <c r="Q14" i="140"/>
  <c r="P14" i="140"/>
  <c r="I14" i="140"/>
  <c r="D42" i="137"/>
  <c r="D46" i="137"/>
  <c r="F46" i="137"/>
  <c r="F38" i="137"/>
  <c r="F42" i="137"/>
  <c r="D23" i="137"/>
  <c r="D29" i="137"/>
  <c r="D45" i="137"/>
  <c r="F22" i="137"/>
  <c r="F23" i="137"/>
  <c r="F29" i="137"/>
  <c r="F45" i="137"/>
  <c r="E28" i="208"/>
  <c r="B49" i="208"/>
  <c r="E32" i="208"/>
  <c r="B51" i="208"/>
  <c r="E29" i="208"/>
  <c r="B50" i="208"/>
  <c r="E30" i="208"/>
  <c r="E33" i="208"/>
  <c r="E35" i="208"/>
  <c r="C29" i="63"/>
  <c r="F17" i="147"/>
  <c r="F60" i="147"/>
  <c r="P14" i="173"/>
  <c r="Q14" i="173"/>
  <c r="X14" i="173"/>
  <c r="D35" i="240"/>
  <c r="D38" i="240"/>
  <c r="D34" i="240"/>
  <c r="D41" i="240"/>
  <c r="D37" i="240"/>
  <c r="I39" i="238"/>
  <c r="C48" i="238"/>
  <c r="R48" i="238"/>
  <c r="Z39" i="238"/>
  <c r="P39" i="238"/>
  <c r="C70" i="140"/>
  <c r="H32" i="140"/>
  <c r="Q58" i="140"/>
  <c r="C60" i="140"/>
  <c r="C34" i="92"/>
  <c r="C36" i="92"/>
  <c r="R27" i="294"/>
  <c r="G24" i="127"/>
  <c r="C46" i="329"/>
  <c r="I55" i="329"/>
  <c r="H29" i="137"/>
  <c r="H45" i="137"/>
  <c r="J41" i="62"/>
  <c r="J56" i="62"/>
  <c r="D39" i="240"/>
  <c r="D36" i="240"/>
  <c r="P63" i="238"/>
  <c r="Q63" i="238"/>
  <c r="C65" i="238"/>
  <c r="C75" i="238"/>
  <c r="H63" i="238"/>
  <c r="R63" i="238"/>
  <c r="P32" i="140"/>
  <c r="Q32" i="140"/>
  <c r="C62" i="140"/>
  <c r="Q62" i="140"/>
  <c r="C34" i="140"/>
  <c r="P34" i="140"/>
  <c r="C73" i="174"/>
  <c r="I34" i="174"/>
  <c r="P34" i="174"/>
  <c r="Z34" i="174"/>
  <c r="Q34" i="174"/>
  <c r="R34" i="174"/>
  <c r="Y34" i="174"/>
  <c r="Y63" i="238"/>
  <c r="I14" i="173"/>
  <c r="C48" i="174"/>
  <c r="I48" i="174"/>
  <c r="P43" i="174"/>
  <c r="Q39" i="238"/>
  <c r="C69" i="174"/>
  <c r="P67" i="174"/>
  <c r="Z67" i="174"/>
  <c r="Q67" i="174"/>
  <c r="I40" i="140"/>
  <c r="C42" i="140"/>
  <c r="C40" i="92"/>
  <c r="J27" i="62"/>
  <c r="J55" i="62"/>
  <c r="C41" i="208"/>
  <c r="Y39" i="238"/>
  <c r="R39" i="238"/>
  <c r="I59" i="165"/>
  <c r="I62" i="165"/>
  <c r="E62" i="165"/>
  <c r="B36" i="166"/>
  <c r="F48" i="247"/>
  <c r="D57" i="247"/>
  <c r="F57" i="247"/>
  <c r="K24" i="215"/>
  <c r="K27" i="215"/>
  <c r="K30" i="215"/>
  <c r="B45" i="215"/>
  <c r="D45" i="215"/>
  <c r="K23" i="215"/>
  <c r="Z16" i="238"/>
  <c r="X64" i="238"/>
  <c r="Z64" i="238"/>
  <c r="K55" i="192"/>
  <c r="D48" i="290"/>
  <c r="E23" i="140"/>
  <c r="G63" i="102"/>
  <c r="O65" i="290"/>
  <c r="R65" i="290"/>
  <c r="R63" i="290"/>
  <c r="G68" i="102"/>
  <c r="G71" i="102"/>
  <c r="G77" i="102"/>
  <c r="J33" i="102"/>
  <c r="N42" i="102"/>
  <c r="Q13" i="237"/>
  <c r="X13" i="237"/>
  <c r="Z13" i="237"/>
  <c r="Q13" i="102"/>
  <c r="C22" i="102"/>
  <c r="I13" i="102"/>
  <c r="E28" i="290"/>
  <c r="J17" i="290"/>
  <c r="M60" i="140"/>
  <c r="P58" i="140"/>
  <c r="M30" i="218"/>
  <c r="M23" i="218"/>
  <c r="M27" i="218"/>
  <c r="M24" i="218"/>
  <c r="B48" i="218"/>
  <c r="D48" i="218"/>
  <c r="W68" i="290"/>
  <c r="Y68" i="290"/>
  <c r="P68" i="290"/>
  <c r="M76" i="290"/>
  <c r="M69" i="290"/>
  <c r="W64" i="290"/>
  <c r="Y64" i="290"/>
  <c r="Y8" i="290"/>
  <c r="H31" i="132"/>
  <c r="H27" i="132"/>
  <c r="N61" i="173"/>
  <c r="N71" i="173"/>
  <c r="Z13" i="174"/>
  <c r="W75" i="290"/>
  <c r="Y75" i="290"/>
  <c r="M59" i="102"/>
  <c r="P59" i="102"/>
  <c r="M69" i="102"/>
  <c r="M21" i="120"/>
  <c r="L24" i="120"/>
  <c r="L32" i="120"/>
  <c r="O65" i="237"/>
  <c r="R65" i="237"/>
  <c r="R63" i="237"/>
  <c r="P34" i="237"/>
  <c r="W34" i="237"/>
  <c r="Y34" i="237"/>
  <c r="M48" i="237"/>
  <c r="E48" i="94"/>
  <c r="E47" i="94"/>
  <c r="E50" i="94"/>
  <c r="B36" i="138"/>
  <c r="B41" i="138"/>
  <c r="D39" i="138"/>
  <c r="J34" i="290"/>
  <c r="X43" i="290"/>
  <c r="Z43" i="290"/>
  <c r="Q43" i="290"/>
  <c r="H43" i="206"/>
  <c r="P75" i="237"/>
  <c r="X75" i="292"/>
  <c r="K30" i="200"/>
  <c r="B46" i="200"/>
  <c r="D46" i="200"/>
  <c r="K23" i="200"/>
  <c r="K27" i="200"/>
  <c r="K24" i="200"/>
  <c r="J55" i="192"/>
  <c r="F48" i="290"/>
  <c r="I48" i="290"/>
  <c r="I47" i="290"/>
  <c r="I47" i="94"/>
  <c r="I48" i="94"/>
  <c r="G43" i="140"/>
  <c r="J42" i="140"/>
  <c r="J53" i="192"/>
  <c r="N70" i="140"/>
  <c r="X20" i="237"/>
  <c r="Z20" i="237"/>
  <c r="Q20" i="237"/>
  <c r="D39" i="176"/>
  <c r="M41" i="163"/>
  <c r="M29" i="111"/>
  <c r="M31" i="111"/>
  <c r="M30" i="111"/>
  <c r="W69" i="237"/>
  <c r="Y69" i="237"/>
  <c r="P69" i="237"/>
  <c r="L52" i="213"/>
  <c r="L55" i="213"/>
  <c r="J23" i="237"/>
  <c r="J32" i="109"/>
  <c r="J29" i="109"/>
  <c r="H58" i="109"/>
  <c r="J24" i="109"/>
  <c r="J33" i="109"/>
  <c r="W23" i="237"/>
  <c r="Y23" i="237"/>
  <c r="M28" i="237"/>
  <c r="P23" i="237"/>
  <c r="D67" i="237"/>
  <c r="D69" i="237"/>
  <c r="D34" i="237"/>
  <c r="D48" i="237"/>
  <c r="H46" i="115"/>
  <c r="K23" i="115"/>
  <c r="L52" i="192"/>
  <c r="L55" i="192"/>
  <c r="J43" i="290"/>
  <c r="G48" i="290"/>
  <c r="J48" i="290"/>
  <c r="F69" i="102"/>
  <c r="D39" i="189"/>
  <c r="D37" i="189"/>
  <c r="W39" i="173"/>
  <c r="N44" i="173"/>
  <c r="L30" i="120"/>
  <c r="L48" i="163"/>
  <c r="L50" i="163"/>
  <c r="L52" i="163"/>
  <c r="L56" i="163"/>
  <c r="R13" i="237"/>
  <c r="O28" i="237"/>
  <c r="K42" i="102"/>
  <c r="E40" i="139"/>
  <c r="B36" i="141"/>
  <c r="W61" i="173"/>
  <c r="T55" i="295"/>
  <c r="F64" i="140"/>
  <c r="D39" i="247"/>
  <c r="O28" i="290"/>
  <c r="R28" i="290"/>
  <c r="J54" i="299"/>
  <c r="J55" i="299"/>
  <c r="J45" i="300"/>
  <c r="M27" i="215"/>
  <c r="M23" i="215"/>
  <c r="M24" i="215"/>
  <c r="M30" i="215"/>
  <c r="B47" i="215"/>
  <c r="D47" i="215"/>
  <c r="O76" i="290"/>
  <c r="R76" i="290"/>
  <c r="R64" i="290"/>
  <c r="U28" i="293"/>
  <c r="W13" i="293"/>
  <c r="W28" i="293"/>
  <c r="X17" i="237"/>
  <c r="Z17" i="237"/>
  <c r="Q17" i="237"/>
  <c r="M69" i="140"/>
  <c r="P61" i="140"/>
  <c r="T77" i="174"/>
  <c r="X77" i="174"/>
  <c r="J47" i="290"/>
  <c r="E48" i="290"/>
  <c r="Q23" i="174"/>
  <c r="X23" i="174"/>
  <c r="Z23" i="174"/>
  <c r="J28" i="102"/>
  <c r="G76" i="174"/>
  <c r="G77" i="174"/>
  <c r="H64" i="87"/>
  <c r="M32" i="87"/>
  <c r="M24" i="87"/>
  <c r="M33" i="87"/>
  <c r="J9" i="290"/>
  <c r="G28" i="290"/>
  <c r="Q63" i="290"/>
  <c r="N75" i="290"/>
  <c r="D34" i="290"/>
  <c r="D67" i="290"/>
  <c r="D69" i="290"/>
  <c r="G76" i="290"/>
  <c r="G48" i="334"/>
  <c r="G46" i="331"/>
  <c r="G47" i="334"/>
  <c r="V55" i="299"/>
  <c r="G32" i="332"/>
  <c r="G34" i="332"/>
  <c r="G33" i="332"/>
  <c r="M57" i="129"/>
  <c r="B32" i="320"/>
  <c r="U22" i="298"/>
  <c r="G49" i="333"/>
  <c r="G47" i="333"/>
  <c r="G48" i="333"/>
  <c r="G46" i="333"/>
  <c r="G32" i="330"/>
  <c r="G34" i="330"/>
  <c r="G33" i="330"/>
  <c r="G30" i="330"/>
  <c r="X39" i="290"/>
  <c r="Z39" i="290"/>
  <c r="Q39" i="290"/>
  <c r="N48" i="290"/>
  <c r="Q48" i="290"/>
  <c r="V28" i="293"/>
  <c r="X13" i="293"/>
  <c r="X28" i="293"/>
  <c r="W9" i="290"/>
  <c r="P9" i="290"/>
  <c r="M28" i="290"/>
  <c r="P28" i="290"/>
  <c r="I45" i="94"/>
  <c r="I49" i="94"/>
  <c r="D31" i="253"/>
  <c r="D27" i="253"/>
  <c r="J14" i="140"/>
  <c r="G23" i="140"/>
  <c r="D14" i="140"/>
  <c r="D23" i="140"/>
  <c r="D58" i="140"/>
  <c r="B41" i="141"/>
  <c r="D36" i="141"/>
  <c r="D52" i="231"/>
  <c r="D54" i="231"/>
  <c r="F65" i="173"/>
  <c r="M73" i="173"/>
  <c r="V71" i="173"/>
  <c r="W24" i="173"/>
  <c r="Y14" i="173"/>
  <c r="S77" i="308"/>
  <c r="I27" i="110"/>
  <c r="I31" i="110"/>
  <c r="G64" i="140"/>
  <c r="G69" i="140"/>
  <c r="G72" i="140"/>
  <c r="Z15" i="290"/>
  <c r="X63" i="290"/>
  <c r="Z63" i="290"/>
  <c r="G32" i="137"/>
  <c r="I34" i="139"/>
  <c r="I37" i="139"/>
  <c r="I40" i="139"/>
  <c r="P70" i="140"/>
  <c r="B64" i="83"/>
  <c r="M30" i="83"/>
  <c r="M29" i="83"/>
  <c r="M31" i="83"/>
  <c r="E71" i="140"/>
  <c r="N43" i="140"/>
  <c r="Q38" i="140"/>
  <c r="T28" i="308"/>
  <c r="X13" i="308"/>
  <c r="X28" i="308"/>
  <c r="F65" i="237"/>
  <c r="D41" i="249"/>
  <c r="F76" i="237"/>
  <c r="F77" i="237"/>
  <c r="M32" i="82"/>
  <c r="M29" i="82"/>
  <c r="B64" i="82"/>
  <c r="M33" i="82"/>
  <c r="M24" i="82"/>
  <c r="I64" i="82"/>
  <c r="V43" i="173"/>
  <c r="M44" i="173"/>
  <c r="J38" i="140"/>
  <c r="E43" i="140"/>
  <c r="J43" i="140"/>
  <c r="K33" i="116"/>
  <c r="K32" i="116"/>
  <c r="H60" i="116"/>
  <c r="K24" i="116"/>
  <c r="K29" i="116"/>
  <c r="G24" i="173"/>
  <c r="J10" i="173"/>
  <c r="M22" i="102"/>
  <c r="P22" i="102"/>
  <c r="P9" i="102"/>
  <c r="C63" i="102"/>
  <c r="P60" i="102"/>
  <c r="Q60" i="102"/>
  <c r="C68" i="102"/>
  <c r="G48" i="331"/>
  <c r="G47" i="331"/>
  <c r="G49" i="331"/>
  <c r="K20" i="193"/>
  <c r="K34" i="193"/>
  <c r="K37" i="193"/>
  <c r="K27" i="110"/>
  <c r="K31" i="110"/>
  <c r="J41" i="137"/>
  <c r="G42" i="137"/>
  <c r="K50" i="183"/>
  <c r="J51" i="183"/>
  <c r="E64" i="140"/>
  <c r="F72" i="173"/>
  <c r="F73" i="173"/>
  <c r="D38" i="231"/>
  <c r="D40" i="231"/>
  <c r="F61" i="173"/>
  <c r="X17" i="290"/>
  <c r="N28" i="290"/>
  <c r="Q28" i="290"/>
  <c r="Q17" i="290"/>
  <c r="O69" i="237"/>
  <c r="R69" i="237"/>
  <c r="O75" i="237"/>
  <c r="R67" i="237"/>
  <c r="J43" i="173"/>
  <c r="G44" i="173"/>
  <c r="J44" i="173"/>
  <c r="J17" i="102"/>
  <c r="G22" i="102"/>
  <c r="E28" i="237"/>
  <c r="J28" i="237"/>
  <c r="J13" i="237"/>
  <c r="N69" i="140"/>
  <c r="N60" i="140"/>
  <c r="Q57" i="140"/>
  <c r="G30" i="332"/>
  <c r="I23" i="237"/>
  <c r="F28" i="237"/>
  <c r="Q58" i="102"/>
  <c r="N70" i="102"/>
  <c r="D41" i="175"/>
  <c r="D43" i="175"/>
  <c r="G72" i="173"/>
  <c r="D41" i="247"/>
  <c r="D43" i="247"/>
  <c r="N65" i="237"/>
  <c r="N75" i="237"/>
  <c r="Q63" i="237"/>
  <c r="M68" i="102"/>
  <c r="M71" i="102"/>
  <c r="M77" i="102"/>
  <c r="M63" i="102"/>
  <c r="N59" i="102"/>
  <c r="Q56" i="102"/>
  <c r="N68" i="102"/>
  <c r="M30" i="120"/>
  <c r="M31" i="120"/>
  <c r="M48" i="163"/>
  <c r="M50" i="163"/>
  <c r="M52" i="163"/>
  <c r="M56" i="163"/>
  <c r="X68" i="237"/>
  <c r="Z68" i="237"/>
  <c r="N69" i="237"/>
  <c r="D54" i="249"/>
  <c r="N76" i="237"/>
  <c r="Q68" i="237"/>
  <c r="E24" i="173"/>
  <c r="J14" i="173"/>
  <c r="O70" i="140"/>
  <c r="O72" i="140"/>
  <c r="O64" i="140"/>
  <c r="E70" i="102"/>
  <c r="E59" i="102"/>
  <c r="D35" i="138"/>
  <c r="D38" i="138"/>
  <c r="D36" i="138"/>
  <c r="D29" i="211"/>
  <c r="D31" i="211"/>
  <c r="D36" i="211"/>
  <c r="D39" i="211"/>
  <c r="D40" i="211"/>
  <c r="D33" i="211"/>
  <c r="D34" i="211"/>
  <c r="D30" i="211"/>
  <c r="O69" i="290"/>
  <c r="R69" i="290"/>
  <c r="R67" i="290"/>
  <c r="O75" i="290"/>
  <c r="E60" i="140"/>
  <c r="W75" i="237"/>
  <c r="Y75" i="237"/>
  <c r="G31" i="329"/>
  <c r="G33" i="329"/>
  <c r="G32" i="329"/>
  <c r="G30" i="329"/>
  <c r="V55" i="295"/>
  <c r="X64" i="237"/>
  <c r="Z64" i="237"/>
  <c r="Z16" i="237"/>
  <c r="F31" i="132"/>
  <c r="F27" i="132"/>
  <c r="L23" i="122"/>
  <c r="H47" i="122"/>
  <c r="F60" i="140"/>
  <c r="F69" i="140"/>
  <c r="F72" i="140"/>
  <c r="N71" i="140"/>
  <c r="T75" i="308"/>
  <c r="T65" i="308"/>
  <c r="X65" i="308"/>
  <c r="J31" i="110"/>
  <c r="J27" i="110"/>
  <c r="X34" i="237"/>
  <c r="Z34" i="237"/>
  <c r="N48" i="237"/>
  <c r="Q34" i="237"/>
  <c r="F28" i="189"/>
  <c r="I37" i="102"/>
  <c r="P37" i="102"/>
  <c r="C42" i="102"/>
  <c r="Q37" i="102"/>
  <c r="C69" i="102"/>
  <c r="F59" i="102"/>
  <c r="F68" i="102"/>
  <c r="G33" i="333"/>
  <c r="G30" i="333"/>
  <c r="G31" i="333"/>
  <c r="G34" i="333"/>
  <c r="G49" i="329"/>
  <c r="G46" i="329"/>
  <c r="G47" i="329"/>
  <c r="G34" i="331"/>
  <c r="G30" i="331"/>
  <c r="G31" i="331"/>
  <c r="G33" i="331"/>
  <c r="G32" i="331"/>
  <c r="Q62" i="102"/>
  <c r="C70" i="102"/>
  <c r="P62" i="102"/>
  <c r="D47" i="174"/>
  <c r="D48" i="174"/>
  <c r="D67" i="174"/>
  <c r="D69" i="174"/>
  <c r="D43" i="249"/>
  <c r="M71" i="140"/>
  <c r="S73" i="173"/>
  <c r="W71" i="173"/>
  <c r="N23" i="140"/>
  <c r="Q10" i="140"/>
  <c r="M64" i="140"/>
  <c r="W77" i="237"/>
  <c r="Y9" i="237"/>
  <c r="W28" i="237"/>
  <c r="V35" i="173"/>
  <c r="M42" i="102"/>
  <c r="V61" i="173"/>
  <c r="K44" i="185"/>
  <c r="J50" i="185"/>
  <c r="E71" i="173"/>
  <c r="E73" i="173"/>
  <c r="E61" i="173"/>
  <c r="U65" i="308"/>
  <c r="W65" i="308"/>
  <c r="U75" i="308"/>
  <c r="U77" i="308"/>
  <c r="G31" i="332"/>
  <c r="G48" i="330"/>
  <c r="G46" i="330"/>
  <c r="G47" i="330"/>
  <c r="G31" i="330"/>
  <c r="Z11" i="238"/>
  <c r="X63" i="238"/>
  <c r="Z63" i="238"/>
  <c r="V65" i="293"/>
  <c r="X65" i="293"/>
  <c r="V75" i="293"/>
  <c r="W63" i="290"/>
  <c r="Y63" i="290"/>
  <c r="Y7" i="290"/>
  <c r="I34" i="142"/>
  <c r="I38" i="142"/>
  <c r="I40" i="142"/>
  <c r="J13" i="174"/>
  <c r="E28" i="174"/>
  <c r="J28" i="174"/>
  <c r="R73" i="173"/>
  <c r="V72" i="173"/>
  <c r="X72" i="173"/>
  <c r="Q9" i="102"/>
  <c r="N22" i="102"/>
  <c r="Q22" i="102"/>
  <c r="N63" i="102"/>
  <c r="Q61" i="102"/>
  <c r="N69" i="102"/>
  <c r="I28" i="102"/>
  <c r="F42" i="102"/>
  <c r="I42" i="102"/>
  <c r="O48" i="237"/>
  <c r="R34" i="237"/>
  <c r="L20" i="120"/>
  <c r="B70" i="120"/>
  <c r="D70" i="120"/>
  <c r="K23" i="120"/>
  <c r="C67" i="102"/>
  <c r="H32" i="132"/>
  <c r="H24" i="132"/>
  <c r="H29" i="132"/>
  <c r="H33" i="132"/>
  <c r="G53" i="132"/>
  <c r="Z22" i="290"/>
  <c r="X64" i="290"/>
  <c r="Z64" i="290"/>
  <c r="E65" i="237"/>
  <c r="E75" i="237"/>
  <c r="E77" i="237"/>
  <c r="J77" i="237"/>
  <c r="X13" i="238"/>
  <c r="G34" i="329"/>
  <c r="K48" i="290"/>
  <c r="Z7" i="237"/>
  <c r="X63" i="237"/>
  <c r="Z63" i="237"/>
  <c r="Q9" i="237"/>
  <c r="N28" i="237"/>
  <c r="X9" i="237"/>
  <c r="I19" i="173"/>
  <c r="F24" i="173"/>
  <c r="P19" i="173"/>
  <c r="M24" i="173"/>
  <c r="V19" i="173"/>
  <c r="F44" i="173"/>
  <c r="D63" i="140"/>
  <c r="E71" i="102"/>
  <c r="E77" i="102"/>
  <c r="L23" i="111"/>
  <c r="M20" i="111"/>
  <c r="K19" i="193"/>
  <c r="Q59" i="102"/>
  <c r="D56" i="249"/>
  <c r="K50" i="187"/>
  <c r="J51" i="187"/>
  <c r="K51" i="187"/>
  <c r="G71" i="173"/>
  <c r="G61" i="173"/>
  <c r="D14" i="173"/>
  <c r="D24" i="173"/>
  <c r="F22" i="102"/>
  <c r="I22" i="102"/>
  <c r="I9" i="102"/>
  <c r="E22" i="102"/>
  <c r="J9" i="102"/>
  <c r="F43" i="140"/>
  <c r="D38" i="97"/>
  <c r="D34" i="97"/>
  <c r="D37" i="97"/>
  <c r="D35" i="97"/>
  <c r="Y13" i="174"/>
  <c r="W28" i="174"/>
  <c r="V65" i="173"/>
  <c r="O48" i="290"/>
  <c r="R48" i="290"/>
  <c r="R47" i="290"/>
  <c r="O63" i="102"/>
  <c r="O68" i="102"/>
  <c r="O71" i="102"/>
  <c r="O77" i="102"/>
  <c r="M29" i="120"/>
  <c r="D34" i="138"/>
  <c r="D41" i="144"/>
  <c r="Z16" i="293"/>
  <c r="Y16" i="293"/>
  <c r="D16" i="293"/>
  <c r="Q16" i="293"/>
  <c r="P16" i="293"/>
  <c r="I16" i="293"/>
  <c r="T15" i="298"/>
  <c r="I22" i="293"/>
  <c r="Q22" i="293"/>
  <c r="R22" i="293"/>
  <c r="Y22" i="293"/>
  <c r="Z22" i="293"/>
  <c r="D22" i="293"/>
  <c r="P22" i="293"/>
  <c r="U15" i="298"/>
  <c r="I12" i="293"/>
  <c r="R12" i="293"/>
  <c r="D12" i="293"/>
  <c r="Z12" i="293"/>
  <c r="P12" i="293"/>
  <c r="Y12" i="293"/>
  <c r="Q12" i="293"/>
  <c r="I8" i="293"/>
  <c r="Q8" i="293"/>
  <c r="P8" i="293"/>
  <c r="R8" i="293"/>
  <c r="D8" i="293"/>
  <c r="Z8" i="293"/>
  <c r="Y8" i="293"/>
  <c r="C64" i="293"/>
  <c r="Z38" i="293"/>
  <c r="I38" i="293"/>
  <c r="Q38" i="293"/>
  <c r="D38" i="293"/>
  <c r="R38" i="293"/>
  <c r="Y38" i="293"/>
  <c r="P38" i="293"/>
  <c r="D33" i="293"/>
  <c r="Q33" i="293"/>
  <c r="I33" i="293"/>
  <c r="R33" i="293"/>
  <c r="Z33" i="293"/>
  <c r="P33" i="293"/>
  <c r="C68" i="293"/>
  <c r="Y33" i="293"/>
  <c r="P46" i="293"/>
  <c r="Q46" i="293"/>
  <c r="Y46" i="293"/>
  <c r="R46" i="293"/>
  <c r="D46" i="293"/>
  <c r="I46" i="293"/>
  <c r="Z46" i="293"/>
  <c r="I42" i="293"/>
  <c r="Z42" i="293"/>
  <c r="Q42" i="293"/>
  <c r="R42" i="293"/>
  <c r="D42" i="293"/>
  <c r="Y42" i="293"/>
  <c r="P42" i="293"/>
  <c r="J57" i="129"/>
  <c r="C46" i="333"/>
  <c r="I55" i="333"/>
  <c r="P38" i="292"/>
  <c r="Z38" i="292"/>
  <c r="I38" i="292"/>
  <c r="Y38" i="292"/>
  <c r="Q38" i="292"/>
  <c r="D38" i="292"/>
  <c r="R38" i="292"/>
  <c r="I42" i="292"/>
  <c r="Y42" i="292"/>
  <c r="D42" i="292"/>
  <c r="Z42" i="292"/>
  <c r="P42" i="292"/>
  <c r="R42" i="292"/>
  <c r="Q42" i="292"/>
  <c r="T22" i="298"/>
  <c r="I46" i="292"/>
  <c r="R46" i="292"/>
  <c r="Q46" i="292"/>
  <c r="P46" i="292"/>
  <c r="Z46" i="292"/>
  <c r="Y46" i="292"/>
  <c r="D46" i="292"/>
  <c r="Y33" i="292"/>
  <c r="Z33" i="292"/>
  <c r="D33" i="292"/>
  <c r="I33" i="292"/>
  <c r="C68" i="292"/>
  <c r="P33" i="292"/>
  <c r="Q33" i="292"/>
  <c r="R33" i="292"/>
  <c r="Z22" i="292"/>
  <c r="I22" i="292"/>
  <c r="D22" i="292"/>
  <c r="R22" i="292"/>
  <c r="Q22" i="292"/>
  <c r="P22" i="292"/>
  <c r="Y22" i="292"/>
  <c r="I19" i="292"/>
  <c r="P19" i="292"/>
  <c r="Y19" i="292"/>
  <c r="Q19" i="292"/>
  <c r="P16" i="292"/>
  <c r="Q16" i="292"/>
  <c r="I16" i="292"/>
  <c r="R16" i="292"/>
  <c r="D16" i="292"/>
  <c r="Y16" i="292"/>
  <c r="Z16" i="292"/>
  <c r="Y8" i="292"/>
  <c r="P8" i="292"/>
  <c r="I8" i="292"/>
  <c r="Z8" i="292"/>
  <c r="Q8" i="292"/>
  <c r="C64" i="292"/>
  <c r="R8" i="292"/>
  <c r="D8" i="292"/>
  <c r="C28" i="333"/>
  <c r="I40" i="333"/>
  <c r="J56" i="129"/>
  <c r="D12" i="292"/>
  <c r="P12" i="292"/>
  <c r="R12" i="292"/>
  <c r="Q12" i="292"/>
  <c r="I12" i="292"/>
  <c r="Z12" i="292"/>
  <c r="Y12" i="292"/>
  <c r="Z46" i="308"/>
  <c r="R46" i="308"/>
  <c r="D46" i="308"/>
  <c r="P46" i="308"/>
  <c r="Y46" i="308"/>
  <c r="I46" i="308"/>
  <c r="Q46" i="308"/>
  <c r="S22" i="298"/>
  <c r="R42" i="308"/>
  <c r="Y42" i="308"/>
  <c r="P42" i="308"/>
  <c r="I42" i="308"/>
  <c r="D42" i="308"/>
  <c r="Z42" i="308"/>
  <c r="Q42" i="308"/>
  <c r="R38" i="308"/>
  <c r="Z38" i="308"/>
  <c r="I38" i="308"/>
  <c r="Y38" i="308"/>
  <c r="D38" i="308"/>
  <c r="P38" i="308"/>
  <c r="Q38" i="308"/>
  <c r="R33" i="308"/>
  <c r="I33" i="308"/>
  <c r="P33" i="308"/>
  <c r="Y33" i="308"/>
  <c r="Q33" i="308"/>
  <c r="Z33" i="308"/>
  <c r="C68" i="308"/>
  <c r="D33" i="308"/>
  <c r="G57" i="129"/>
  <c r="C46" i="332"/>
  <c r="I55" i="332"/>
  <c r="P19" i="308"/>
  <c r="I19" i="308"/>
  <c r="Y19" i="308"/>
  <c r="Q19" i="308"/>
  <c r="Q8" i="308"/>
  <c r="Y8" i="308"/>
  <c r="D8" i="308"/>
  <c r="I8" i="308"/>
  <c r="Z8" i="308"/>
  <c r="R8" i="308"/>
  <c r="P8" i="308"/>
  <c r="R16" i="308"/>
  <c r="Q16" i="308"/>
  <c r="Y16" i="308"/>
  <c r="I16" i="308"/>
  <c r="Z16" i="308"/>
  <c r="P16" i="308"/>
  <c r="D16" i="308"/>
  <c r="S15" i="298"/>
  <c r="Y12" i="308"/>
  <c r="Q12" i="308"/>
  <c r="Z12" i="308"/>
  <c r="R12" i="308"/>
  <c r="I12" i="308"/>
  <c r="P12" i="308"/>
  <c r="D12" i="308"/>
  <c r="D22" i="308"/>
  <c r="P22" i="308"/>
  <c r="Z22" i="308"/>
  <c r="I22" i="308"/>
  <c r="C64" i="308"/>
  <c r="Q22" i="308"/>
  <c r="Y22" i="308"/>
  <c r="R22" i="308"/>
  <c r="G56" i="129"/>
  <c r="C28" i="332"/>
  <c r="I40" i="332"/>
  <c r="T22" i="294"/>
  <c r="Z41" i="293"/>
  <c r="P41" i="293"/>
  <c r="Q41" i="293"/>
  <c r="R41" i="293"/>
  <c r="C43" i="293"/>
  <c r="I41" i="293"/>
  <c r="Y41" i="293"/>
  <c r="D41" i="293"/>
  <c r="D43" i="293"/>
  <c r="C46" i="331"/>
  <c r="I55" i="331"/>
  <c r="C47" i="293"/>
  <c r="I45" i="293"/>
  <c r="Z45" i="293"/>
  <c r="Q45" i="293"/>
  <c r="P45" i="293"/>
  <c r="Y45" i="293"/>
  <c r="R45" i="293"/>
  <c r="D45" i="293"/>
  <c r="D47" i="293"/>
  <c r="I37" i="293"/>
  <c r="R37" i="293"/>
  <c r="C39" i="293"/>
  <c r="Z37" i="293"/>
  <c r="Q37" i="293"/>
  <c r="Y37" i="293"/>
  <c r="D37" i="293"/>
  <c r="D39" i="293"/>
  <c r="P37" i="293"/>
  <c r="R32" i="293"/>
  <c r="I32" i="293"/>
  <c r="Q32" i="293"/>
  <c r="D32" i="293"/>
  <c r="Y32" i="293"/>
  <c r="Z32" i="293"/>
  <c r="C34" i="293"/>
  <c r="C67" i="293"/>
  <c r="P32" i="293"/>
  <c r="Q11" i="293"/>
  <c r="P11" i="293"/>
  <c r="R11" i="293"/>
  <c r="Z11" i="293"/>
  <c r="C13" i="293"/>
  <c r="Y11" i="293"/>
  <c r="I11" i="293"/>
  <c r="D11" i="293"/>
  <c r="D13" i="293"/>
  <c r="I15" i="293"/>
  <c r="D15" i="293"/>
  <c r="D17" i="293"/>
  <c r="R15" i="293"/>
  <c r="Y15" i="293"/>
  <c r="C17" i="293"/>
  <c r="Q15" i="293"/>
  <c r="Z15" i="293"/>
  <c r="P15" i="293"/>
  <c r="T15" i="294"/>
  <c r="I21" i="293"/>
  <c r="D21" i="293"/>
  <c r="D23" i="293"/>
  <c r="Q21" i="293"/>
  <c r="C23" i="293"/>
  <c r="Y21" i="293"/>
  <c r="R21" i="293"/>
  <c r="P21" i="293"/>
  <c r="Z21" i="293"/>
  <c r="Q18" i="293"/>
  <c r="D18" i="293"/>
  <c r="D20" i="293"/>
  <c r="Y18" i="293"/>
  <c r="C20" i="293"/>
  <c r="I18" i="293"/>
  <c r="P18" i="293"/>
  <c r="C63" i="293"/>
  <c r="P7" i="293"/>
  <c r="I7" i="293"/>
  <c r="Q7" i="293"/>
  <c r="Y7" i="293"/>
  <c r="R7" i="293"/>
  <c r="C9" i="293"/>
  <c r="Z7" i="293"/>
  <c r="D7" i="293"/>
  <c r="I41" i="292"/>
  <c r="P41" i="292"/>
  <c r="D41" i="292"/>
  <c r="D43" i="292"/>
  <c r="R41" i="292"/>
  <c r="Z41" i="292"/>
  <c r="Q41" i="292"/>
  <c r="C43" i="292"/>
  <c r="Y41" i="292"/>
  <c r="C67" i="292"/>
  <c r="P32" i="292"/>
  <c r="D32" i="292"/>
  <c r="C34" i="292"/>
  <c r="Q32" i="292"/>
  <c r="Z32" i="292"/>
  <c r="R32" i="292"/>
  <c r="I32" i="292"/>
  <c r="Y32" i="292"/>
  <c r="C46" i="330"/>
  <c r="J58" i="127"/>
  <c r="P37" i="292"/>
  <c r="Z37" i="292"/>
  <c r="I37" i="292"/>
  <c r="Y37" i="292"/>
  <c r="Q37" i="292"/>
  <c r="D37" i="292"/>
  <c r="D39" i="292"/>
  <c r="C39" i="292"/>
  <c r="R37" i="292"/>
  <c r="R45" i="292"/>
  <c r="Q45" i="292"/>
  <c r="P45" i="292"/>
  <c r="I45" i="292"/>
  <c r="C47" i="292"/>
  <c r="Y45" i="292"/>
  <c r="D45" i="292"/>
  <c r="D47" i="292"/>
  <c r="Z45" i="292"/>
  <c r="S22" i="294"/>
  <c r="P18" i="292"/>
  <c r="Y18" i="292"/>
  <c r="C20" i="292"/>
  <c r="I18" i="292"/>
  <c r="Q18" i="292"/>
  <c r="D18" i="292"/>
  <c r="D20" i="292"/>
  <c r="I21" i="292"/>
  <c r="Z21" i="292"/>
  <c r="D21" i="292"/>
  <c r="D23" i="292"/>
  <c r="Q21" i="292"/>
  <c r="Y21" i="292"/>
  <c r="R21" i="292"/>
  <c r="P21" i="292"/>
  <c r="C23" i="292"/>
  <c r="D11" i="292"/>
  <c r="D13" i="292"/>
  <c r="Y11" i="292"/>
  <c r="Z11" i="292"/>
  <c r="R11" i="292"/>
  <c r="P11" i="292"/>
  <c r="C13" i="292"/>
  <c r="I11" i="292"/>
  <c r="Q11" i="292"/>
  <c r="C17" i="292"/>
  <c r="Q15" i="292"/>
  <c r="R15" i="292"/>
  <c r="D15" i="292"/>
  <c r="D17" i="292"/>
  <c r="I15" i="292"/>
  <c r="Z15" i="292"/>
  <c r="P15" i="292"/>
  <c r="Y15" i="292"/>
  <c r="R22" i="294"/>
  <c r="Z45" i="308"/>
  <c r="I45" i="308"/>
  <c r="Q45" i="308"/>
  <c r="C47" i="308"/>
  <c r="D45" i="308"/>
  <c r="D47" i="308"/>
  <c r="R45" i="308"/>
  <c r="Y45" i="308"/>
  <c r="P45" i="308"/>
  <c r="C39" i="308"/>
  <c r="I37" i="308"/>
  <c r="R37" i="308"/>
  <c r="D37" i="308"/>
  <c r="D39" i="308"/>
  <c r="Y37" i="308"/>
  <c r="P37" i="308"/>
  <c r="Q37" i="308"/>
  <c r="Z37" i="308"/>
  <c r="C34" i="308"/>
  <c r="I32" i="308"/>
  <c r="Y32" i="308"/>
  <c r="R32" i="308"/>
  <c r="P32" i="308"/>
  <c r="D32" i="308"/>
  <c r="Z32" i="308"/>
  <c r="Q32" i="308"/>
  <c r="Y18" i="308"/>
  <c r="C20" i="308"/>
  <c r="D18" i="308"/>
  <c r="D20" i="308"/>
  <c r="I18" i="308"/>
  <c r="Q18" i="308"/>
  <c r="P18" i="308"/>
  <c r="R15" i="308"/>
  <c r="Z15" i="308"/>
  <c r="C17" i="308"/>
  <c r="I15" i="308"/>
  <c r="Y15" i="308"/>
  <c r="P15" i="308"/>
  <c r="D15" i="308"/>
  <c r="D17" i="308"/>
  <c r="Q15" i="308"/>
  <c r="Z7" i="308"/>
  <c r="C9" i="308"/>
  <c r="D7" i="308"/>
  <c r="D9" i="308"/>
  <c r="P7" i="308"/>
  <c r="Q7" i="308"/>
  <c r="Y7" i="308"/>
  <c r="R7" i="308"/>
  <c r="I7" i="308"/>
  <c r="R15" i="294"/>
  <c r="P11" i="308"/>
  <c r="Y11" i="308"/>
  <c r="Z11" i="308"/>
  <c r="Q11" i="308"/>
  <c r="I11" i="308"/>
  <c r="C13" i="308"/>
  <c r="R11" i="308"/>
  <c r="D11" i="308"/>
  <c r="D13" i="308"/>
  <c r="G57" i="127"/>
  <c r="B29" i="256"/>
  <c r="Z21" i="308"/>
  <c r="P21" i="308"/>
  <c r="D21" i="308"/>
  <c r="Q21" i="308"/>
  <c r="I21" i="308"/>
  <c r="C63" i="308"/>
  <c r="Y21" i="308"/>
  <c r="C23" i="308"/>
  <c r="R21" i="308"/>
  <c r="Y7" i="292"/>
  <c r="Z7" i="292"/>
  <c r="C28" i="331"/>
  <c r="I40" i="331"/>
  <c r="I7" i="292"/>
  <c r="Q7" i="292"/>
  <c r="P7" i="292"/>
  <c r="C63" i="292"/>
  <c r="I39" i="292"/>
  <c r="C9" i="292"/>
  <c r="Y9" i="292"/>
  <c r="R7" i="292"/>
  <c r="J57" i="127"/>
  <c r="T57" i="127"/>
  <c r="P41" i="308"/>
  <c r="Y41" i="308"/>
  <c r="C30" i="195"/>
  <c r="B29" i="320"/>
  <c r="B30" i="320"/>
  <c r="C37" i="195"/>
  <c r="Q48" i="237"/>
  <c r="H26" i="238"/>
  <c r="H64" i="173"/>
  <c r="Q64" i="173"/>
  <c r="D64" i="173"/>
  <c r="E36" i="93"/>
  <c r="D39" i="170"/>
  <c r="Y64" i="173"/>
  <c r="D75" i="237"/>
  <c r="D77" i="237"/>
  <c r="H64" i="237"/>
  <c r="H19" i="237"/>
  <c r="H46" i="237"/>
  <c r="H72" i="237"/>
  <c r="P64" i="173"/>
  <c r="H7" i="237"/>
  <c r="C77" i="237"/>
  <c r="Y77" i="237"/>
  <c r="H25" i="237"/>
  <c r="H18" i="237"/>
  <c r="H41" i="237"/>
  <c r="H45" i="237"/>
  <c r="H37" i="237"/>
  <c r="H67" i="237"/>
  <c r="H32" i="237"/>
  <c r="H71" i="237"/>
  <c r="H63" i="237"/>
  <c r="H11" i="237"/>
  <c r="H21" i="237"/>
  <c r="H68" i="238"/>
  <c r="I28" i="174"/>
  <c r="I28" i="238"/>
  <c r="Z76" i="238"/>
  <c r="H8" i="238"/>
  <c r="D38" i="170"/>
  <c r="D34" i="170"/>
  <c r="D41" i="170"/>
  <c r="D37" i="170"/>
  <c r="H33" i="238"/>
  <c r="H38" i="238"/>
  <c r="D36" i="170"/>
  <c r="R28" i="174"/>
  <c r="Q59" i="140"/>
  <c r="C71" i="140"/>
  <c r="H63" i="140"/>
  <c r="P59" i="140"/>
  <c r="D35" i="172"/>
  <c r="D38" i="172"/>
  <c r="D37" i="172"/>
  <c r="D34" i="172"/>
  <c r="D41" i="172"/>
  <c r="D39" i="172"/>
  <c r="U57" i="129"/>
  <c r="D64" i="293"/>
  <c r="D76" i="293"/>
  <c r="Y28" i="237"/>
  <c r="Q63" i="140"/>
  <c r="P28" i="237"/>
  <c r="R76" i="238"/>
  <c r="D43" i="140"/>
  <c r="H72" i="238"/>
  <c r="Y76" i="238"/>
  <c r="H46" i="238"/>
  <c r="H42" i="238"/>
  <c r="D33" i="93"/>
  <c r="D34" i="93"/>
  <c r="D29" i="93"/>
  <c r="D31" i="93"/>
  <c r="D30" i="93"/>
  <c r="Q28" i="237"/>
  <c r="I28" i="237"/>
  <c r="R28" i="237"/>
  <c r="H12" i="238"/>
  <c r="H16" i="238"/>
  <c r="Q76" i="238"/>
  <c r="P76" i="238"/>
  <c r="E32" i="258"/>
  <c r="B51" i="258"/>
  <c r="E29" i="258"/>
  <c r="B50" i="258"/>
  <c r="E33" i="258"/>
  <c r="E28" i="258"/>
  <c r="B49" i="258"/>
  <c r="C41" i="258"/>
  <c r="E35" i="258"/>
  <c r="D41" i="308"/>
  <c r="D43" i="308"/>
  <c r="R41" i="308"/>
  <c r="P28" i="238"/>
  <c r="D41" i="255"/>
  <c r="Z41" i="308"/>
  <c r="C43" i="308"/>
  <c r="Y43" i="308"/>
  <c r="X35" i="173"/>
  <c r="R28" i="238"/>
  <c r="D39" i="255"/>
  <c r="C43" i="195"/>
  <c r="D40" i="195"/>
  <c r="D41" i="195"/>
  <c r="D35" i="255"/>
  <c r="E65" i="174"/>
  <c r="E75" i="174"/>
  <c r="E77" i="174"/>
  <c r="J77" i="174"/>
  <c r="C67" i="308"/>
  <c r="Z67" i="308"/>
  <c r="Q41" i="308"/>
  <c r="D59" i="173"/>
  <c r="D71" i="173"/>
  <c r="D73" i="173"/>
  <c r="Y28" i="238"/>
  <c r="D63" i="174"/>
  <c r="D65" i="174"/>
  <c r="H46" i="174"/>
  <c r="H26" i="174"/>
  <c r="H22" i="174"/>
  <c r="R76" i="174"/>
  <c r="H12" i="174"/>
  <c r="H38" i="174"/>
  <c r="H68" i="174"/>
  <c r="H42" i="174"/>
  <c r="H8" i="174"/>
  <c r="Q76" i="174"/>
  <c r="P76" i="174"/>
  <c r="H64" i="174"/>
  <c r="Y76" i="174"/>
  <c r="H33" i="174"/>
  <c r="H16" i="174"/>
  <c r="H72" i="174"/>
  <c r="D38" i="168"/>
  <c r="D37" i="168"/>
  <c r="D36" i="168"/>
  <c r="P48" i="237"/>
  <c r="Q59" i="173"/>
  <c r="Y28" i="174"/>
  <c r="R48" i="237"/>
  <c r="Q60" i="140"/>
  <c r="F35" i="137"/>
  <c r="F44" i="137"/>
  <c r="F47" i="137"/>
  <c r="H71" i="174"/>
  <c r="D62" i="140"/>
  <c r="D64" i="140"/>
  <c r="H67" i="174"/>
  <c r="D30" i="255"/>
  <c r="D38" i="255"/>
  <c r="D28" i="255"/>
  <c r="Z75" i="174"/>
  <c r="Y10" i="173"/>
  <c r="Q10" i="173"/>
  <c r="X10" i="173"/>
  <c r="P10" i="173"/>
  <c r="I10" i="173"/>
  <c r="D35" i="173"/>
  <c r="D44" i="173"/>
  <c r="D63" i="173"/>
  <c r="D65" i="173"/>
  <c r="Y39" i="173"/>
  <c r="J63" i="147"/>
  <c r="C30" i="194"/>
  <c r="P65" i="174"/>
  <c r="Q65" i="174"/>
  <c r="R65" i="174"/>
  <c r="Y65" i="174"/>
  <c r="E51" i="140"/>
  <c r="E66" i="140"/>
  <c r="E70" i="140"/>
  <c r="C66" i="140"/>
  <c r="H66" i="140"/>
  <c r="Z65" i="174"/>
  <c r="B41" i="166"/>
  <c r="D34" i="166"/>
  <c r="D41" i="166"/>
  <c r="D75" i="174"/>
  <c r="D77" i="174"/>
  <c r="D75" i="238"/>
  <c r="D77" i="238"/>
  <c r="D65" i="238"/>
  <c r="C44" i="173"/>
  <c r="Q44" i="173"/>
  <c r="Q43" i="173"/>
  <c r="Y43" i="173"/>
  <c r="P29" i="140"/>
  <c r="I29" i="140"/>
  <c r="Q29" i="140"/>
  <c r="I39" i="173"/>
  <c r="Q23" i="140"/>
  <c r="X43" i="173"/>
  <c r="C42" i="92"/>
  <c r="D33" i="92"/>
  <c r="D34" i="92"/>
  <c r="I48" i="237"/>
  <c r="R69" i="238"/>
  <c r="P69" i="238"/>
  <c r="Z69" i="238"/>
  <c r="Q69" i="238"/>
  <c r="Y69" i="238"/>
  <c r="C35" i="194"/>
  <c r="C37" i="194"/>
  <c r="E33" i="194"/>
  <c r="E35" i="194"/>
  <c r="D38" i="244"/>
  <c r="D35" i="244"/>
  <c r="D37" i="244"/>
  <c r="D34" i="244"/>
  <c r="D41" i="244"/>
  <c r="D39" i="244"/>
  <c r="I43" i="173"/>
  <c r="I35" i="173"/>
  <c r="Y35" i="173"/>
  <c r="Q35" i="173"/>
  <c r="Q39" i="173"/>
  <c r="C24" i="173"/>
  <c r="Q24" i="173"/>
  <c r="I23" i="140"/>
  <c r="E33" i="195"/>
  <c r="E35" i="195"/>
  <c r="H18" i="174"/>
  <c r="H25" i="174"/>
  <c r="H32" i="174"/>
  <c r="P75" i="174"/>
  <c r="R75" i="174"/>
  <c r="H21" i="174"/>
  <c r="H37" i="174"/>
  <c r="H15" i="174"/>
  <c r="Q75" i="174"/>
  <c r="H45" i="174"/>
  <c r="C77" i="174"/>
  <c r="H73" i="174"/>
  <c r="H19" i="174"/>
  <c r="H7" i="174"/>
  <c r="H41" i="174"/>
  <c r="Y75" i="174"/>
  <c r="H11" i="174"/>
  <c r="X39" i="173"/>
  <c r="D36" i="244"/>
  <c r="C65" i="173"/>
  <c r="Q63" i="173"/>
  <c r="Y63" i="173"/>
  <c r="P63" i="173"/>
  <c r="X63" i="173"/>
  <c r="P28" i="174"/>
  <c r="D28" i="208"/>
  <c r="D41" i="208"/>
  <c r="D33" i="208"/>
  <c r="D29" i="208"/>
  <c r="D32" i="208"/>
  <c r="D38" i="208"/>
  <c r="D30" i="208"/>
  <c r="P69" i="174"/>
  <c r="Q69" i="174"/>
  <c r="Y69" i="174"/>
  <c r="Z69" i="174"/>
  <c r="H36" i="140"/>
  <c r="H51" i="140"/>
  <c r="H16" i="140"/>
  <c r="H8" i="140"/>
  <c r="H20" i="140"/>
  <c r="H27" i="140"/>
  <c r="H47" i="140"/>
  <c r="H12" i="140"/>
  <c r="F63" i="147"/>
  <c r="C30" i="63"/>
  <c r="D35" i="208"/>
  <c r="D39" i="208"/>
  <c r="H40" i="140"/>
  <c r="C64" i="140"/>
  <c r="Q64" i="140"/>
  <c r="H62" i="140"/>
  <c r="C31" i="63"/>
  <c r="C37" i="63"/>
  <c r="E29" i="63"/>
  <c r="E31" i="63"/>
  <c r="R69" i="174"/>
  <c r="Q70" i="140"/>
  <c r="P60" i="140"/>
  <c r="P42" i="140"/>
  <c r="Q42" i="140"/>
  <c r="C43" i="140"/>
  <c r="P43" i="140"/>
  <c r="I42" i="140"/>
  <c r="H32" i="238"/>
  <c r="H25" i="238"/>
  <c r="H15" i="238"/>
  <c r="H67" i="238"/>
  <c r="C77" i="238"/>
  <c r="H75" i="238"/>
  <c r="H41" i="238"/>
  <c r="H11" i="238"/>
  <c r="H18" i="238"/>
  <c r="H19" i="238"/>
  <c r="H45" i="238"/>
  <c r="Q75" i="238"/>
  <c r="H21" i="238"/>
  <c r="H22" i="238"/>
  <c r="H71" i="238"/>
  <c r="R75" i="238"/>
  <c r="P75" i="238"/>
  <c r="H37" i="238"/>
  <c r="Y75" i="238"/>
  <c r="H58" i="140"/>
  <c r="C71" i="173"/>
  <c r="Y71" i="173"/>
  <c r="P59" i="173"/>
  <c r="C61" i="173"/>
  <c r="Q61" i="173"/>
  <c r="X59" i="173"/>
  <c r="D29" i="92"/>
  <c r="D31" i="92"/>
  <c r="D36" i="92"/>
  <c r="Q48" i="174"/>
  <c r="P48" i="174"/>
  <c r="E30" i="92"/>
  <c r="E29" i="92"/>
  <c r="E31" i="92"/>
  <c r="Q48" i="238"/>
  <c r="I48" i="238"/>
  <c r="P48" i="238"/>
  <c r="G58" i="127"/>
  <c r="B32" i="256"/>
  <c r="B33" i="256"/>
  <c r="P62" i="140"/>
  <c r="D39" i="92"/>
  <c r="D40" i="92"/>
  <c r="Q34" i="140"/>
  <c r="I34" i="140"/>
  <c r="R65" i="238"/>
  <c r="Q65" i="238"/>
  <c r="Y65" i="238"/>
  <c r="P65" i="238"/>
  <c r="Z65" i="238"/>
  <c r="R48" i="174"/>
  <c r="E33" i="92"/>
  <c r="E34" i="92"/>
  <c r="Z75" i="238"/>
  <c r="I23" i="173"/>
  <c r="P23" i="173"/>
  <c r="X23" i="173"/>
  <c r="Q23" i="173"/>
  <c r="D40" i="176"/>
  <c r="F40" i="176"/>
  <c r="F27" i="176"/>
  <c r="J28" i="290"/>
  <c r="N73" i="173"/>
  <c r="W76" i="290"/>
  <c r="Y76" i="290"/>
  <c r="M77" i="290"/>
  <c r="P76" i="290"/>
  <c r="D40" i="189"/>
  <c r="F40" i="189"/>
  <c r="D37" i="138"/>
  <c r="J23" i="140"/>
  <c r="I50" i="94"/>
  <c r="M32" i="120"/>
  <c r="M24" i="120"/>
  <c r="M33" i="120"/>
  <c r="X28" i="174"/>
  <c r="Z28" i="174"/>
  <c r="M72" i="140"/>
  <c r="W69" i="290"/>
  <c r="Y69" i="290"/>
  <c r="P69" i="290"/>
  <c r="G73" i="173"/>
  <c r="J73" i="173"/>
  <c r="F71" i="102"/>
  <c r="Q75" i="290"/>
  <c r="X75" i="290"/>
  <c r="Z75" i="290"/>
  <c r="N77" i="290"/>
  <c r="D68" i="308"/>
  <c r="D68" i="292"/>
  <c r="F32" i="175"/>
  <c r="D44" i="175"/>
  <c r="F44" i="175"/>
  <c r="X19" i="173"/>
  <c r="V24" i="173"/>
  <c r="Q68" i="102"/>
  <c r="P68" i="102"/>
  <c r="C71" i="102"/>
  <c r="H67" i="102"/>
  <c r="H56" i="102"/>
  <c r="V73" i="173"/>
  <c r="F29" i="247"/>
  <c r="D44" i="247"/>
  <c r="F44" i="247"/>
  <c r="F29" i="249"/>
  <c r="D44" i="249"/>
  <c r="F44" i="249"/>
  <c r="X69" i="237"/>
  <c r="Z69" i="237"/>
  <c r="Q69" i="237"/>
  <c r="Q65" i="237"/>
  <c r="X65" i="237"/>
  <c r="Z65" i="237"/>
  <c r="J24" i="173"/>
  <c r="X28" i="238"/>
  <c r="Z28" i="238"/>
  <c r="Z13" i="238"/>
  <c r="P70" i="102"/>
  <c r="H66" i="102"/>
  <c r="Q70" i="102"/>
  <c r="H27" i="102"/>
  <c r="H70" i="102"/>
  <c r="H58" i="102"/>
  <c r="P69" i="102"/>
  <c r="H61" i="102"/>
  <c r="Q69" i="102"/>
  <c r="H26" i="102"/>
  <c r="H69" i="102"/>
  <c r="H57" i="102"/>
  <c r="D42" i="211"/>
  <c r="N71" i="102"/>
  <c r="N77" i="102"/>
  <c r="H65" i="102"/>
  <c r="Y9" i="290"/>
  <c r="W28" i="290"/>
  <c r="Y28" i="290"/>
  <c r="D41" i="138"/>
  <c r="D41" i="97"/>
  <c r="L19" i="193"/>
  <c r="L20" i="193"/>
  <c r="L34" i="193"/>
  <c r="L37" i="193"/>
  <c r="M23" i="111"/>
  <c r="X76" i="237"/>
  <c r="Z76" i="237"/>
  <c r="Q76" i="237"/>
  <c r="J22" i="102"/>
  <c r="K50" i="185"/>
  <c r="J51" i="185"/>
  <c r="T77" i="308"/>
  <c r="X77" i="308"/>
  <c r="X75" i="308"/>
  <c r="Q63" i="102"/>
  <c r="P63" i="102"/>
  <c r="H63" i="102"/>
  <c r="J32" i="137"/>
  <c r="G35" i="137"/>
  <c r="C46" i="140"/>
  <c r="G44" i="137"/>
  <c r="W75" i="308"/>
  <c r="Z9" i="237"/>
  <c r="X28" i="237"/>
  <c r="Z28" i="237"/>
  <c r="F27" i="231"/>
  <c r="D41" i="231"/>
  <c r="F41" i="231"/>
  <c r="H60" i="102"/>
  <c r="D39" i="141"/>
  <c r="D34" i="141"/>
  <c r="D38" i="141"/>
  <c r="D37" i="141"/>
  <c r="D35" i="141"/>
  <c r="F48" i="249"/>
  <c r="D57" i="249"/>
  <c r="F57" i="249"/>
  <c r="J71" i="102"/>
  <c r="J77" i="102"/>
  <c r="H64" i="102"/>
  <c r="M20" i="120"/>
  <c r="M23" i="120"/>
  <c r="L23" i="120"/>
  <c r="V77" i="293"/>
  <c r="X77" i="293"/>
  <c r="X75" i="293"/>
  <c r="H62" i="102"/>
  <c r="F77" i="102"/>
  <c r="D41" i="178"/>
  <c r="D43" i="178"/>
  <c r="I71" i="102"/>
  <c r="I77" i="102"/>
  <c r="P42" i="102"/>
  <c r="Q42" i="102"/>
  <c r="H42" i="102"/>
  <c r="O77" i="290"/>
  <c r="R77" i="290"/>
  <c r="R75" i="290"/>
  <c r="Q75" i="237"/>
  <c r="N77" i="237"/>
  <c r="X75" i="237"/>
  <c r="Z75" i="237"/>
  <c r="N72" i="140"/>
  <c r="O77" i="237"/>
  <c r="R75" i="237"/>
  <c r="Z17" i="290"/>
  <c r="X28" i="290"/>
  <c r="Z28" i="290"/>
  <c r="C50" i="140"/>
  <c r="G46" i="137"/>
  <c r="J46" i="137"/>
  <c r="W77" i="308"/>
  <c r="F46" i="231"/>
  <c r="D55" i="231"/>
  <c r="F55" i="231"/>
  <c r="D70" i="140"/>
  <c r="D72" i="140"/>
  <c r="D60" i="140"/>
  <c r="D64" i="292"/>
  <c r="D76" i="292"/>
  <c r="R64" i="293"/>
  <c r="Q64" i="293"/>
  <c r="Z64" i="293"/>
  <c r="Y64" i="293"/>
  <c r="P64" i="293"/>
  <c r="D68" i="293"/>
  <c r="P68" i="293"/>
  <c r="Z68" i="293"/>
  <c r="Y68" i="293"/>
  <c r="Q68" i="293"/>
  <c r="R68" i="293"/>
  <c r="B33" i="320"/>
  <c r="Q68" i="292"/>
  <c r="P68" i="292"/>
  <c r="R68" i="292"/>
  <c r="Z68" i="292"/>
  <c r="Y68" i="292"/>
  <c r="T57" i="129"/>
  <c r="B32" i="319"/>
  <c r="B33" i="319"/>
  <c r="T56" i="129"/>
  <c r="B29" i="319"/>
  <c r="Y64" i="292"/>
  <c r="Z64" i="292"/>
  <c r="R64" i="292"/>
  <c r="Q64" i="292"/>
  <c r="P64" i="292"/>
  <c r="Y68" i="308"/>
  <c r="R68" i="308"/>
  <c r="Z68" i="308"/>
  <c r="Q68" i="308"/>
  <c r="P68" i="308"/>
  <c r="S57" i="129"/>
  <c r="B32" i="287"/>
  <c r="B33" i="287"/>
  <c r="D64" i="308"/>
  <c r="D76" i="308"/>
  <c r="B29" i="287"/>
  <c r="S56" i="129"/>
  <c r="Z64" i="308"/>
  <c r="P64" i="308"/>
  <c r="Q64" i="308"/>
  <c r="Y64" i="308"/>
  <c r="R64" i="308"/>
  <c r="Y47" i="293"/>
  <c r="C48" i="293"/>
  <c r="I47" i="293"/>
  <c r="P47" i="293"/>
  <c r="R47" i="293"/>
  <c r="Q47" i="293"/>
  <c r="Z47" i="293"/>
  <c r="R67" i="293"/>
  <c r="C69" i="293"/>
  <c r="P67" i="293"/>
  <c r="Z67" i="293"/>
  <c r="Y67" i="293"/>
  <c r="Q67" i="293"/>
  <c r="D34" i="293"/>
  <c r="D48" i="293"/>
  <c r="D67" i="293"/>
  <c r="D69" i="293"/>
  <c r="B32" i="315"/>
  <c r="B33" i="315"/>
  <c r="U58" i="127"/>
  <c r="Z34" i="293"/>
  <c r="Q34" i="293"/>
  <c r="P34" i="293"/>
  <c r="R34" i="293"/>
  <c r="I34" i="293"/>
  <c r="Y34" i="293"/>
  <c r="Z39" i="293"/>
  <c r="Q39" i="293"/>
  <c r="R39" i="293"/>
  <c r="Y39" i="293"/>
  <c r="P39" i="293"/>
  <c r="I43" i="293"/>
  <c r="P43" i="293"/>
  <c r="R43" i="293"/>
  <c r="Z43" i="293"/>
  <c r="Q43" i="293"/>
  <c r="Y43" i="293"/>
  <c r="P20" i="293"/>
  <c r="Z20" i="293"/>
  <c r="Y20" i="293"/>
  <c r="Q20" i="293"/>
  <c r="I20" i="293"/>
  <c r="P23" i="293"/>
  <c r="R23" i="293"/>
  <c r="Z23" i="293"/>
  <c r="Q23" i="293"/>
  <c r="I23" i="293"/>
  <c r="Y23" i="293"/>
  <c r="C28" i="293"/>
  <c r="Q17" i="293"/>
  <c r="Y17" i="293"/>
  <c r="Z17" i="293"/>
  <c r="R17" i="293"/>
  <c r="I17" i="293"/>
  <c r="P17" i="293"/>
  <c r="D9" i="293"/>
  <c r="D28" i="293"/>
  <c r="D63" i="293"/>
  <c r="Q63" i="293"/>
  <c r="Y63" i="293"/>
  <c r="R63" i="293"/>
  <c r="C65" i="293"/>
  <c r="P63" i="293"/>
  <c r="Z63" i="293"/>
  <c r="I39" i="293"/>
  <c r="B29" i="315"/>
  <c r="U57" i="127"/>
  <c r="I9" i="293"/>
  <c r="P9" i="293"/>
  <c r="Q9" i="293"/>
  <c r="R9" i="293"/>
  <c r="Z9" i="293"/>
  <c r="Y9" i="293"/>
  <c r="I13" i="293"/>
  <c r="P13" i="293"/>
  <c r="Y13" i="293"/>
  <c r="Q13" i="293"/>
  <c r="R13" i="293"/>
  <c r="Z13" i="293"/>
  <c r="R47" i="292"/>
  <c r="Y47" i="292"/>
  <c r="P47" i="292"/>
  <c r="I47" i="292"/>
  <c r="Z47" i="292"/>
  <c r="C48" i="292"/>
  <c r="Q47" i="292"/>
  <c r="I34" i="292"/>
  <c r="P34" i="292"/>
  <c r="Y34" i="292"/>
  <c r="Q34" i="292"/>
  <c r="R34" i="292"/>
  <c r="Z34" i="292"/>
  <c r="T58" i="127"/>
  <c r="B32" i="314"/>
  <c r="B33" i="314"/>
  <c r="D34" i="292"/>
  <c r="D48" i="292"/>
  <c r="D67" i="292"/>
  <c r="D69" i="292"/>
  <c r="Q43" i="292"/>
  <c r="R43" i="292"/>
  <c r="P43" i="292"/>
  <c r="I43" i="292"/>
  <c r="Z43" i="292"/>
  <c r="Y43" i="292"/>
  <c r="Q39" i="292"/>
  <c r="R39" i="292"/>
  <c r="P39" i="292"/>
  <c r="Y39" i="292"/>
  <c r="Z39" i="292"/>
  <c r="R67" i="292"/>
  <c r="C69" i="292"/>
  <c r="P67" i="292"/>
  <c r="Q67" i="292"/>
  <c r="Y67" i="292"/>
  <c r="Z67" i="292"/>
  <c r="Y20" i="292"/>
  <c r="Z20" i="292"/>
  <c r="Q20" i="292"/>
  <c r="P20" i="292"/>
  <c r="I20" i="292"/>
  <c r="D9" i="292"/>
  <c r="D28" i="292"/>
  <c r="D63" i="292"/>
  <c r="Z17" i="292"/>
  <c r="Y17" i="292"/>
  <c r="P17" i="292"/>
  <c r="Q17" i="292"/>
  <c r="I17" i="292"/>
  <c r="R17" i="292"/>
  <c r="R13" i="292"/>
  <c r="P13" i="292"/>
  <c r="Q13" i="292"/>
  <c r="Z13" i="292"/>
  <c r="I13" i="292"/>
  <c r="Y13" i="292"/>
  <c r="P23" i="292"/>
  <c r="I23" i="292"/>
  <c r="Z23" i="292"/>
  <c r="Y23" i="292"/>
  <c r="Q23" i="292"/>
  <c r="R23" i="292"/>
  <c r="B29" i="314"/>
  <c r="Y47" i="308"/>
  <c r="I47" i="308"/>
  <c r="Q47" i="308"/>
  <c r="R47" i="308"/>
  <c r="P47" i="308"/>
  <c r="Z47" i="308"/>
  <c r="Z39" i="308"/>
  <c r="Y39" i="308"/>
  <c r="R39" i="308"/>
  <c r="Q39" i="308"/>
  <c r="P39" i="308"/>
  <c r="D67" i="308"/>
  <c r="D69" i="308"/>
  <c r="D34" i="308"/>
  <c r="Q67" i="308"/>
  <c r="R34" i="308"/>
  <c r="Q34" i="308"/>
  <c r="Y34" i="308"/>
  <c r="Z34" i="308"/>
  <c r="I34" i="308"/>
  <c r="P34" i="308"/>
  <c r="Q20" i="308"/>
  <c r="I20" i="308"/>
  <c r="Z20" i="308"/>
  <c r="Y20" i="308"/>
  <c r="P20" i="308"/>
  <c r="S57" i="127"/>
  <c r="R17" i="308"/>
  <c r="I17" i="308"/>
  <c r="Y17" i="308"/>
  <c r="P17" i="308"/>
  <c r="Q17" i="308"/>
  <c r="Z17" i="308"/>
  <c r="R9" i="308"/>
  <c r="I9" i="308"/>
  <c r="Q9" i="308"/>
  <c r="Z9" i="308"/>
  <c r="P9" i="308"/>
  <c r="Y9" i="308"/>
  <c r="R13" i="308"/>
  <c r="Q13" i="308"/>
  <c r="Y13" i="308"/>
  <c r="I13" i="308"/>
  <c r="P13" i="308"/>
  <c r="Z13" i="308"/>
  <c r="D23" i="308"/>
  <c r="D28" i="308"/>
  <c r="D63" i="308"/>
  <c r="C65" i="308"/>
  <c r="Y63" i="308"/>
  <c r="Z63" i="308"/>
  <c r="Q63" i="308"/>
  <c r="R63" i="308"/>
  <c r="P63" i="308"/>
  <c r="I39" i="308"/>
  <c r="Y23" i="308"/>
  <c r="Q23" i="308"/>
  <c r="C28" i="308"/>
  <c r="I23" i="308"/>
  <c r="Z23" i="308"/>
  <c r="P23" i="308"/>
  <c r="R23" i="308"/>
  <c r="B30" i="256"/>
  <c r="P9" i="292"/>
  <c r="Y63" i="292"/>
  <c r="P63" i="292"/>
  <c r="C65" i="292"/>
  <c r="P65" i="292"/>
  <c r="Z63" i="292"/>
  <c r="I9" i="292"/>
  <c r="Q9" i="292"/>
  <c r="Z9" i="292"/>
  <c r="Q63" i="292"/>
  <c r="R63" i="292"/>
  <c r="C28" i="292"/>
  <c r="Q28" i="292"/>
  <c r="R9" i="292"/>
  <c r="E30" i="195"/>
  <c r="E29" i="195"/>
  <c r="E31" i="195"/>
  <c r="E37" i="195"/>
  <c r="R77" i="237"/>
  <c r="H69" i="174"/>
  <c r="H48" i="237"/>
  <c r="C69" i="308"/>
  <c r="R67" i="308"/>
  <c r="Y67" i="308"/>
  <c r="R43" i="308"/>
  <c r="D46" i="195"/>
  <c r="P67" i="308"/>
  <c r="D48" i="308"/>
  <c r="H48" i="238"/>
  <c r="H27" i="237"/>
  <c r="H39" i="237"/>
  <c r="H75" i="237"/>
  <c r="H74" i="237"/>
  <c r="H43" i="237"/>
  <c r="H23" i="237"/>
  <c r="H13" i="237"/>
  <c r="P77" i="237"/>
  <c r="H77" i="237"/>
  <c r="H20" i="237"/>
  <c r="H9" i="237"/>
  <c r="H47" i="237"/>
  <c r="H76" i="237"/>
  <c r="H65" i="237"/>
  <c r="H34" i="237"/>
  <c r="H69" i="237"/>
  <c r="H73" i="237"/>
  <c r="H17" i="237"/>
  <c r="H28" i="237"/>
  <c r="I77" i="237"/>
  <c r="P43" i="308"/>
  <c r="D29" i="195"/>
  <c r="D31" i="195"/>
  <c r="Q43" i="308"/>
  <c r="D45" i="195"/>
  <c r="Q71" i="140"/>
  <c r="D30" i="195"/>
  <c r="H59" i="140"/>
  <c r="D33" i="258"/>
  <c r="D41" i="258"/>
  <c r="D38" i="258"/>
  <c r="D29" i="258"/>
  <c r="D32" i="258"/>
  <c r="D28" i="258"/>
  <c r="D39" i="258"/>
  <c r="D30" i="258"/>
  <c r="I43" i="308"/>
  <c r="D33" i="195"/>
  <c r="D35" i="195"/>
  <c r="I44" i="173"/>
  <c r="Z43" i="308"/>
  <c r="C48" i="308"/>
  <c r="R48" i="308"/>
  <c r="D44" i="195"/>
  <c r="D35" i="258"/>
  <c r="D36" i="93"/>
  <c r="D42" i="93"/>
  <c r="H28" i="140"/>
  <c r="H48" i="140"/>
  <c r="H17" i="140"/>
  <c r="H13" i="140"/>
  <c r="H37" i="140"/>
  <c r="H21" i="140"/>
  <c r="H52" i="140"/>
  <c r="H41" i="140"/>
  <c r="H67" i="140"/>
  <c r="H9" i="140"/>
  <c r="H33" i="140"/>
  <c r="P71" i="140"/>
  <c r="D61" i="173"/>
  <c r="D30" i="92"/>
  <c r="S58" i="127"/>
  <c r="H75" i="174"/>
  <c r="X24" i="173"/>
  <c r="H65" i="238"/>
  <c r="H28" i="174"/>
  <c r="H48" i="174"/>
  <c r="D42" i="92"/>
  <c r="Z77" i="174"/>
  <c r="P44" i="173"/>
  <c r="X61" i="173"/>
  <c r="P24" i="173"/>
  <c r="Q65" i="173"/>
  <c r="Y65" i="173"/>
  <c r="P65" i="173"/>
  <c r="D37" i="166"/>
  <c r="D39" i="166"/>
  <c r="D38" i="166"/>
  <c r="D35" i="166"/>
  <c r="I43" i="140"/>
  <c r="H27" i="174"/>
  <c r="H74" i="174"/>
  <c r="H77" i="174"/>
  <c r="H76" i="174"/>
  <c r="P77" i="174"/>
  <c r="H9" i="174"/>
  <c r="H23" i="174"/>
  <c r="H20" i="174"/>
  <c r="R77" i="174"/>
  <c r="Q77" i="174"/>
  <c r="I77" i="174"/>
  <c r="H47" i="174"/>
  <c r="H43" i="174"/>
  <c r="H39" i="174"/>
  <c r="H13" i="174"/>
  <c r="H34" i="174"/>
  <c r="Y77" i="174"/>
  <c r="H17" i="174"/>
  <c r="I24" i="173"/>
  <c r="C43" i="194"/>
  <c r="E29" i="194"/>
  <c r="E31" i="194"/>
  <c r="E37" i="194"/>
  <c r="H65" i="174"/>
  <c r="E30" i="194"/>
  <c r="Y24" i="173"/>
  <c r="D36" i="166"/>
  <c r="X65" i="173"/>
  <c r="Q43" i="140"/>
  <c r="E36" i="92"/>
  <c r="C43" i="63"/>
  <c r="D30" i="63"/>
  <c r="E33" i="63"/>
  <c r="E35" i="63"/>
  <c r="E37" i="63"/>
  <c r="E30" i="63"/>
  <c r="H59" i="173"/>
  <c r="H63" i="173"/>
  <c r="H33" i="173"/>
  <c r="H48" i="173"/>
  <c r="C73" i="173"/>
  <c r="H61" i="173"/>
  <c r="H41" i="173"/>
  <c r="H37" i="173"/>
  <c r="H28" i="173"/>
  <c r="H8" i="173"/>
  <c r="H67" i="173"/>
  <c r="H12" i="173"/>
  <c r="H17" i="173"/>
  <c r="H52" i="173"/>
  <c r="P71" i="173"/>
  <c r="H21" i="173"/>
  <c r="Q71" i="173"/>
  <c r="X71" i="173"/>
  <c r="P61" i="173"/>
  <c r="H74" i="238"/>
  <c r="P77" i="238"/>
  <c r="H27" i="238"/>
  <c r="H76" i="238"/>
  <c r="H77" i="238"/>
  <c r="H43" i="238"/>
  <c r="H34" i="238"/>
  <c r="Q77" i="238"/>
  <c r="H9" i="238"/>
  <c r="H47" i="238"/>
  <c r="H17" i="238"/>
  <c r="R77" i="238"/>
  <c r="H23" i="238"/>
  <c r="H73" i="238"/>
  <c r="H69" i="238"/>
  <c r="H13" i="238"/>
  <c r="I77" i="238"/>
  <c r="Y77" i="238"/>
  <c r="H20" i="238"/>
  <c r="H28" i="238"/>
  <c r="Z77" i="238"/>
  <c r="H39" i="238"/>
  <c r="P64" i="140"/>
  <c r="Y61" i="173"/>
  <c r="W77" i="290"/>
  <c r="Y77" i="290"/>
  <c r="P77" i="290"/>
  <c r="W73" i="173"/>
  <c r="X77" i="290"/>
  <c r="Z77" i="290"/>
  <c r="Q77" i="290"/>
  <c r="D41" i="141"/>
  <c r="G47" i="137"/>
  <c r="C49" i="140"/>
  <c r="E46" i="140"/>
  <c r="C65" i="140"/>
  <c r="H41" i="102"/>
  <c r="H9" i="102"/>
  <c r="P71" i="102"/>
  <c r="P77" i="102"/>
  <c r="Q71" i="102"/>
  <c r="Q77" i="102"/>
  <c r="H33" i="102"/>
  <c r="H28" i="102"/>
  <c r="H13" i="102"/>
  <c r="H71" i="102"/>
  <c r="H77" i="102"/>
  <c r="C77" i="102"/>
  <c r="H21" i="102"/>
  <c r="H22" i="102"/>
  <c r="H17" i="102"/>
  <c r="H59" i="102"/>
  <c r="H37" i="102"/>
  <c r="X77" i="237"/>
  <c r="Z77" i="237"/>
  <c r="Q77" i="237"/>
  <c r="F32" i="178"/>
  <c r="D44" i="178"/>
  <c r="F44" i="178"/>
  <c r="J35" i="137"/>
  <c r="J44" i="137"/>
  <c r="J47" i="137"/>
  <c r="C53" i="140"/>
  <c r="E50" i="140"/>
  <c r="E53" i="140"/>
  <c r="H68" i="102"/>
  <c r="B35" i="320"/>
  <c r="B30" i="319"/>
  <c r="B30" i="287"/>
  <c r="P48" i="293"/>
  <c r="I48" i="293"/>
  <c r="Q48" i="293"/>
  <c r="R48" i="293"/>
  <c r="Q69" i="293"/>
  <c r="R69" i="293"/>
  <c r="Y69" i="293"/>
  <c r="P69" i="293"/>
  <c r="Z69" i="293"/>
  <c r="B30" i="315"/>
  <c r="Q65" i="293"/>
  <c r="R65" i="293"/>
  <c r="Y65" i="293"/>
  <c r="P65" i="293"/>
  <c r="Z65" i="293"/>
  <c r="D75" i="293"/>
  <c r="D77" i="293"/>
  <c r="D65" i="293"/>
  <c r="P28" i="293"/>
  <c r="R28" i="293"/>
  <c r="Q28" i="293"/>
  <c r="I28" i="293"/>
  <c r="Z28" i="293"/>
  <c r="Y28" i="293"/>
  <c r="Q69" i="292"/>
  <c r="P69" i="292"/>
  <c r="R69" i="292"/>
  <c r="Y69" i="292"/>
  <c r="Z69" i="292"/>
  <c r="R48" i="292"/>
  <c r="Q48" i="292"/>
  <c r="I48" i="292"/>
  <c r="P48" i="292"/>
  <c r="B30" i="314"/>
  <c r="D75" i="292"/>
  <c r="D77" i="292"/>
  <c r="D65" i="292"/>
  <c r="R28" i="292"/>
  <c r="I28" i="292"/>
  <c r="Z28" i="292"/>
  <c r="Y28" i="292"/>
  <c r="Y69" i="308"/>
  <c r="Q69" i="308"/>
  <c r="Z69" i="308"/>
  <c r="R69" i="308"/>
  <c r="P69" i="308"/>
  <c r="Q48" i="308"/>
  <c r="Q28" i="308"/>
  <c r="Z28" i="308"/>
  <c r="Y28" i="308"/>
  <c r="P28" i="308"/>
  <c r="I28" i="308"/>
  <c r="R28" i="308"/>
  <c r="Q65" i="308"/>
  <c r="Y65" i="308"/>
  <c r="R65" i="308"/>
  <c r="Z65" i="308"/>
  <c r="P65" i="308"/>
  <c r="D65" i="308"/>
  <c r="D75" i="308"/>
  <c r="D77" i="308"/>
  <c r="B35" i="256"/>
  <c r="D30" i="256"/>
  <c r="P28" i="292"/>
  <c r="Z65" i="292"/>
  <c r="R65" i="292"/>
  <c r="Q65" i="292"/>
  <c r="Y65" i="292"/>
  <c r="D37" i="195"/>
  <c r="D43" i="195"/>
  <c r="I48" i="308"/>
  <c r="P48" i="308"/>
  <c r="Y73" i="173"/>
  <c r="D29" i="194"/>
  <c r="D31" i="194"/>
  <c r="D40" i="194"/>
  <c r="D41" i="194"/>
  <c r="D44" i="194"/>
  <c r="D30" i="194"/>
  <c r="D45" i="194"/>
  <c r="D33" i="194"/>
  <c r="D35" i="194"/>
  <c r="D46" i="194"/>
  <c r="H71" i="173"/>
  <c r="H19" i="173"/>
  <c r="H54" i="173"/>
  <c r="H35" i="173"/>
  <c r="H44" i="173"/>
  <c r="H24" i="173"/>
  <c r="H73" i="173"/>
  <c r="H30" i="173"/>
  <c r="H55" i="173"/>
  <c r="H43" i="173"/>
  <c r="H65" i="173"/>
  <c r="H70" i="173"/>
  <c r="H10" i="173"/>
  <c r="H14" i="173"/>
  <c r="H39" i="173"/>
  <c r="H72" i="173"/>
  <c r="H69" i="173"/>
  <c r="H23" i="173"/>
  <c r="H50" i="173"/>
  <c r="I73" i="173"/>
  <c r="P73" i="173"/>
  <c r="X73" i="173"/>
  <c r="D45" i="63"/>
  <c r="D46" i="63"/>
  <c r="D40" i="63"/>
  <c r="D41" i="63"/>
  <c r="D44" i="63"/>
  <c r="D33" i="63"/>
  <c r="D35" i="63"/>
  <c r="D29" i="63"/>
  <c r="D31" i="63"/>
  <c r="Q73" i="173"/>
  <c r="E65" i="140"/>
  <c r="E49" i="140"/>
  <c r="E54" i="140"/>
  <c r="J54" i="140"/>
  <c r="C54" i="140"/>
  <c r="C68" i="140"/>
  <c r="C69" i="140"/>
  <c r="H65" i="140"/>
  <c r="D28" i="320"/>
  <c r="B49" i="320"/>
  <c r="D35" i="320"/>
  <c r="D32" i="320"/>
  <c r="B51" i="320"/>
  <c r="D29" i="320"/>
  <c r="B50" i="320"/>
  <c r="D33" i="320"/>
  <c r="D30" i="320"/>
  <c r="B35" i="319"/>
  <c r="D30" i="319"/>
  <c r="B35" i="287"/>
  <c r="B35" i="315"/>
  <c r="B35" i="314"/>
  <c r="D28" i="256"/>
  <c r="B49" i="256"/>
  <c r="D32" i="256"/>
  <c r="B51" i="256"/>
  <c r="D33" i="256"/>
  <c r="D35" i="256"/>
  <c r="D29" i="256"/>
  <c r="B50" i="256"/>
  <c r="D37" i="63"/>
  <c r="D43" i="63"/>
  <c r="D37" i="194"/>
  <c r="D43" i="194"/>
  <c r="I54" i="140"/>
  <c r="H11" i="140"/>
  <c r="H31" i="140"/>
  <c r="H61" i="140"/>
  <c r="P69" i="140"/>
  <c r="H35" i="140"/>
  <c r="H7" i="140"/>
  <c r="H15" i="140"/>
  <c r="H57" i="140"/>
  <c r="Q69" i="140"/>
  <c r="H39" i="140"/>
  <c r="H19" i="140"/>
  <c r="H26" i="140"/>
  <c r="C72" i="140"/>
  <c r="H68" i="140"/>
  <c r="H46" i="140"/>
  <c r="H50" i="140"/>
  <c r="E68" i="140"/>
  <c r="E69" i="140"/>
  <c r="E72" i="140"/>
  <c r="J72" i="140"/>
  <c r="D32" i="319"/>
  <c r="B51" i="319"/>
  <c r="D35" i="319"/>
  <c r="D33" i="319"/>
  <c r="D28" i="319"/>
  <c r="B49" i="319"/>
  <c r="D29" i="319"/>
  <c r="B50" i="319"/>
  <c r="D33" i="287"/>
  <c r="D35" i="287"/>
  <c r="D28" i="287"/>
  <c r="B49" i="287"/>
  <c r="D32" i="287"/>
  <c r="B51" i="287"/>
  <c r="D29" i="287"/>
  <c r="B50" i="287"/>
  <c r="D30" i="287"/>
  <c r="D32" i="315"/>
  <c r="B51" i="315"/>
  <c r="D33" i="315"/>
  <c r="D35" i="315"/>
  <c r="D28" i="315"/>
  <c r="B49" i="315"/>
  <c r="D29" i="315"/>
  <c r="B50" i="315"/>
  <c r="D30" i="315"/>
  <c r="D33" i="314"/>
  <c r="D35" i="314"/>
  <c r="D32" i="314"/>
  <c r="B51" i="314"/>
  <c r="D28" i="314"/>
  <c r="B49" i="314"/>
  <c r="D29" i="314"/>
  <c r="B50" i="314"/>
  <c r="D30" i="314"/>
  <c r="H69" i="140"/>
  <c r="H23" i="140"/>
  <c r="Q72" i="140"/>
  <c r="H38" i="140"/>
  <c r="H71" i="140"/>
  <c r="H60" i="140"/>
  <c r="H42" i="140"/>
  <c r="H43" i="140"/>
  <c r="H14" i="140"/>
  <c r="H10" i="140"/>
  <c r="H22" i="140"/>
  <c r="H18" i="140"/>
  <c r="H72" i="140"/>
  <c r="H34" i="140"/>
  <c r="H64" i="140"/>
  <c r="P72" i="140"/>
  <c r="H29" i="140"/>
  <c r="H70" i="140"/>
  <c r="I72" i="140"/>
  <c r="H49" i="140"/>
  <c r="H53" i="140"/>
  <c r="H54" i="140"/>
  <c r="L19" i="312"/>
  <c r="L20" i="312"/>
  <c r="L21" i="312"/>
  <c r="L22" i="312"/>
  <c r="L19" i="318"/>
  <c r="L20" i="318"/>
  <c r="L21" i="318"/>
  <c r="L22" i="318"/>
  <c r="B34" i="324" a="1"/>
  <c r="B39" i="324"/>
  <c r="B34" i="324"/>
  <c r="B35" i="324"/>
  <c r="B36" i="324"/>
  <c r="B37" i="324"/>
  <c r="B38" i="324"/>
  <c r="B41" i="324"/>
  <c r="F50" i="127"/>
  <c r="F60" i="127"/>
  <c r="F65" i="127"/>
  <c r="H50" i="127"/>
  <c r="H51" i="127"/>
  <c r="K50" i="127"/>
  <c r="K60" i="127"/>
  <c r="F51" i="127"/>
  <c r="F59" i="127"/>
  <c r="H59" i="127"/>
  <c r="K59" i="127"/>
  <c r="H60" i="127"/>
  <c r="F50" i="129"/>
  <c r="F51" i="129"/>
  <c r="H50" i="129"/>
  <c r="H51" i="129"/>
  <c r="K50" i="129"/>
  <c r="K51" i="129"/>
  <c r="F58" i="129"/>
  <c r="H58" i="129"/>
  <c r="K58" i="129"/>
  <c r="F59" i="129"/>
  <c r="F63" i="129"/>
  <c r="B34" i="246" a="1"/>
  <c r="B34" i="246"/>
  <c r="B35" i="246"/>
  <c r="B36" i="246"/>
  <c r="B37" i="246"/>
  <c r="B38" i="246"/>
  <c r="B39" i="246"/>
  <c r="B41" i="246"/>
  <c r="K51" i="127"/>
  <c r="H59" i="129"/>
  <c r="H63" i="129"/>
  <c r="K59" i="129"/>
  <c r="K63" i="129"/>
  <c r="B34" i="323" a="1"/>
  <c r="B38" i="323"/>
  <c r="B34" i="323"/>
  <c r="B35" i="323"/>
  <c r="B36" i="323"/>
  <c r="B37" i="323"/>
  <c r="B39" i="323"/>
  <c r="B41" i="323"/>
  <c r="B34" i="317" a="1"/>
  <c r="B34" i="317"/>
  <c r="B35" i="317"/>
  <c r="B36" i="317"/>
  <c r="B37" i="317"/>
  <c r="B38" i="317"/>
  <c r="B39" i="317"/>
  <c r="B41" i="317"/>
  <c r="B34" i="321" a="1"/>
  <c r="B36" i="321"/>
  <c r="B34" i="321"/>
  <c r="B35" i="321"/>
  <c r="B37" i="321"/>
  <c r="B38" i="321"/>
  <c r="B39" i="321"/>
  <c r="B41" i="321"/>
  <c r="B34" i="322" a="1"/>
  <c r="B37" i="322"/>
  <c r="B34" i="322"/>
  <c r="B35" i="322"/>
  <c r="B36" i="322"/>
  <c r="B38" i="322"/>
  <c r="B39" i="322"/>
  <c r="B41" i="322"/>
  <c r="K17" i="335" l="1"/>
  <c r="N14" i="129"/>
  <c r="N18" i="129" s="1"/>
  <c r="N56" i="129" s="1"/>
  <c r="O17" i="337"/>
  <c r="G51" i="337"/>
  <c r="K13" i="337"/>
  <c r="N14" i="127" l="1"/>
  <c r="N18" i="127" s="1"/>
  <c r="N57" i="127" s="1"/>
  <c r="Q15" i="337"/>
  <c r="Q13" i="337"/>
  <c r="K17" i="337"/>
  <c r="Q17" i="337" s="1"/>
  <c r="Q16" i="337"/>
  <c r="B34" i="336" l="1" a="1"/>
  <c r="B34" i="336"/>
  <c r="B35" i="336"/>
  <c r="B36" i="336"/>
  <c r="B37" i="336"/>
  <c r="B38" i="336"/>
  <c r="B39" i="336"/>
  <c r="B41" i="336"/>
  <c r="H8" i="308"/>
  <c r="H9" i="308"/>
  <c r="H11" i="308"/>
  <c r="H12" i="308"/>
  <c r="H13" i="308"/>
  <c r="H15" i="308"/>
  <c r="H16" i="308"/>
  <c r="H17" i="308"/>
  <c r="H18" i="308"/>
  <c r="H19" i="308"/>
  <c r="H20" i="308"/>
  <c r="H21" i="308"/>
  <c r="H22" i="308"/>
  <c r="H23" i="308"/>
  <c r="H25" i="308"/>
  <c r="H26" i="308"/>
  <c r="H27" i="308"/>
  <c r="H28" i="308"/>
  <c r="H32" i="308"/>
  <c r="H33" i="308"/>
  <c r="H34" i="308"/>
  <c r="H37" i="308"/>
  <c r="H38" i="308"/>
  <c r="H39" i="308"/>
  <c r="H41" i="308"/>
  <c r="H42" i="308"/>
  <c r="H43" i="308"/>
  <c r="H45" i="308"/>
  <c r="H46" i="308"/>
  <c r="H47" i="308"/>
  <c r="H48" i="308"/>
  <c r="C56" i="308"/>
  <c r="C57" i="308"/>
  <c r="C58" i="308"/>
  <c r="C59" i="308"/>
  <c r="H63" i="308"/>
  <c r="H64" i="308"/>
  <c r="H65" i="308"/>
  <c r="H67" i="308"/>
  <c r="H68" i="308"/>
  <c r="H69" i="308"/>
  <c r="C71" i="308"/>
  <c r="H71" i="308"/>
  <c r="C72" i="308"/>
  <c r="H72" i="308"/>
  <c r="C73" i="308"/>
  <c r="H73" i="308"/>
  <c r="H74" i="308"/>
  <c r="C75" i="308"/>
  <c r="H75" i="308"/>
  <c r="P75" i="308"/>
  <c r="Q75" i="308"/>
  <c r="R75" i="308"/>
  <c r="Y75" i="308"/>
  <c r="Z75" i="308"/>
  <c r="C76" i="308"/>
  <c r="H76" i="308"/>
  <c r="P76" i="308"/>
  <c r="Q76" i="308"/>
  <c r="R76" i="308"/>
  <c r="Y76" i="308"/>
  <c r="Z76" i="308"/>
  <c r="C77" i="308"/>
  <c r="H77" i="308"/>
  <c r="I77" i="308"/>
  <c r="P77" i="308"/>
  <c r="Q77" i="308"/>
  <c r="R77" i="308"/>
  <c r="Y77" i="308"/>
  <c r="Z77" i="308"/>
  <c r="H8" i="292"/>
  <c r="H9" i="292"/>
  <c r="H11" i="292"/>
  <c r="H12" i="292"/>
  <c r="H13" i="292"/>
  <c r="H15" i="292"/>
  <c r="H16" i="292"/>
  <c r="H17" i="292"/>
  <c r="H18" i="292"/>
  <c r="H19" i="292"/>
  <c r="H20" i="292"/>
  <c r="H21" i="292"/>
  <c r="H22" i="292"/>
  <c r="H23" i="292"/>
  <c r="H25" i="292"/>
  <c r="H26" i="292"/>
  <c r="H27" i="292"/>
  <c r="H28" i="292"/>
  <c r="H32" i="292"/>
  <c r="H33" i="292"/>
  <c r="H34" i="292"/>
  <c r="H37" i="292"/>
  <c r="H38" i="292"/>
  <c r="H39" i="292"/>
  <c r="H41" i="292"/>
  <c r="H42" i="292"/>
  <c r="H43" i="292"/>
  <c r="H45" i="292"/>
  <c r="H46" i="292"/>
  <c r="H47" i="292"/>
  <c r="H48" i="292"/>
  <c r="C56" i="292"/>
  <c r="C57" i="292"/>
  <c r="C58" i="292"/>
  <c r="C59" i="292"/>
  <c r="H63" i="292"/>
  <c r="H64" i="292"/>
  <c r="H65" i="292"/>
  <c r="H67" i="292"/>
  <c r="H68" i="292"/>
  <c r="H69" i="292"/>
  <c r="C71" i="292"/>
  <c r="H71" i="292"/>
  <c r="C72" i="292"/>
  <c r="H72" i="292"/>
  <c r="C73" i="292"/>
  <c r="H73" i="292"/>
  <c r="H74" i="292"/>
  <c r="C75" i="292"/>
  <c r="H75" i="292"/>
  <c r="P75" i="292"/>
  <c r="Q75" i="292"/>
  <c r="R75" i="292"/>
  <c r="Y75" i="292"/>
  <c r="Z75" i="292"/>
  <c r="C76" i="292"/>
  <c r="H76" i="292"/>
  <c r="P76" i="292"/>
  <c r="Q76" i="292"/>
  <c r="R76" i="292"/>
  <c r="Y76" i="292"/>
  <c r="Z76" i="292"/>
  <c r="C77" i="292"/>
  <c r="H77" i="292"/>
  <c r="I77" i="292"/>
  <c r="P77" i="292"/>
  <c r="Q77" i="292"/>
  <c r="R77" i="292"/>
  <c r="Y77" i="292"/>
  <c r="Z77" i="292"/>
  <c r="H8" i="293"/>
  <c r="H9" i="293"/>
  <c r="H11" i="293"/>
  <c r="H12" i="293"/>
  <c r="H13" i="293"/>
  <c r="H15" i="293"/>
  <c r="H16" i="293"/>
  <c r="H17" i="293"/>
  <c r="H18" i="293"/>
  <c r="H19" i="293"/>
  <c r="H20" i="293"/>
  <c r="H21" i="293"/>
  <c r="H22" i="293"/>
  <c r="H23" i="293"/>
  <c r="H25" i="293"/>
  <c r="H26" i="293"/>
  <c r="H27" i="293"/>
  <c r="H28" i="293"/>
  <c r="H32" i="293"/>
  <c r="H33" i="293"/>
  <c r="H34" i="293"/>
  <c r="H37" i="293"/>
  <c r="H38" i="293"/>
  <c r="H39" i="293"/>
  <c r="H41" i="293"/>
  <c r="H42" i="293"/>
  <c r="H43" i="293"/>
  <c r="H45" i="293"/>
  <c r="H46" i="293"/>
  <c r="H47" i="293"/>
  <c r="H48" i="293"/>
  <c r="C56" i="293"/>
  <c r="C57" i="293"/>
  <c r="C58" i="293"/>
  <c r="C59" i="293"/>
  <c r="H63" i="293"/>
  <c r="H64" i="293"/>
  <c r="H65" i="293"/>
  <c r="H67" i="293"/>
  <c r="H68" i="293"/>
  <c r="H69" i="293"/>
  <c r="C71" i="293"/>
  <c r="H71" i="293"/>
  <c r="C72" i="293"/>
  <c r="H72" i="293"/>
  <c r="C73" i="293"/>
  <c r="H73" i="293"/>
  <c r="H74" i="293"/>
  <c r="C75" i="293"/>
  <c r="H75" i="293"/>
  <c r="P75" i="293"/>
  <c r="Q75" i="293"/>
  <c r="R75" i="293"/>
  <c r="Y75" i="293"/>
  <c r="Z75" i="293"/>
  <c r="C76" i="293"/>
  <c r="H76" i="293"/>
  <c r="P76" i="293"/>
  <c r="Q76" i="293"/>
  <c r="R76" i="293"/>
  <c r="Y76" i="293"/>
  <c r="Z76" i="293"/>
  <c r="C77" i="293"/>
  <c r="H77" i="293"/>
  <c r="I77" i="293"/>
  <c r="P77" i="293"/>
  <c r="Q77" i="293"/>
  <c r="R77" i="293"/>
  <c r="Y77" i="293"/>
  <c r="Z77" i="293"/>
  <c r="B4" i="329"/>
  <c r="D7" i="329"/>
  <c r="D8" i="329"/>
  <c r="AE8" i="329"/>
  <c r="D9" i="329"/>
  <c r="D10" i="329"/>
  <c r="AC10" i="329"/>
  <c r="D11" i="329"/>
  <c r="D12" i="329"/>
  <c r="D13" i="329"/>
  <c r="D14" i="329"/>
  <c r="C16" i="329"/>
  <c r="K28" i="329"/>
  <c r="K40" i="329"/>
  <c r="K41" i="329"/>
  <c r="K42" i="329"/>
  <c r="K46" i="329"/>
  <c r="K55" i="329"/>
  <c r="K56" i="329"/>
  <c r="K61" i="329"/>
  <c r="K62" i="329"/>
  <c r="K63" i="329"/>
  <c r="C28" i="256"/>
  <c r="C29" i="256"/>
  <c r="C30" i="256"/>
  <c r="C32" i="256"/>
  <c r="C33" i="256"/>
  <c r="C35" i="256"/>
  <c r="B38" i="256"/>
  <c r="C38" i="256"/>
  <c r="B39" i="256"/>
  <c r="C39" i="256"/>
  <c r="B41" i="256"/>
  <c r="C41" i="256"/>
  <c r="C34" i="324"/>
  <c r="C35" i="324"/>
  <c r="C36" i="324"/>
  <c r="C37" i="324"/>
  <c r="C38" i="324"/>
  <c r="C39" i="324"/>
  <c r="B40" i="324"/>
  <c r="C40" i="324"/>
  <c r="C41" i="324"/>
  <c r="B43" i="324"/>
  <c r="C43" i="324"/>
  <c r="B4" i="330"/>
  <c r="D7" i="330"/>
  <c r="D8" i="330"/>
  <c r="AE8" i="330"/>
  <c r="D9" i="330"/>
  <c r="D10" i="330"/>
  <c r="AC10" i="330"/>
  <c r="D11" i="330"/>
  <c r="D12" i="330"/>
  <c r="D13" i="330"/>
  <c r="D14" i="330"/>
  <c r="C16" i="330"/>
  <c r="K28" i="330"/>
  <c r="K40" i="330"/>
  <c r="K41" i="330"/>
  <c r="K42" i="330"/>
  <c r="K46" i="330"/>
  <c r="K55" i="330"/>
  <c r="K56" i="330"/>
  <c r="K61" i="330"/>
  <c r="K62" i="330"/>
  <c r="K63" i="330"/>
  <c r="C28" i="314"/>
  <c r="C29" i="314"/>
  <c r="C30" i="314"/>
  <c r="C32" i="314"/>
  <c r="C33" i="314"/>
  <c r="C35" i="314"/>
  <c r="B38" i="314"/>
  <c r="C38" i="314"/>
  <c r="B39" i="314"/>
  <c r="C39" i="314"/>
  <c r="B41" i="314"/>
  <c r="C41" i="314"/>
  <c r="C34" i="323"/>
  <c r="C35" i="323"/>
  <c r="C36" i="323"/>
  <c r="C37" i="323"/>
  <c r="C38" i="323"/>
  <c r="C39" i="323"/>
  <c r="B40" i="323"/>
  <c r="C40" i="323"/>
  <c r="C41" i="323"/>
  <c r="B43" i="323"/>
  <c r="C43" i="323"/>
  <c r="B4" i="331"/>
  <c r="D7" i="331"/>
  <c r="D8" i="331"/>
  <c r="AE8" i="331"/>
  <c r="D9" i="331"/>
  <c r="D10" i="331"/>
  <c r="AC10" i="331"/>
  <c r="D11" i="331"/>
  <c r="D12" i="331"/>
  <c r="D13" i="331"/>
  <c r="D14" i="331"/>
  <c r="C16" i="331"/>
  <c r="K28" i="331"/>
  <c r="K40" i="331"/>
  <c r="K41" i="331"/>
  <c r="K42" i="331"/>
  <c r="K46" i="331"/>
  <c r="K55" i="331"/>
  <c r="K56" i="331"/>
  <c r="K61" i="331"/>
  <c r="K62" i="331"/>
  <c r="K63" i="331"/>
  <c r="C28" i="315"/>
  <c r="C29" i="315"/>
  <c r="C30" i="315"/>
  <c r="C32" i="315"/>
  <c r="C33" i="315"/>
  <c r="C35" i="315"/>
  <c r="B38" i="315"/>
  <c r="C38" i="315"/>
  <c r="B39" i="315"/>
  <c r="C39" i="315"/>
  <c r="B41" i="315"/>
  <c r="C41" i="315"/>
  <c r="C34" i="317"/>
  <c r="C35" i="317"/>
  <c r="C36" i="317"/>
  <c r="C37" i="317"/>
  <c r="C38" i="317"/>
  <c r="C39" i="317"/>
  <c r="B40" i="317"/>
  <c r="C40" i="317"/>
  <c r="C41" i="317"/>
  <c r="B43" i="317"/>
  <c r="C43" i="317"/>
  <c r="G49" i="127"/>
  <c r="J49" i="127"/>
  <c r="M49" i="127"/>
  <c r="N49" i="127"/>
  <c r="G50" i="127"/>
  <c r="J50" i="127"/>
  <c r="M50" i="127"/>
  <c r="N50" i="127"/>
  <c r="G51" i="127"/>
  <c r="J51" i="127"/>
  <c r="M51" i="127"/>
  <c r="N51" i="127"/>
  <c r="G59" i="127"/>
  <c r="J59" i="127"/>
  <c r="M59" i="127"/>
  <c r="N59" i="127"/>
  <c r="S59" i="127"/>
  <c r="T59" i="127"/>
  <c r="U59" i="127"/>
  <c r="G60" i="127"/>
  <c r="J60" i="127"/>
  <c r="M60" i="127"/>
  <c r="N60" i="127"/>
  <c r="S60" i="127"/>
  <c r="T60" i="127"/>
  <c r="U60" i="127"/>
  <c r="G62" i="127"/>
  <c r="J62" i="127"/>
  <c r="M62" i="127"/>
  <c r="N62" i="127"/>
  <c r="G65" i="127"/>
  <c r="J65" i="127"/>
  <c r="M65" i="127"/>
  <c r="N65" i="127"/>
  <c r="G67" i="127"/>
  <c r="J67" i="127"/>
  <c r="M67" i="127"/>
  <c r="N67" i="127"/>
  <c r="C20" i="309"/>
  <c r="E20" i="309"/>
  <c r="F20" i="309"/>
  <c r="G20" i="309"/>
  <c r="H20" i="309"/>
  <c r="C25" i="309"/>
  <c r="E25" i="309"/>
  <c r="F25" i="309"/>
  <c r="G25" i="309"/>
  <c r="H25" i="309"/>
  <c r="L12" i="306"/>
  <c r="L13" i="306"/>
  <c r="L14" i="306"/>
  <c r="L15" i="306"/>
  <c r="L16" i="306"/>
  <c r="L17" i="306"/>
  <c r="L19" i="306"/>
  <c r="L20" i="306"/>
  <c r="L21" i="306"/>
  <c r="L22" i="306"/>
  <c r="L23" i="306"/>
  <c r="L24" i="306"/>
  <c r="I48" i="306"/>
  <c r="K48" i="306"/>
  <c r="I49" i="306"/>
  <c r="K49" i="306"/>
  <c r="I51" i="306"/>
  <c r="K51" i="306"/>
  <c r="J55" i="306"/>
  <c r="K55" i="306"/>
  <c r="L12" i="311"/>
  <c r="L13" i="311"/>
  <c r="R13" i="311"/>
  <c r="S13" i="311"/>
  <c r="L14" i="311"/>
  <c r="L15" i="311"/>
  <c r="R15" i="311"/>
  <c r="S15" i="311"/>
  <c r="L16" i="311"/>
  <c r="R16" i="311"/>
  <c r="S16" i="311"/>
  <c r="L17" i="311"/>
  <c r="L19" i="311"/>
  <c r="L20" i="311"/>
  <c r="L21" i="311"/>
  <c r="L22" i="311"/>
  <c r="L23" i="311"/>
  <c r="I48" i="311"/>
  <c r="K48" i="311"/>
  <c r="I49" i="311"/>
  <c r="K49" i="311"/>
  <c r="I51" i="311"/>
  <c r="K51" i="311"/>
  <c r="J55" i="311"/>
  <c r="K55" i="311"/>
  <c r="L12" i="313"/>
  <c r="L13" i="313"/>
  <c r="R13" i="313"/>
  <c r="S13" i="313"/>
  <c r="L14" i="313"/>
  <c r="L15" i="313"/>
  <c r="R15" i="313"/>
  <c r="S15" i="313"/>
  <c r="L16" i="313"/>
  <c r="R16" i="313"/>
  <c r="S16" i="313"/>
  <c r="L17" i="313"/>
  <c r="L19" i="313"/>
  <c r="L20" i="313"/>
  <c r="L21" i="313"/>
  <c r="L22" i="313"/>
  <c r="L23" i="313"/>
  <c r="I48" i="313"/>
  <c r="K48" i="313"/>
  <c r="I49" i="313"/>
  <c r="K49" i="313"/>
  <c r="I51" i="313"/>
  <c r="K51" i="313"/>
  <c r="J55" i="313"/>
  <c r="K55" i="313"/>
  <c r="L12" i="337"/>
  <c r="L13" i="337"/>
  <c r="R13" i="337"/>
  <c r="S13" i="337"/>
  <c r="L14" i="337"/>
  <c r="L15" i="337"/>
  <c r="R15" i="337"/>
  <c r="S15" i="337"/>
  <c r="L16" i="337"/>
  <c r="R16" i="337"/>
  <c r="S16" i="337"/>
  <c r="L17" i="337"/>
  <c r="L19" i="337"/>
  <c r="L20" i="337"/>
  <c r="L21" i="337"/>
  <c r="L22" i="337"/>
  <c r="L23" i="337"/>
  <c r="I48" i="337"/>
  <c r="K48" i="337"/>
  <c r="I49" i="337"/>
  <c r="K49" i="337"/>
  <c r="I51" i="337"/>
  <c r="K51" i="337"/>
  <c r="J55" i="337"/>
  <c r="K55" i="337"/>
  <c r="R58" i="294"/>
  <c r="S58" i="294"/>
  <c r="T58" i="294"/>
  <c r="R59" i="294"/>
  <c r="S59" i="294"/>
  <c r="T59" i="294"/>
  <c r="R60" i="294"/>
  <c r="S60" i="294"/>
  <c r="T60" i="294"/>
  <c r="R62" i="294"/>
  <c r="S62" i="294"/>
  <c r="T62" i="294"/>
  <c r="B4" i="332"/>
  <c r="D7" i="332"/>
  <c r="D8" i="332"/>
  <c r="AE8" i="332"/>
  <c r="D9" i="332"/>
  <c r="D10" i="332"/>
  <c r="AC10" i="332"/>
  <c r="D11" i="332"/>
  <c r="D12" i="332"/>
  <c r="D13" i="332"/>
  <c r="D14" i="332"/>
  <c r="C16" i="332"/>
  <c r="K28" i="332"/>
  <c r="K40" i="332"/>
  <c r="K41" i="332"/>
  <c r="K42" i="332"/>
  <c r="K46" i="332"/>
  <c r="K55" i="332"/>
  <c r="K56" i="332"/>
  <c r="K61" i="332"/>
  <c r="K62" i="332"/>
  <c r="K63" i="332"/>
  <c r="C28" i="287"/>
  <c r="C29" i="287"/>
  <c r="C30" i="287"/>
  <c r="C32" i="287"/>
  <c r="C33" i="287"/>
  <c r="C35" i="287"/>
  <c r="B38" i="287"/>
  <c r="C38" i="287"/>
  <c r="B39" i="287"/>
  <c r="C39" i="287"/>
  <c r="B41" i="287"/>
  <c r="C41" i="287"/>
  <c r="C34" i="246"/>
  <c r="C35" i="246"/>
  <c r="C36" i="246"/>
  <c r="C37" i="246"/>
  <c r="C38" i="246"/>
  <c r="C39" i="246"/>
  <c r="B40" i="246"/>
  <c r="C40" i="246"/>
  <c r="C41" i="246"/>
  <c r="B43" i="246"/>
  <c r="C43" i="246"/>
  <c r="B4" i="333"/>
  <c r="D7" i="333"/>
  <c r="D8" i="333"/>
  <c r="AE8" i="333"/>
  <c r="D9" i="333"/>
  <c r="D10" i="333"/>
  <c r="AC10" i="333"/>
  <c r="D11" i="333"/>
  <c r="D12" i="333"/>
  <c r="D13" i="333"/>
  <c r="D14" i="333"/>
  <c r="C16" i="333"/>
  <c r="K28" i="333"/>
  <c r="K40" i="333"/>
  <c r="K41" i="333"/>
  <c r="K42" i="333"/>
  <c r="K46" i="333"/>
  <c r="K55" i="333"/>
  <c r="K56" i="333"/>
  <c r="K61" i="333"/>
  <c r="K62" i="333"/>
  <c r="K63" i="333"/>
  <c r="C28" i="319"/>
  <c r="C29" i="319"/>
  <c r="C30" i="319"/>
  <c r="C32" i="319"/>
  <c r="C33" i="319"/>
  <c r="C35" i="319"/>
  <c r="B38" i="319"/>
  <c r="C38" i="319"/>
  <c r="B39" i="319"/>
  <c r="C39" i="319"/>
  <c r="B41" i="319"/>
  <c r="C41" i="319"/>
  <c r="C34" i="321"/>
  <c r="C35" i="321"/>
  <c r="C36" i="321"/>
  <c r="C37" i="321"/>
  <c r="C38" i="321"/>
  <c r="C39" i="321"/>
  <c r="B40" i="321"/>
  <c r="C40" i="321"/>
  <c r="C41" i="321"/>
  <c r="B43" i="321"/>
  <c r="C43" i="321"/>
  <c r="B4" i="334"/>
  <c r="D7" i="334"/>
  <c r="D8" i="334"/>
  <c r="AE8" i="334"/>
  <c r="D9" i="334"/>
  <c r="D10" i="334"/>
  <c r="AC10" i="334"/>
  <c r="D11" i="334"/>
  <c r="D12" i="334"/>
  <c r="D13" i="334"/>
  <c r="D14" i="334"/>
  <c r="C16" i="334"/>
  <c r="K28" i="334"/>
  <c r="K40" i="334"/>
  <c r="K41" i="334"/>
  <c r="K42" i="334"/>
  <c r="K46" i="334"/>
  <c r="K55" i="334"/>
  <c r="K56" i="334"/>
  <c r="K61" i="334"/>
  <c r="K62" i="334"/>
  <c r="K63" i="334"/>
  <c r="C28" i="320"/>
  <c r="C29" i="320"/>
  <c r="C30" i="320"/>
  <c r="C32" i="320"/>
  <c r="C33" i="320"/>
  <c r="C35" i="320"/>
  <c r="B38" i="320"/>
  <c r="C38" i="320"/>
  <c r="B39" i="320"/>
  <c r="C39" i="320"/>
  <c r="B41" i="320"/>
  <c r="C41" i="320"/>
  <c r="C34" i="322"/>
  <c r="C35" i="322"/>
  <c r="C36" i="322"/>
  <c r="C37" i="322"/>
  <c r="C38" i="322"/>
  <c r="C39" i="322"/>
  <c r="B40" i="322"/>
  <c r="C40" i="322"/>
  <c r="C41" i="322"/>
  <c r="B43" i="322"/>
  <c r="C43" i="322"/>
  <c r="C34" i="336"/>
  <c r="C35" i="336"/>
  <c r="C36" i="336"/>
  <c r="C37" i="336"/>
  <c r="C38" i="336"/>
  <c r="C39" i="336"/>
  <c r="B40" i="336"/>
  <c r="C40" i="336"/>
  <c r="C41" i="336"/>
  <c r="B43" i="336"/>
  <c r="C43" i="336"/>
  <c r="G49" i="129"/>
  <c r="J49" i="129"/>
  <c r="M49" i="129"/>
  <c r="N49" i="129"/>
  <c r="G50" i="129"/>
  <c r="J50" i="129"/>
  <c r="M50" i="129"/>
  <c r="N50" i="129"/>
  <c r="G51" i="129"/>
  <c r="J51" i="129"/>
  <c r="M51" i="129"/>
  <c r="N51" i="129"/>
  <c r="G58" i="129"/>
  <c r="J58" i="129"/>
  <c r="M58" i="129"/>
  <c r="N58" i="129"/>
  <c r="S58" i="129"/>
  <c r="T58" i="129"/>
  <c r="U58" i="129"/>
  <c r="G59" i="129"/>
  <c r="J59" i="129"/>
  <c r="M59" i="129"/>
  <c r="N59" i="129"/>
  <c r="S59" i="129"/>
  <c r="T59" i="129"/>
  <c r="U59" i="129"/>
  <c r="G61" i="129"/>
  <c r="J61" i="129"/>
  <c r="M61" i="129"/>
  <c r="N61" i="129"/>
  <c r="G63" i="129"/>
  <c r="J63" i="129"/>
  <c r="M63" i="129"/>
  <c r="N63" i="129"/>
  <c r="C20" i="310"/>
  <c r="E20" i="310"/>
  <c r="F20" i="310"/>
  <c r="G20" i="310"/>
  <c r="H20" i="310"/>
  <c r="C25" i="310"/>
  <c r="E25" i="310"/>
  <c r="F25" i="310"/>
  <c r="G25" i="310"/>
  <c r="H25" i="310"/>
  <c r="L12" i="307"/>
  <c r="L13" i="307"/>
  <c r="L14" i="307"/>
  <c r="L15" i="307"/>
  <c r="L16" i="307"/>
  <c r="L17" i="307"/>
  <c r="L19" i="307"/>
  <c r="L20" i="307"/>
  <c r="L21" i="307"/>
  <c r="L22" i="307"/>
  <c r="L23" i="307"/>
  <c r="L24" i="307"/>
  <c r="I48" i="307"/>
  <c r="K48" i="307"/>
  <c r="I49" i="307"/>
  <c r="K49" i="307"/>
  <c r="I51" i="307"/>
  <c r="K51" i="307"/>
  <c r="K53" i="307"/>
  <c r="L12" i="312"/>
  <c r="L13" i="312"/>
  <c r="R13" i="312"/>
  <c r="S13" i="312"/>
  <c r="L14" i="312"/>
  <c r="L15" i="312"/>
  <c r="R15" i="312"/>
  <c r="S15" i="312"/>
  <c r="L16" i="312"/>
  <c r="R16" i="312"/>
  <c r="S16" i="312"/>
  <c r="L17" i="312"/>
  <c r="R17" i="312"/>
  <c r="I48" i="312"/>
  <c r="K48" i="312"/>
  <c r="I49" i="312"/>
  <c r="K49" i="312"/>
  <c r="I51" i="312"/>
  <c r="K51" i="312"/>
  <c r="K55" i="312"/>
  <c r="L12" i="318"/>
  <c r="L13" i="318"/>
  <c r="R13" i="318"/>
  <c r="S13" i="318"/>
  <c r="L14" i="318"/>
  <c r="L15" i="318"/>
  <c r="R15" i="318"/>
  <c r="S15" i="318"/>
  <c r="L16" i="318"/>
  <c r="R16" i="318"/>
  <c r="S16" i="318"/>
  <c r="L17" i="318"/>
  <c r="R17" i="318"/>
  <c r="I48" i="318"/>
  <c r="K48" i="318"/>
  <c r="I49" i="318"/>
  <c r="K49" i="318"/>
  <c r="I51" i="318"/>
  <c r="K51" i="318"/>
  <c r="K55" i="318"/>
  <c r="L12" i="335"/>
  <c r="L13" i="335"/>
  <c r="R13" i="335"/>
  <c r="S13" i="335"/>
  <c r="L14" i="335"/>
  <c r="L15" i="335"/>
  <c r="R15" i="335"/>
  <c r="S15" i="335"/>
  <c r="L16" i="335"/>
  <c r="R16" i="335"/>
  <c r="S16" i="335"/>
  <c r="L17" i="335"/>
  <c r="R17" i="335"/>
  <c r="L19" i="335"/>
  <c r="L20" i="335"/>
  <c r="L21" i="335"/>
  <c r="L22" i="335"/>
  <c r="L23" i="335"/>
  <c r="I48" i="335"/>
  <c r="K48" i="335"/>
  <c r="I49" i="335"/>
  <c r="K49" i="335"/>
  <c r="I51" i="335"/>
  <c r="K51" i="335"/>
  <c r="K55" i="335"/>
  <c r="S58" i="298"/>
  <c r="T58" i="298"/>
  <c r="U58" i="298"/>
  <c r="S59" i="298"/>
  <c r="T59" i="298"/>
  <c r="U59" i="298"/>
  <c r="S60" i="298"/>
  <c r="T60" i="298"/>
  <c r="U60" i="2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Oswald</author>
    <author>Donna Wells</author>
  </authors>
  <commentList>
    <comment ref="I16" authorId="0" shapeId="0" xr:uid="{00000000-0006-0000-2000-000001000000}">
      <text>
        <r>
          <rPr>
            <b/>
            <sz val="9"/>
            <color indexed="81"/>
            <rFont val="Tahoma"/>
            <family val="2"/>
          </rPr>
          <t>Richard Oswald:</t>
        </r>
        <r>
          <rPr>
            <sz val="9"/>
            <color indexed="81"/>
            <rFont val="Tahoma"/>
            <family val="2"/>
          </rPr>
          <t xml:space="preserve">
Includes costs incurred in 2014 only</t>
        </r>
      </text>
    </comment>
    <comment ref="J16" authorId="0" shapeId="0" xr:uid="{00000000-0006-0000-2000-000002000000}">
      <text>
        <r>
          <rPr>
            <b/>
            <sz val="9"/>
            <color indexed="81"/>
            <rFont val="Tahoma"/>
            <family val="2"/>
          </rPr>
          <t>Richard Oswald:</t>
        </r>
        <r>
          <rPr>
            <sz val="9"/>
            <color indexed="81"/>
            <rFont val="Tahoma"/>
            <family val="2"/>
          </rPr>
          <t xml:space="preserve">
BCR when cost of annual licnse fe is inlcuded for all 10 years'
</t>
        </r>
      </text>
    </comment>
    <comment ref="P16" authorId="0" shapeId="0" xr:uid="{00000000-0006-0000-2000-000003000000}">
      <text>
        <r>
          <rPr>
            <b/>
            <sz val="9"/>
            <color indexed="81"/>
            <rFont val="Tahoma"/>
            <family val="2"/>
          </rPr>
          <t>Richard Oswald:</t>
        </r>
        <r>
          <rPr>
            <sz val="9"/>
            <color indexed="81"/>
            <rFont val="Tahoma"/>
            <family val="2"/>
          </rPr>
          <t xml:space="preserve">
Includes costs incurred in 2014 only</t>
        </r>
      </text>
    </comment>
    <comment ref="Q16" authorId="0" shapeId="0" xr:uid="{00000000-0006-0000-2000-000004000000}">
      <text>
        <r>
          <rPr>
            <b/>
            <sz val="9"/>
            <color indexed="81"/>
            <rFont val="Tahoma"/>
            <family val="2"/>
          </rPr>
          <t>Richard Oswald:</t>
        </r>
        <r>
          <rPr>
            <sz val="9"/>
            <color indexed="81"/>
            <rFont val="Tahoma"/>
            <family val="2"/>
          </rPr>
          <t xml:space="preserve">
Based on lifetime costs including annual license fee</t>
        </r>
      </text>
    </comment>
    <comment ref="X16" authorId="0" shapeId="0" xr:uid="{00000000-0006-0000-2000-000005000000}">
      <text>
        <r>
          <rPr>
            <b/>
            <sz val="9"/>
            <color indexed="81"/>
            <rFont val="Tahoma"/>
            <family val="2"/>
          </rPr>
          <t>Richard Oswald:</t>
        </r>
        <r>
          <rPr>
            <sz val="9"/>
            <color indexed="81"/>
            <rFont val="Tahoma"/>
            <family val="2"/>
          </rPr>
          <t xml:space="preserve">
Includes costs incurred in 2014 only</t>
        </r>
      </text>
    </comment>
    <comment ref="Y16" authorId="0" shapeId="0" xr:uid="{00000000-0006-0000-2000-000006000000}">
      <text>
        <r>
          <rPr>
            <b/>
            <sz val="9"/>
            <color indexed="81"/>
            <rFont val="Tahoma"/>
            <family val="2"/>
          </rPr>
          <t>Richard Oswald:</t>
        </r>
        <r>
          <rPr>
            <sz val="9"/>
            <color indexed="81"/>
            <rFont val="Tahoma"/>
            <family val="2"/>
          </rPr>
          <t xml:space="preserve">
Based on lifetime costs including annual license fee</t>
        </r>
      </text>
    </comment>
    <comment ref="M18" authorId="1" shapeId="0" xr:uid="{00000000-0006-0000-2000-000007000000}">
      <text>
        <r>
          <rPr>
            <b/>
            <sz val="9"/>
            <color indexed="81"/>
            <rFont val="Tahoma"/>
            <family val="2"/>
          </rPr>
          <t>Donna Wells:</t>
        </r>
        <r>
          <rPr>
            <sz val="9"/>
            <color indexed="81"/>
            <rFont val="Tahoma"/>
            <family val="2"/>
          </rPr>
          <t xml:space="preserve">
I added links, this should be okay now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Joseph Bebrin</author>
  </authors>
  <commentList>
    <comment ref="K11" authorId="0" shapeId="0" xr:uid="{00000000-0006-0000-3B00-000001000000}">
      <text>
        <r>
          <rPr>
            <b/>
            <sz val="9"/>
            <color indexed="81"/>
            <rFont val="Tahoma"/>
            <family val="2"/>
          </rPr>
          <t>Joseph Bebrin:</t>
        </r>
        <r>
          <rPr>
            <sz val="9"/>
            <color indexed="81"/>
            <rFont val="Tahoma"/>
            <family val="2"/>
          </rPr>
          <t xml:space="preserve">
assumed $1000 per oil home</t>
        </r>
      </text>
    </comment>
    <comment ref="M11" authorId="0" shapeId="0" xr:uid="{00000000-0006-0000-3B00-000002000000}">
      <text>
        <r>
          <rPr>
            <b/>
            <sz val="9"/>
            <color indexed="81"/>
            <rFont val="Tahoma"/>
            <family val="2"/>
          </rPr>
          <t>Joseph Bebrin:</t>
        </r>
        <r>
          <rPr>
            <sz val="9"/>
            <color indexed="81"/>
            <rFont val="Tahoma"/>
            <family val="2"/>
          </rPr>
          <t xml:space="preserve">
halved with incentive reduction</t>
        </r>
      </text>
    </comment>
    <comment ref="N11" authorId="0" shapeId="0" xr:uid="{00000000-0006-0000-3B00-000003000000}">
      <text>
        <r>
          <rPr>
            <b/>
            <sz val="9"/>
            <color indexed="81"/>
            <rFont val="Tahoma"/>
            <family val="2"/>
          </rPr>
          <t>Joseph Bebrin:</t>
        </r>
        <r>
          <rPr>
            <sz val="9"/>
            <color indexed="81"/>
            <rFont val="Tahoma"/>
            <family val="2"/>
          </rPr>
          <t xml:space="preserve">
halved with gas incentive reduction</t>
        </r>
      </text>
    </comment>
    <comment ref="O11" authorId="0" shapeId="0" xr:uid="{00000000-0006-0000-3B00-000004000000}">
      <text>
        <r>
          <rPr>
            <b/>
            <sz val="9"/>
            <color indexed="81"/>
            <rFont val="Tahoma"/>
            <family val="2"/>
          </rPr>
          <t>Joseph Bebrin:</t>
        </r>
        <r>
          <rPr>
            <sz val="9"/>
            <color indexed="81"/>
            <rFont val="Tahoma"/>
            <family val="2"/>
          </rPr>
          <t xml:space="preserve">
halved with incentive reduction
</t>
        </r>
      </text>
    </comment>
    <comment ref="AB11" authorId="0" shapeId="0" xr:uid="{00000000-0006-0000-3B00-000005000000}">
      <text>
        <r>
          <rPr>
            <b/>
            <sz val="9"/>
            <color indexed="81"/>
            <rFont val="Tahoma"/>
            <family val="2"/>
          </rPr>
          <t>Joseph Bebrin:</t>
        </r>
        <r>
          <rPr>
            <sz val="9"/>
            <color indexed="81"/>
            <rFont val="Tahoma"/>
            <family val="2"/>
          </rPr>
          <t xml:space="preserve">
$1000/oil home</t>
        </r>
      </text>
    </comment>
    <comment ref="AC11" authorId="0" shapeId="0" xr:uid="{00000000-0006-0000-3B00-000006000000}">
      <text>
        <r>
          <rPr>
            <b/>
            <sz val="9"/>
            <color indexed="81"/>
            <rFont val="Tahoma"/>
            <family val="2"/>
          </rPr>
          <t>Joseph Bebrin:</t>
        </r>
        <r>
          <rPr>
            <sz val="9"/>
            <color indexed="81"/>
            <rFont val="Tahoma"/>
            <family val="2"/>
          </rPr>
          <t xml:space="preserve">
11.5 mmbtu/home</t>
        </r>
      </text>
    </comment>
    <comment ref="AD11" authorId="0" shapeId="0" xr:uid="{00000000-0006-0000-3B00-000007000000}">
      <text>
        <r>
          <rPr>
            <b/>
            <sz val="9"/>
            <color indexed="81"/>
            <rFont val="Tahoma"/>
            <family val="2"/>
          </rPr>
          <t>Joseph Bebrin:</t>
        </r>
        <r>
          <rPr>
            <sz val="9"/>
            <color indexed="81"/>
            <rFont val="Tahoma"/>
            <family val="2"/>
          </rPr>
          <t xml:space="preserve">
20 yr lifetime 
</t>
        </r>
      </text>
    </comment>
    <comment ref="AE11" authorId="0" shapeId="0" xr:uid="{00000000-0006-0000-3B00-000008000000}">
      <text>
        <r>
          <rPr>
            <b/>
            <sz val="9"/>
            <color indexed="81"/>
            <rFont val="Tahoma"/>
            <family val="2"/>
          </rPr>
          <t>Joseph Bebrin:</t>
        </r>
        <r>
          <rPr>
            <sz val="9"/>
            <color indexed="81"/>
            <rFont val="Tahoma"/>
            <family val="2"/>
          </rPr>
          <t xml:space="preserve">
420 per mmbtu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Brian Sullivan</author>
  </authors>
  <commentList>
    <comment ref="E22" authorId="0" shapeId="0" xr:uid="{B1C03189-A38B-49C0-B193-56CF2AB6E493}">
      <text>
        <r>
          <rPr>
            <b/>
            <sz val="9"/>
            <color indexed="81"/>
            <rFont val="Tahoma"/>
            <family val="2"/>
          </rPr>
          <t>Brian Sullivan:</t>
        </r>
        <r>
          <rPr>
            <sz val="9"/>
            <color indexed="81"/>
            <rFont val="Tahoma"/>
            <family val="2"/>
          </rPr>
          <t xml:space="preserve">
$50k for OMP</t>
        </r>
      </text>
    </comment>
    <comment ref="G22" authorId="0" shapeId="0" xr:uid="{3AA3E4A5-793D-4A99-8D8D-EB4446AAF0CF}">
      <text>
        <r>
          <rPr>
            <b/>
            <sz val="9"/>
            <color indexed="81"/>
            <rFont val="Tahoma"/>
            <family val="2"/>
          </rPr>
          <t>Brian Sullivan:</t>
        </r>
        <r>
          <rPr>
            <sz val="9"/>
            <color indexed="81"/>
            <rFont val="Tahoma"/>
            <family val="2"/>
          </rPr>
          <t xml:space="preserve">
$20k for OMP</t>
        </r>
      </text>
    </comment>
  </commentList>
</comments>
</file>

<file path=xl/sharedStrings.xml><?xml version="1.0" encoding="utf-8"?>
<sst xmlns="http://schemas.openxmlformats.org/spreadsheetml/2006/main" count="12780" uniqueCount="826">
  <si>
    <t>Total</t>
  </si>
  <si>
    <t>Budget</t>
  </si>
  <si>
    <t>Incentives</t>
  </si>
  <si>
    <t xml:space="preserve"> </t>
  </si>
  <si>
    <t>Outside Services</t>
  </si>
  <si>
    <t>RESIDENTIAL</t>
  </si>
  <si>
    <t>COMMERCIAL &amp; INDUSTRIAL</t>
  </si>
  <si>
    <t xml:space="preserve">                    Residential </t>
  </si>
  <si>
    <t xml:space="preserve">                    C&amp;I</t>
  </si>
  <si>
    <t>r</t>
  </si>
  <si>
    <t>c</t>
  </si>
  <si>
    <t>o</t>
  </si>
  <si>
    <t xml:space="preserve">                    Other</t>
  </si>
  <si>
    <t>Materials
 &amp; 
Supplies</t>
  </si>
  <si>
    <t>Marketing</t>
  </si>
  <si>
    <t>Administrative Expenses</t>
  </si>
  <si>
    <t>TOTAL</t>
  </si>
  <si>
    <t>Expense Classes</t>
  </si>
  <si>
    <t>% of Budget</t>
  </si>
  <si>
    <t>Materials &amp; Supplies</t>
  </si>
  <si>
    <t>Customer Class</t>
  </si>
  <si>
    <t>% of Residential &amp; C&amp;I Budget</t>
  </si>
  <si>
    <t xml:space="preserve"> Residential Subtotal</t>
  </si>
  <si>
    <t>C&amp;I Subtotal</t>
  </si>
  <si>
    <t>Other Expenditures</t>
  </si>
  <si>
    <t>Other Expenditures Subtotal</t>
  </si>
  <si>
    <t xml:space="preserve">Budget    </t>
  </si>
  <si>
    <t xml:space="preserve">Budget </t>
  </si>
  <si>
    <t>PROGRAM SUBTOTALS</t>
  </si>
  <si>
    <t>Residential and C&amp;I Subtotal</t>
  </si>
  <si>
    <t xml:space="preserve">        Subtotal Residential</t>
  </si>
  <si>
    <t xml:space="preserve">        Subtotal C&amp;I</t>
  </si>
  <si>
    <t xml:space="preserve">Proposed </t>
  </si>
  <si>
    <t xml:space="preserve"> TOTAL    </t>
  </si>
  <si>
    <t>Table A1 Pie Chart</t>
  </si>
  <si>
    <t>Budget     ($,000)</t>
  </si>
  <si>
    <t xml:space="preserve">Yankee  </t>
  </si>
  <si>
    <t>CNG</t>
  </si>
  <si>
    <t>SCG</t>
  </si>
  <si>
    <t>Combined</t>
  </si>
  <si>
    <t>YGS/CNG/SCG</t>
  </si>
  <si>
    <t>OTHER</t>
  </si>
  <si>
    <t>GAS CONSERVATION BUDGET ($000)</t>
  </si>
  <si>
    <t xml:space="preserve">       Subtotal Other</t>
  </si>
  <si>
    <t>Budget Projections</t>
  </si>
  <si>
    <t>Outside Service</t>
  </si>
  <si>
    <t>Administrative Expense</t>
  </si>
  <si>
    <t xml:space="preserve">              Total</t>
  </si>
  <si>
    <t>YGS Standard Filing Requirement</t>
  </si>
  <si>
    <t>Annual Energy Savings (ccf Reduction Goal)</t>
  </si>
  <si>
    <t>Lifetime Energy Savings (ccf Reduction Goal)</t>
  </si>
  <si>
    <t>Annual Cost Rate ($/ccf)</t>
  </si>
  <si>
    <t>Lifetime Cost Rate ($/ccf)</t>
  </si>
  <si>
    <t>Labor</t>
  </si>
  <si>
    <t>Yankee</t>
  </si>
  <si>
    <t xml:space="preserve">TOTAL </t>
  </si>
  <si>
    <t>Commercial and Industrial</t>
  </si>
  <si>
    <t>% of Total Conservation Budget</t>
  </si>
  <si>
    <t>TOTAL BUDGET</t>
  </si>
  <si>
    <t>YGS</t>
  </si>
  <si>
    <t>Budget By Expense Class</t>
  </si>
  <si>
    <t xml:space="preserve">YGS, CNG &amp; SCG </t>
  </si>
  <si>
    <t>Benefit per Home</t>
  </si>
  <si>
    <t>Homes Served</t>
  </si>
  <si>
    <t>b</t>
  </si>
  <si>
    <t>d=a/b</t>
  </si>
  <si>
    <t>e=a/c</t>
  </si>
  <si>
    <t>f</t>
  </si>
  <si>
    <t>g=f/a</t>
  </si>
  <si>
    <t>h</t>
  </si>
  <si>
    <t>i=c/h</t>
  </si>
  <si>
    <t>Program Cost per Home</t>
  </si>
  <si>
    <t>k=a/h</t>
  </si>
  <si>
    <t>l=f/h</t>
  </si>
  <si>
    <t>Lifetime Savings per Home (ccf)</t>
  </si>
  <si>
    <t>Table A1</t>
  </si>
  <si>
    <t>CNG Standard Filing Requirement</t>
  </si>
  <si>
    <t>SCG Standard Filing Requirement</t>
  </si>
  <si>
    <t>Table B</t>
  </si>
  <si>
    <t>Program</t>
  </si>
  <si>
    <t>Gas System B/C Ratio</t>
  </si>
  <si>
    <t>Units of Measure</t>
  </si>
  <si>
    <t xml:space="preserve"> Table C</t>
  </si>
  <si>
    <t>Energy Savings Information</t>
  </si>
  <si>
    <t>Total Gas Benefit</t>
  </si>
  <si>
    <t>Total Gas System Benefit-Cost Ratio</t>
  </si>
  <si>
    <t xml:space="preserve">           Total</t>
  </si>
  <si>
    <t xml:space="preserve">            Total</t>
  </si>
  <si>
    <t xml:space="preserve">Subtotal Residential  </t>
  </si>
  <si>
    <t xml:space="preserve">Sub Total Other - Evaluation    </t>
  </si>
  <si>
    <t xml:space="preserve">Subtotal Other  </t>
  </si>
  <si>
    <t xml:space="preserve">                    YGS Residential </t>
  </si>
  <si>
    <t xml:space="preserve">                    CNG Residential </t>
  </si>
  <si>
    <t xml:space="preserve">                    SCG Residential </t>
  </si>
  <si>
    <t xml:space="preserve">Residential Total  </t>
  </si>
  <si>
    <t xml:space="preserve">                    YGS C&amp;I</t>
  </si>
  <si>
    <t xml:space="preserve">                    CNG C&amp;I</t>
  </si>
  <si>
    <t xml:space="preserve">                    SCG C&amp;I</t>
  </si>
  <si>
    <t xml:space="preserve">C&amp;I Total  </t>
  </si>
  <si>
    <t xml:space="preserve">                    YGS Other</t>
  </si>
  <si>
    <t xml:space="preserve">                    CNG Other</t>
  </si>
  <si>
    <t xml:space="preserve">                    SCG Other</t>
  </si>
  <si>
    <t xml:space="preserve">Other Total  </t>
  </si>
  <si>
    <t xml:space="preserve">YGS TOTAL      </t>
  </si>
  <si>
    <t xml:space="preserve">CNG TOTAL      </t>
  </si>
  <si>
    <t xml:space="preserve">SCG TOTAL      </t>
  </si>
  <si>
    <t xml:space="preserve">GRAND TOTAL   </t>
  </si>
  <si>
    <t>Gas 
Benefit</t>
  </si>
  <si>
    <t>OTHER - PROGRAMS/REQUIREMENTS</t>
  </si>
  <si>
    <t xml:space="preserve">Natural Gas C&amp;LM Budget </t>
  </si>
  <si>
    <t xml:space="preserve">    Water Heating </t>
  </si>
  <si>
    <t xml:space="preserve">                           C&amp;I LOST OPPORTUNITY </t>
  </si>
  <si>
    <t xml:space="preserve">    Energy Conscious Blueprint </t>
  </si>
  <si>
    <t xml:space="preserve">         Total - Lost Opportunity </t>
  </si>
  <si>
    <t xml:space="preserve">C&amp;I LARGE RETROFIT </t>
  </si>
  <si>
    <t xml:space="preserve">RESIDENTIAL </t>
  </si>
  <si>
    <t xml:space="preserve">   Energy Opportunities </t>
  </si>
  <si>
    <t xml:space="preserve">   O&amp;M (RetroCx, Training) </t>
  </si>
  <si>
    <t xml:space="preserve">         Total - C&amp;I Large Retrofit </t>
  </si>
  <si>
    <t xml:space="preserve">      Subtotal Programs/Requirements </t>
  </si>
  <si>
    <t xml:space="preserve">OTHER - ADMINISTRATIVE &amp; PLANNING </t>
  </si>
  <si>
    <t xml:space="preserve">    Planning</t>
  </si>
  <si>
    <t xml:space="preserve">    Evaluation </t>
  </si>
  <si>
    <t xml:space="preserve">PROGRAM SUBTOTALS </t>
  </si>
  <si>
    <t xml:space="preserve">YGS Energy Conscious Blueprint </t>
  </si>
  <si>
    <t xml:space="preserve">CNG Energy Conscious Blueprint </t>
  </si>
  <si>
    <t xml:space="preserve">SCG Energy Conscious Blueprint </t>
  </si>
  <si>
    <t>Subtotal  Commercial &amp; Industrial</t>
  </si>
  <si>
    <t xml:space="preserve">YGS Energy Opportunities </t>
  </si>
  <si>
    <t xml:space="preserve">CNG Energy Opportunities </t>
  </si>
  <si>
    <t xml:space="preserve">SCG Energy Opportunities </t>
  </si>
  <si>
    <t xml:space="preserve">Commercial and Industrial C&amp;I Lost Opportunity </t>
  </si>
  <si>
    <t xml:space="preserve">Commercial and Industrial Large Retrofit </t>
  </si>
  <si>
    <t xml:space="preserve">YGS O&amp;M </t>
  </si>
  <si>
    <t xml:space="preserve">CNG O&amp;M </t>
  </si>
  <si>
    <t xml:space="preserve">SCG O&amp;M </t>
  </si>
  <si>
    <t xml:space="preserve">Sub Total O&amp;M </t>
  </si>
  <si>
    <t xml:space="preserve">Sub Total Lost Opportunity  </t>
  </si>
  <si>
    <t xml:space="preserve">Sub Total  Energy Opportunites </t>
  </si>
  <si>
    <t>YGS Home Energy Solutions</t>
  </si>
  <si>
    <t>CNG Home Energy Solutions</t>
  </si>
  <si>
    <t>SCG Home Energy Solutions</t>
  </si>
  <si>
    <t>YGS Water Heating</t>
  </si>
  <si>
    <t>CNG Water Heating</t>
  </si>
  <si>
    <t>SCG Water Heating</t>
  </si>
  <si>
    <t>Sub Total Water Heating</t>
  </si>
  <si>
    <t>Sub Total Home Energy Solutions</t>
  </si>
  <si>
    <r>
      <t xml:space="preserve">    </t>
    </r>
    <r>
      <rPr>
        <sz val="12"/>
        <rFont val="Arial"/>
        <family val="2"/>
      </rPr>
      <t>CHIF Loan Fund</t>
    </r>
  </si>
  <si>
    <t>Actuals</t>
  </si>
  <si>
    <t xml:space="preserve">    Home Energy Solutions (HES)</t>
  </si>
  <si>
    <t xml:space="preserve">    Water Heating</t>
  </si>
  <si>
    <t>COMMERCIAL &amp; INDUSTRIAL LOST OPPORTUNITY</t>
  </si>
  <si>
    <t xml:space="preserve">        Subtotal C&amp;I - Lost Opportunity</t>
  </si>
  <si>
    <t>COMMERCIAL &amp; INDUSTRIAL LARGE RETROFIT</t>
  </si>
  <si>
    <t xml:space="preserve">    Energy Conscious Blueprint</t>
  </si>
  <si>
    <t xml:space="preserve">   Energy Opportunities</t>
  </si>
  <si>
    <t xml:space="preserve">   Operations &amp; Maintenance</t>
  </si>
  <si>
    <t xml:space="preserve">    Evaluation</t>
  </si>
  <si>
    <t>OTHER - PROGRAMS/REQUIREMENTS &amp; PLANNING</t>
  </si>
  <si>
    <t xml:space="preserve">    CHIF Loan Fund</t>
  </si>
  <si>
    <t>Home Energy Solutions</t>
  </si>
  <si>
    <t>Total
Resource 
Benefit</t>
  </si>
  <si>
    <t>Total Resource 
B/C Ratio</t>
  </si>
  <si>
    <t>Goals/
# Units</t>
  </si>
  <si>
    <t>Annual 
Cost Rate 
($/ccf)</t>
  </si>
  <si>
    <t>Lifetime Savings 
(ccf)</t>
  </si>
  <si>
    <t>Annualized Savings 
(ccf)</t>
  </si>
  <si>
    <t>Lifetime 
Cost Rate  
($/ccf)</t>
  </si>
  <si>
    <t xml:space="preserve">    Information Technology </t>
  </si>
  <si>
    <t xml:space="preserve">YGS New Construction </t>
  </si>
  <si>
    <t xml:space="preserve">CNG New Construction </t>
  </si>
  <si>
    <t xml:space="preserve">SCG New Construction </t>
  </si>
  <si>
    <t xml:space="preserve">  YGS CHIF, Residential, C&amp;I Loan Program</t>
  </si>
  <si>
    <t xml:space="preserve">  CNG CHIF, Residential, C&amp;I Loan Program</t>
  </si>
  <si>
    <t xml:space="preserve">  SCG CHIF, Residential, C&amp;I Loan Program </t>
  </si>
  <si>
    <t xml:space="preserve">Sub Total Other - Loan Program    </t>
  </si>
  <si>
    <t>2007 
Actuals</t>
  </si>
  <si>
    <t xml:space="preserve">2007 Actuals </t>
  </si>
  <si>
    <t xml:space="preserve">    Residential Financing Subsidies</t>
  </si>
  <si>
    <r>
      <t xml:space="preserve">   </t>
    </r>
    <r>
      <rPr>
        <sz val="12"/>
        <rFont val="Arial"/>
        <family val="2"/>
      </rPr>
      <t xml:space="preserve"> C&amp;I Financing Subsidies</t>
    </r>
  </si>
  <si>
    <t xml:space="preserve">    C&amp;I Financing Subsidies</t>
  </si>
  <si>
    <t xml:space="preserve">    Gross Receipts Tax (GRT)</t>
  </si>
  <si>
    <t>Revenues</t>
  </si>
  <si>
    <t xml:space="preserve">        Total Revenues</t>
  </si>
  <si>
    <t>Table A2</t>
  </si>
  <si>
    <t>Year</t>
  </si>
  <si>
    <t>Actual</t>
  </si>
  <si>
    <t>n/a</t>
  </si>
  <si>
    <t>Goal</t>
  </si>
  <si>
    <t>% of Goal</t>
  </si>
  <si>
    <t>Goal - Lifetime ccf savings</t>
  </si>
  <si>
    <t>Goal - Annual ccf savings</t>
  </si>
  <si>
    <t>2006 
Actuals</t>
  </si>
  <si>
    <t xml:space="preserve">Goal - Participation/Units </t>
  </si>
  <si>
    <t xml:space="preserve">Program Costs </t>
  </si>
  <si>
    <t xml:space="preserve">n/a </t>
  </si>
  <si>
    <t xml:space="preserve">2006 Actuals </t>
  </si>
  <si>
    <t xml:space="preserve">Water Heating </t>
  </si>
  <si>
    <t>Water Heating</t>
  </si>
  <si>
    <t xml:space="preserve">Energy Conscious Blueprint </t>
  </si>
  <si>
    <t xml:space="preserve">Energy Opportunities </t>
  </si>
  <si>
    <t>a</t>
  </si>
  <si>
    <t xml:space="preserve">Materials &amp; Supplies </t>
  </si>
  <si>
    <t>Peak Day Savings (ccF)</t>
  </si>
  <si>
    <t xml:space="preserve">Sub Total New Construction </t>
  </si>
  <si>
    <t xml:space="preserve">Operations &amp; Maintenance </t>
  </si>
  <si>
    <t xml:space="preserve">      Subtotal C&amp;I</t>
  </si>
  <si>
    <t xml:space="preserve">      Subtotal Other - Administrative &amp; Planning</t>
  </si>
  <si>
    <t>2008 Actuals</t>
  </si>
  <si>
    <t>2008 
Actuals</t>
  </si>
  <si>
    <t xml:space="preserve">2008 Actuals </t>
  </si>
  <si>
    <t>2008
Actuals</t>
  </si>
  <si>
    <t>YE Projection</t>
  </si>
  <si>
    <t xml:space="preserve">    Collections (Rates)*</t>
  </si>
  <si>
    <t>Customers Served</t>
  </si>
  <si>
    <t>Lifetime Savings per Customer (ccf)</t>
  </si>
  <si>
    <t>Program Cost per Customer</t>
  </si>
  <si>
    <t>Benefit per Customer</t>
  </si>
  <si>
    <t>2009
Actuals</t>
  </si>
  <si>
    <t xml:space="preserve">2009 Actuals </t>
  </si>
  <si>
    <t>2009 Actuals</t>
  </si>
  <si>
    <t xml:space="preserve">    Energy Efficiency Board</t>
  </si>
  <si>
    <t xml:space="preserve">    HES Income Eligible - Weatherization</t>
  </si>
  <si>
    <t xml:space="preserve">    HES Income Eligible - Audits</t>
  </si>
  <si>
    <t xml:space="preserve">    HES Income Eligible - Total</t>
  </si>
  <si>
    <t xml:space="preserve"> CNG </t>
  </si>
  <si>
    <t xml:space="preserve"> SCG </t>
  </si>
  <si>
    <t xml:space="preserve">    Residential New Construction </t>
  </si>
  <si>
    <t>Res. Income Eligible</t>
  </si>
  <si>
    <t>Res. Non Income Eligible</t>
  </si>
  <si>
    <t xml:space="preserve">Residential New Construction </t>
  </si>
  <si>
    <t>Table A</t>
  </si>
  <si>
    <t>YGS HES Income Eligible</t>
  </si>
  <si>
    <t>CNG HES Income Eligible</t>
  </si>
  <si>
    <t>SCG  HES Income Eligible</t>
  </si>
  <si>
    <t>Sub Total HES Income Eligible</t>
  </si>
  <si>
    <t xml:space="preserve">    HES Income Eligible  Total</t>
  </si>
  <si>
    <t xml:space="preserve">  YGS IT, Planning, Evaluation, and EEB</t>
  </si>
  <si>
    <t xml:space="preserve">  CNG IT, Planning, Evaluation, and EEB</t>
  </si>
  <si>
    <t xml:space="preserve">  SCG IT, Planning, Evaluation, and EEB </t>
  </si>
  <si>
    <t>HES Income Eligible Weatherization and Heating Systems</t>
  </si>
  <si>
    <t>Homes</t>
  </si>
  <si>
    <t>Units</t>
  </si>
  <si>
    <t>Homes/Units</t>
  </si>
  <si>
    <t>Projects</t>
  </si>
  <si>
    <t>Small Business</t>
  </si>
  <si>
    <t>2012 COMPARISON OF CONSERVATION PROGRAMS</t>
  </si>
  <si>
    <t>2012
Budget</t>
  </si>
  <si>
    <t>Customer 
Cost 
2012</t>
  </si>
  <si>
    <t>Total 
Resource 
Cost 
2012</t>
  </si>
  <si>
    <t>% of 
2012
Budget</t>
  </si>
  <si>
    <t>YGS Small Business</t>
  </si>
  <si>
    <t>CNG Small Business</t>
  </si>
  <si>
    <t>SCG Small Business</t>
  </si>
  <si>
    <t xml:space="preserve">2012 Gas Conservation </t>
  </si>
  <si>
    <t>CNG 2012 Budget Details</t>
  </si>
  <si>
    <t>SCG 2012 Budget Details</t>
  </si>
  <si>
    <t>2010
Actuals</t>
  </si>
  <si>
    <t>2010 Actuals</t>
  </si>
  <si>
    <t xml:space="preserve">2010 Actuals </t>
  </si>
  <si>
    <t>Docket No. 10-10-03</t>
  </si>
  <si>
    <t>Order No. 26i</t>
  </si>
  <si>
    <t>YTD</t>
  </si>
  <si>
    <t>Year End</t>
  </si>
  <si>
    <t>Forecast</t>
  </si>
  <si>
    <t>Expenses</t>
  </si>
  <si>
    <t>vs</t>
  </si>
  <si>
    <t>C&amp;LM Programs:</t>
  </si>
  <si>
    <t>Residential Programs</t>
  </si>
  <si>
    <t>Total Residential</t>
  </si>
  <si>
    <t>Commercial &amp; Industrial</t>
  </si>
  <si>
    <t>Total Commercial &amp; Industrial</t>
  </si>
  <si>
    <t>Total Education/Other</t>
  </si>
  <si>
    <t>Information Technology</t>
  </si>
  <si>
    <t>Total Other Expenditures</t>
  </si>
  <si>
    <t>Energy Opportunities</t>
  </si>
  <si>
    <t>O&amp;M</t>
  </si>
  <si>
    <t>Other - Programs/Requirements</t>
  </si>
  <si>
    <t>CHIF Loan Fund</t>
  </si>
  <si>
    <t>Residential Financing Subsidies</t>
  </si>
  <si>
    <t>C&amp;I Financing Subsidies</t>
  </si>
  <si>
    <t>Planning</t>
  </si>
  <si>
    <t>Evaluation</t>
  </si>
  <si>
    <t>HES Income Eligible</t>
  </si>
  <si>
    <t>Energy Efficiency Board (EEB)</t>
  </si>
  <si>
    <t>Energy Conscious Blueprint</t>
  </si>
  <si>
    <t>Combined Gas Company Results</t>
  </si>
  <si>
    <t>Proposed</t>
  </si>
  <si>
    <t>Increased</t>
  </si>
  <si>
    <t>2012 - Base Proposed</t>
  </si>
  <si>
    <t>ACCF/Home</t>
  </si>
  <si>
    <t>$/home</t>
  </si>
  <si>
    <t xml:space="preserve">Homes &amp; HVAC Rebated </t>
  </si>
  <si>
    <t>2012 - Increased Savings</t>
  </si>
  <si>
    <t>Savings</t>
  </si>
  <si>
    <t>Increased Savings</t>
  </si>
  <si>
    <t xml:space="preserve">2012 INCREASED SAVINGS </t>
  </si>
  <si>
    <t>Proposed Natural Gas Conservation Plan Budget - 2012 Base &amp;  2012 Increased Savings</t>
  </si>
  <si>
    <t xml:space="preserve">Increased Savings </t>
  </si>
  <si>
    <t xml:space="preserve">        Subtotal C&amp;I - Retrofit</t>
  </si>
  <si>
    <t>YGS  2012 Budget Details</t>
  </si>
  <si>
    <t>INCREASED SAVINGS</t>
  </si>
  <si>
    <t>Sub Total Small Business</t>
  </si>
  <si>
    <t>HES Income Eligible Weatherization</t>
  </si>
  <si>
    <t xml:space="preserve">    Conservation Adjustment Mechanism (CAM)</t>
  </si>
  <si>
    <t>2012 Program Expenditures Forecast (000s)</t>
  </si>
  <si>
    <t>2012</t>
  </si>
  <si>
    <t>@ 7/31/2011</t>
  </si>
  <si>
    <t>9/30/2010</t>
  </si>
  <si>
    <t>2013
Budget</t>
  </si>
  <si>
    <t>Customer 
Cost 
2013</t>
  </si>
  <si>
    <t>Total 
Resource 
Cost 
2013</t>
  </si>
  <si>
    <t>% of 
2013
Budget</t>
  </si>
  <si>
    <t xml:space="preserve">2013 Gas Conservation </t>
  </si>
  <si>
    <t>2011 Actuals</t>
  </si>
  <si>
    <t xml:space="preserve">2012 Goal </t>
  </si>
  <si>
    <t>YTD (July)</t>
  </si>
  <si>
    <t>2012 YTD (July)</t>
  </si>
  <si>
    <t>2012 YE projection</t>
  </si>
  <si>
    <t xml:space="preserve">2012 YTD (July) </t>
  </si>
  <si>
    <t>2013 Goal</t>
  </si>
  <si>
    <t>2011
Actuals</t>
  </si>
  <si>
    <t xml:space="preserve">2011 Actuals </t>
  </si>
  <si>
    <t>2012 YE Projection</t>
  </si>
  <si>
    <t>Incentive Cost Rate ($/ccf)</t>
  </si>
  <si>
    <t>Marketing Cost Rate ($/ccf)</t>
  </si>
  <si>
    <r>
      <t>a</t>
    </r>
    <r>
      <rPr>
        <vertAlign val="superscript"/>
        <sz val="10"/>
        <rFont val="Arial"/>
        <family val="2"/>
      </rPr>
      <t>i</t>
    </r>
  </si>
  <si>
    <r>
      <t>a</t>
    </r>
    <r>
      <rPr>
        <vertAlign val="superscript"/>
        <sz val="10"/>
        <rFont val="Arial"/>
        <family val="2"/>
      </rPr>
      <t>m</t>
    </r>
  </si>
  <si>
    <r>
      <t>m=a</t>
    </r>
    <r>
      <rPr>
        <vertAlign val="superscript"/>
        <sz val="10"/>
        <rFont val="Arial"/>
        <family val="2"/>
      </rPr>
      <t>i</t>
    </r>
    <r>
      <rPr>
        <sz val="10"/>
        <rFont val="Arial"/>
        <family val="2"/>
      </rPr>
      <t>/c</t>
    </r>
  </si>
  <si>
    <r>
      <t>n=a</t>
    </r>
    <r>
      <rPr>
        <vertAlign val="superscript"/>
        <sz val="10"/>
        <rFont val="Arial"/>
        <family val="2"/>
      </rPr>
      <t>m</t>
    </r>
    <r>
      <rPr>
        <sz val="10"/>
        <rFont val="Arial"/>
        <family val="2"/>
      </rPr>
      <t>/c</t>
    </r>
  </si>
  <si>
    <t>Administration</t>
  </si>
  <si>
    <t>Approved</t>
  </si>
  <si>
    <t xml:space="preserve">2014 Gas Conservation </t>
  </si>
  <si>
    <t>2014 Goal</t>
  </si>
  <si>
    <t>2015 Goal</t>
  </si>
  <si>
    <t>OTHER - Education</t>
  </si>
  <si>
    <t xml:space="preserve">SmartLiving Center®-Museums Partnership </t>
  </si>
  <si>
    <t xml:space="preserve">      Subtotal  Education </t>
  </si>
  <si>
    <t>Research, Development  and Demonstration</t>
  </si>
  <si>
    <t xml:space="preserve">      Subtotal  RD&amp;D</t>
  </si>
  <si>
    <t xml:space="preserve">    Administration </t>
  </si>
  <si>
    <t xml:space="preserve">    Marketing Plan </t>
  </si>
  <si>
    <t xml:space="preserve">    HES Income Eligible</t>
  </si>
  <si>
    <t xml:space="preserve">    Performance Fee</t>
  </si>
  <si>
    <t>9/30/2011</t>
  </si>
  <si>
    <t>Table D</t>
  </si>
  <si>
    <t>Expenditures $ (000)</t>
  </si>
  <si>
    <t>R</t>
  </si>
  <si>
    <t>C</t>
  </si>
  <si>
    <t>PROGRAM SUB-TOTALS</t>
  </si>
  <si>
    <t xml:space="preserve">     TOTAL</t>
  </si>
  <si>
    <t>Annual ccf (000)</t>
  </si>
  <si>
    <t>Lifetime ccf (000)</t>
  </si>
  <si>
    <t>CNG Historical and Projected Annual and Lifetime ccf</t>
  </si>
  <si>
    <t>SCG Historical and Projected Annual and Lifetime ccf</t>
  </si>
  <si>
    <t>YGS Historical and Projected Annual and Lifetime ccf</t>
  </si>
  <si>
    <t>Customer 
Cost 
2014</t>
  </si>
  <si>
    <t>Total 
Resource 
Cost 
2014</t>
  </si>
  <si>
    <t>% of 
2014
Budget</t>
  </si>
  <si>
    <t>Total Incentive Dollars</t>
  </si>
  <si>
    <t>Net Gas Benefit:</t>
  </si>
  <si>
    <t>Total Gas Benefit:</t>
  </si>
  <si>
    <t>Gas Benefit from all programs</t>
  </si>
  <si>
    <t>Total Gas Benefit from all  programs</t>
  </si>
  <si>
    <t>Program Budgets</t>
  </si>
  <si>
    <t>Incentive</t>
  </si>
  <si>
    <t>Weight</t>
  </si>
  <si>
    <t>Target Goal</t>
  </si>
  <si>
    <t>Incentive Metric</t>
  </si>
  <si>
    <t>Incentive Metrics</t>
  </si>
  <si>
    <t>Performance Indicators</t>
  </si>
  <si>
    <t>*Does not include Incentive, ECMB costs and Audit</t>
  </si>
  <si>
    <t>Total Original Budget*</t>
  </si>
  <si>
    <t xml:space="preserve">Pre-tax Incentive  </t>
  </si>
  <si>
    <t>Pretax Incentive</t>
  </si>
  <si>
    <t>Performance %</t>
  </si>
  <si>
    <t>The actual incentive earned will be determined by the performance achieved in each of the Incentive Metrics identified below, based on the following Performance Index:</t>
  </si>
  <si>
    <t>Goals will be prorated based on actual over/under spend of budget.</t>
  </si>
  <si>
    <t>This calculated is based on achieving 100% of all performance targets and earning a target incentive of 5% of C&amp;LM budgets (not including ECMB costs, Audit Costs or Management Incentive).</t>
  </si>
  <si>
    <t>The Utility Performance Incentive is</t>
  </si>
  <si>
    <t>Provided below is the 2013 Incentive Matrix with Performance Indicators.</t>
  </si>
  <si>
    <t xml:space="preserve">2013 Management Incentive Performance Indicators and Incentive Matrix </t>
  </si>
  <si>
    <t>CONNECTICUT NATURAL GAS CORPORATION</t>
  </si>
  <si>
    <t>Lifetime Savings (ccf):</t>
  </si>
  <si>
    <t>New Construction</t>
  </si>
  <si>
    <t xml:space="preserve">O&amp;M (RetroCx, Training) </t>
  </si>
  <si>
    <t>Total Lifetime Savings (ccf)</t>
  </si>
  <si>
    <t>Present Value Lifetime Savings (ccf)</t>
  </si>
  <si>
    <t xml:space="preserve">2014 Management Incentive Performance Indicators and Incentive Matrix </t>
  </si>
  <si>
    <t>Provided below is the 2014 Incentive Matrix with Performance Indicators.</t>
  </si>
  <si>
    <t xml:space="preserve">2015 Management Incentive Performance Indicators and Incentive Matrix </t>
  </si>
  <si>
    <t>Provided below is the 2015 Incentive Matrix with Performance Indicators.</t>
  </si>
  <si>
    <t>SOUTHERN CONNECTICUT GAS COMPANY</t>
  </si>
  <si>
    <t xml:space="preserve">OTHER - EDUCATION </t>
  </si>
  <si>
    <t xml:space="preserve">   SmartLiving Center® - Museum Partnerships</t>
  </si>
  <si>
    <t xml:space="preserve">        Subtotal Education</t>
  </si>
  <si>
    <t xml:space="preserve">OTHER - PROGRAMS/REQUIREMENTS </t>
  </si>
  <si>
    <t xml:space="preserve">        Subtotal Programs/Requirements</t>
  </si>
  <si>
    <t>OTHER -  RD&amp;D</t>
  </si>
  <si>
    <t xml:space="preserve">  Research, Development  and Demonstration</t>
  </si>
  <si>
    <t xml:space="preserve">        Subtotal Renewables &amp; RD&amp;D</t>
  </si>
  <si>
    <t>OTHER - ADMINISTRATIVE &amp; PLANNING</t>
  </si>
  <si>
    <t xml:space="preserve">Administration </t>
  </si>
  <si>
    <t xml:space="preserve">Marketing Plan </t>
  </si>
  <si>
    <t xml:space="preserve">Information Technology </t>
  </si>
  <si>
    <t xml:space="preserve">Evaluation </t>
  </si>
  <si>
    <t>Energy Efficiency Board</t>
  </si>
  <si>
    <t>Performance Fee</t>
  </si>
  <si>
    <t xml:space="preserve">Increased Savings Budget </t>
  </si>
  <si>
    <t xml:space="preserve">Proposed Expanded Natural Gas Conservation Plan Budget    </t>
  </si>
  <si>
    <t xml:space="preserve">YGS  2013 Expanded Budget Analysis   </t>
  </si>
  <si>
    <t xml:space="preserve">Clean Energy  Communities </t>
  </si>
  <si>
    <t>YGS 2013 Expanded Budget Details</t>
  </si>
  <si>
    <t>CL&amp;P Labor</t>
  </si>
  <si>
    <t xml:space="preserve">   Clean Energy Communities </t>
  </si>
  <si>
    <t>YGS  2014 Expanded Budget Details</t>
  </si>
  <si>
    <t xml:space="preserve">2014 Expanded Gas Conservation </t>
  </si>
  <si>
    <t>YGS 2015 Expanded Budget Details</t>
  </si>
  <si>
    <t xml:space="preserve">2015 Expanded Gas Conservation </t>
  </si>
  <si>
    <t xml:space="preserve">Yankee Gas Services </t>
  </si>
  <si>
    <t>This calculation is based on achieving 100% of all performance targets and earning a target incentive of 5% of C&amp;LM budgets (not including EEB costs or Performance Incentive).</t>
  </si>
  <si>
    <t>Goals will be prorated Expanded on actual over/under spend of budget.</t>
  </si>
  <si>
    <t>The actual incentive earned will be determined by the performance achieved in each of the Incentive Metrics identified below, Expandedd on the following Performance Index:</t>
  </si>
  <si>
    <t>*Does not include Incentive or EEB costs .</t>
  </si>
  <si>
    <t xml:space="preserve">2014Management Incentive Performance Indicators and Incentive Matrix </t>
  </si>
  <si>
    <t>Table D1</t>
  </si>
  <si>
    <t xml:space="preserve">YGS - Expenditure </t>
  </si>
  <si>
    <t xml:space="preserve">Natural Gas Conservation Plan Actual/Budget    </t>
  </si>
  <si>
    <t xml:space="preserve">Natural Gas C&amp;LM Actual/Budget </t>
  </si>
  <si>
    <t>YGS - Units</t>
  </si>
  <si>
    <t xml:space="preserve">    Insulation Rebate</t>
  </si>
  <si>
    <t xml:space="preserve">    HES Early Retirement Furnace Rebate</t>
  </si>
  <si>
    <t xml:space="preserve">    Res High Eff Natural Gas Furnace Replace Rebate</t>
  </si>
  <si>
    <t xml:space="preserve">    Window Rebate</t>
  </si>
  <si>
    <r>
      <t xml:space="preserve">    </t>
    </r>
    <r>
      <rPr>
        <b/>
        <sz val="12"/>
        <rFont val="Arial"/>
        <family val="2"/>
      </rPr>
      <t>Home Energy Solution (HES) - Total</t>
    </r>
  </si>
  <si>
    <t>Table D3</t>
  </si>
  <si>
    <t>YGS - Annual Savings (CCF)</t>
  </si>
  <si>
    <t>YGS - Lifetime Savings (CCF)</t>
  </si>
  <si>
    <t xml:space="preserve">Total Increased Savings Budget </t>
  </si>
  <si>
    <t xml:space="preserve">Proposed Natural Gas Expanded  Conservation Plan Budget    </t>
  </si>
  <si>
    <t>Statewide 2014 Expanded Budget Analysis</t>
  </si>
  <si>
    <t>Statewide 2015 Expanded Budget Analysis</t>
  </si>
  <si>
    <t>YTD(July)</t>
  </si>
  <si>
    <r>
      <t>a</t>
    </r>
    <r>
      <rPr>
        <vertAlign val="superscript"/>
        <sz val="9"/>
        <rFont val="Arial"/>
        <family val="2"/>
      </rPr>
      <t>i</t>
    </r>
  </si>
  <si>
    <r>
      <t>a</t>
    </r>
    <r>
      <rPr>
        <vertAlign val="superscript"/>
        <sz val="9"/>
        <rFont val="Arial"/>
        <family val="2"/>
      </rPr>
      <t>m</t>
    </r>
  </si>
  <si>
    <t>2012
Goal</t>
  </si>
  <si>
    <t>2012YE Projection</t>
  </si>
  <si>
    <t>2013
Goal</t>
  </si>
  <si>
    <t>2014
Goal</t>
  </si>
  <si>
    <t>2015
Goal</t>
  </si>
  <si>
    <t xml:space="preserve">Incentive Cost Rate </t>
  </si>
  <si>
    <r>
      <t>m=a</t>
    </r>
    <r>
      <rPr>
        <vertAlign val="superscript"/>
        <sz val="9"/>
        <rFont val="Arial"/>
        <family val="2"/>
      </rPr>
      <t>i</t>
    </r>
    <r>
      <rPr>
        <sz val="9"/>
        <rFont val="Arial"/>
        <family val="2"/>
      </rPr>
      <t>/c</t>
    </r>
  </si>
  <si>
    <t xml:space="preserve">Marketing Cost Rate </t>
  </si>
  <si>
    <r>
      <t>n=a</t>
    </r>
    <r>
      <rPr>
        <vertAlign val="superscript"/>
        <sz val="9"/>
        <rFont val="Arial"/>
        <family val="2"/>
      </rPr>
      <t>m</t>
    </r>
    <r>
      <rPr>
        <sz val="9"/>
        <rFont val="Arial"/>
        <family val="2"/>
      </rPr>
      <t>/c</t>
    </r>
  </si>
  <si>
    <t xml:space="preserve">Smart Living Center® _Museum Partnership </t>
  </si>
  <si>
    <t xml:space="preserve">2011 YTD (June) </t>
  </si>
  <si>
    <t>2011 YE projection</t>
  </si>
  <si>
    <t>@ 7/31/2012</t>
  </si>
  <si>
    <t>10/1/2012</t>
  </si>
  <si>
    <t xml:space="preserve">Small Business </t>
  </si>
  <si>
    <t xml:space="preserve">Proposed Natural Gas Expanded Conservation Plan Budget    </t>
  </si>
  <si>
    <t>Statewide 2013 Expanded Budget Analysis</t>
  </si>
  <si>
    <t>Homes/ Units</t>
  </si>
  <si>
    <t>Peak Day Savings (ccf)</t>
  </si>
  <si>
    <t xml:space="preserve">2013 Expanded Gas Conservation </t>
  </si>
  <si>
    <t>CNG 2014 Expanded Budget Details</t>
  </si>
  <si>
    <t>SCG 2014 Expanded Budget Details</t>
  </si>
  <si>
    <t xml:space="preserve">CNG 2013 Expanded Budget Analysis   </t>
  </si>
  <si>
    <t xml:space="preserve">CNG 2014 Expanded Budget Analysis   </t>
  </si>
  <si>
    <t xml:space="preserve">SCG  2013 Expanded Budget Analysis   </t>
  </si>
  <si>
    <t xml:space="preserve">SCG  2014 Expanded Budget Analysis   </t>
  </si>
  <si>
    <t xml:space="preserve">YGS  2014 Expanded Budget Analysis   </t>
  </si>
  <si>
    <t xml:space="preserve">YGS  2015 Expanded Budget Analysis   </t>
  </si>
  <si>
    <t>thx!</t>
  </si>
  <si>
    <t>Spent</t>
  </si>
  <si>
    <t>Actuals Spent</t>
  </si>
  <si>
    <t xml:space="preserve">Approved </t>
  </si>
  <si>
    <t xml:space="preserve">Actuals </t>
  </si>
  <si>
    <t>2012 Actuals</t>
  </si>
  <si>
    <t>2012
Actuals</t>
  </si>
  <si>
    <t xml:space="preserve">2012 Actuals </t>
  </si>
  <si>
    <t xml:space="preserve">    Evaluation Consultant</t>
  </si>
  <si>
    <t>Customer Engagement</t>
  </si>
  <si>
    <t>EESmarts/K-12</t>
  </si>
  <si>
    <t xml:space="preserve">     ISE</t>
  </si>
  <si>
    <t xml:space="preserve">    ESPC</t>
  </si>
  <si>
    <t xml:space="preserve">   EESmarts/K-12</t>
  </si>
  <si>
    <t xml:space="preserve">   Customer Engagement</t>
  </si>
  <si>
    <t>Evaluation Consultant</t>
  </si>
  <si>
    <t>CNG 2013 Budget Details</t>
  </si>
  <si>
    <t>2013 COMPARISON OF CONSERVATION Base PROGRAMS</t>
  </si>
  <si>
    <t>SCG 2013 Budget Details</t>
  </si>
  <si>
    <t xml:space="preserve">   EE Communities </t>
  </si>
  <si>
    <t>Units Rebated</t>
  </si>
  <si>
    <t>Ratio of Incentive to Budget:</t>
  </si>
  <si>
    <t>Ratio of incentive to budget</t>
  </si>
  <si>
    <t>Program Costs 2014</t>
  </si>
  <si>
    <t xml:space="preserve">
Program Benefit (Gas &amp; Oil)</t>
  </si>
  <si>
    <t>Program B/C Ratio</t>
  </si>
  <si>
    <t>2014 COMPARISON OF CONSERVATION PROGRAMS</t>
  </si>
  <si>
    <t>Residential Program Budgets</t>
  </si>
  <si>
    <t>C&amp;I Program Budgets</t>
  </si>
  <si>
    <t>SECTOR</t>
  </si>
  <si>
    <t>Number of Units</t>
  </si>
  <si>
    <t>HES</t>
  </si>
  <si>
    <t>HES-IE</t>
  </si>
  <si>
    <t xml:space="preserve">O&amp;M </t>
  </si>
  <si>
    <t>Total Incentive $ Residential and C&amp;I</t>
  </si>
  <si>
    <t>Annual MMBTU</t>
  </si>
  <si>
    <t>Lifetime MMBTU</t>
  </si>
  <si>
    <t>Cost per Annual MMBTU</t>
  </si>
  <si>
    <t>Cost per Lifetime MMBTU</t>
  </si>
  <si>
    <t xml:space="preserve">Annualized Savings Oil (gallons) </t>
  </si>
  <si>
    <t xml:space="preserve">Lifetime Savings Oil (gallons) </t>
  </si>
  <si>
    <t xml:space="preserve">Annualized Savings Propane  (gallons) </t>
  </si>
  <si>
    <t xml:space="preserve">Lifetime Savings Propane (gallons) </t>
  </si>
  <si>
    <t>Achieve ccf savings per single family home</t>
  </si>
  <si>
    <t>ccf/home</t>
  </si>
  <si>
    <t>Annual ccf savings</t>
  </si>
  <si>
    <t>10% of signed projects</t>
  </si>
  <si>
    <t xml:space="preserve">Percentage of signed gas only projects containing  multiple measures  
Projects must fall within Energy Opportunities or Energy Conscious Blueprint programming; 
Projects must contain multiple gas measures; 
No restriction to the number of enduses; 
No SBEA projects are included,  
Calculations based on signed projects, no Rebates:  [ (# of signed projects - rebate projects) / (total # of signed projects from all large C&amp;I - all rebate projects)]
</t>
  </si>
  <si>
    <t>% of Gas Projects</t>
  </si>
  <si>
    <t>15% of signed projects</t>
  </si>
  <si>
    <t>Manufacturing Customer Projects</t>
  </si>
  <si>
    <t xml:space="preserve">Energy savings from Signed Manufacturing Customer projects.   Energy Savings includes the gas energy savings from all end uses.  
Manufacturing customer projects of any size including those that are &lt; 200 kW, 
Manufacturing customer is any with a NAICS manufacturing code or,
Manufacturing projects within the following facility types from the tracking systems: industrial 1 shift, industrial 2 shift, industrial 3 shift, manufacturing or lite manufacturing.  
Calculations based on signed contracts, no Rebates:              [ (Savings from manufacturing Customers  projects - savings from rebates) / (total savings from all C&amp;I - savings from all rebates)]
</t>
  </si>
  <si>
    <t>% of Savings Via Signed Contracts</t>
  </si>
  <si>
    <t>20% of Savings Via Signed Contracts</t>
  </si>
  <si>
    <t>12% of signed projects</t>
  </si>
  <si>
    <t xml:space="preserve">Number of gas projects that are comprehensive or implement measure bundles  or  Number of projects that consist of at least two gas measures     
Comprehensive is defined as 
1. More than one  End-Use, where End-Use is defined as Heating, Cooling, Lighting, Process, Refrigeration or EMS, and involves an End Use with a natural gas measure.
2. No 1 single End-Use can have more than 85% of the energy savings  value of the total annual energy savings Only SBEA projects are eligible
Calculations based on signed projects with gas, no Rebates:   [ (# of signed projects with gas - any rebate projects) / (total # of signed SBEA projects with gas - any rebate projects)]
Small Business projects may also be comprehensive by utilizing “bundled measures”.  Bundled measures shall be defined generally as a list of measure types geared toward customer type categories.  For example, the measure bundle for restaurants and commercial kitchens should include, but not be limited to, Lighting, Energy Star Natural Gas or Electric cooking equipment, CEEE rated Pre-Rinse Spray Valves, Energy Star Natural Gas or Electric Dishwashers.   
                     </t>
  </si>
  <si>
    <t xml:space="preserve">    Residential Behavior</t>
  </si>
  <si>
    <t>SCG Residential Behavior</t>
  </si>
  <si>
    <t>Residential Behavior</t>
  </si>
  <si>
    <t>Energy Blueprint / Energy Opportunities</t>
  </si>
  <si>
    <t>Total Residential Gas Benefit:</t>
  </si>
  <si>
    <t>Net Residential Gas Benefit:</t>
  </si>
  <si>
    <t>Total Gas Benefit from all Residential programs</t>
  </si>
  <si>
    <t>Gas Benefit from all Residential programs</t>
  </si>
  <si>
    <t>Total C&amp;I Gas Benefit:</t>
  </si>
  <si>
    <t>Net C&amp;I Gas Benefit:</t>
  </si>
  <si>
    <t>Total Gas Benefit from all  C&amp;I programs</t>
  </si>
  <si>
    <t>Gas Benefit from all C&amp;I programs</t>
  </si>
  <si>
    <t>Number of Water Heating Units (tankless and condensing) per DEEP Final Decision</t>
  </si>
  <si>
    <t>Update</t>
  </si>
  <si>
    <t xml:space="preserve">CNG &amp; SCG </t>
  </si>
  <si>
    <t>CNG/SCG</t>
  </si>
  <si>
    <t xml:space="preserve">   Administration </t>
  </si>
  <si>
    <t xml:space="preserve">   Marketing Plan </t>
  </si>
  <si>
    <t xml:space="preserve">   Information Technology </t>
  </si>
  <si>
    <t xml:space="preserve">   Planning</t>
  </si>
  <si>
    <t xml:space="preserve">   Research, Development  and Demonstration</t>
  </si>
  <si>
    <t>Thermostats</t>
  </si>
  <si>
    <t xml:space="preserve">
Program Benefit</t>
  </si>
  <si>
    <t>Program Costs</t>
  </si>
  <si>
    <t xml:space="preserve">Customer 
Cost </t>
  </si>
  <si>
    <t xml:space="preserve">Total 
Resource 
Cost </t>
  </si>
  <si>
    <t>% of 
Budget</t>
  </si>
  <si>
    <t xml:space="preserve">  CNG Other Programs / Requirements</t>
  </si>
  <si>
    <t xml:space="preserve">  SCG Other Programs / Requirements</t>
  </si>
  <si>
    <t xml:space="preserve">2016 Management Incentive Performance Indicators and Incentive Matrix </t>
  </si>
  <si>
    <t>Provided below is the 2016 Incentive Matrix with Performance Indicators.</t>
  </si>
  <si>
    <t xml:space="preserve">2017 Management Incentive Performance Indicators and Incentive Matrix </t>
  </si>
  <si>
    <t>Provided below is the 2017 Incentive Matrix with Performance Indicators.</t>
  </si>
  <si>
    <t>2013 Actuals</t>
  </si>
  <si>
    <t>2014 Actuals</t>
  </si>
  <si>
    <t>2016 Goal</t>
  </si>
  <si>
    <t>2017 Goal</t>
  </si>
  <si>
    <t>2018 Goal</t>
  </si>
  <si>
    <t>2013
Actuals</t>
  </si>
  <si>
    <t>2014
Actuals</t>
  </si>
  <si>
    <t xml:space="preserve">2013 Actuals </t>
  </si>
  <si>
    <t xml:space="preserve">2014 Actuals </t>
  </si>
  <si>
    <t>Clean Energy Communities</t>
  </si>
  <si>
    <t xml:space="preserve">HVAC Rebated </t>
  </si>
  <si>
    <r>
      <t xml:space="preserve">   energize CT</t>
    </r>
    <r>
      <rPr>
        <vertAlign val="superscript"/>
        <sz val="12"/>
        <rFont val="Arial"/>
        <family val="2"/>
      </rPr>
      <t>SM</t>
    </r>
    <r>
      <rPr>
        <sz val="12"/>
        <rFont val="Arial"/>
        <family val="2"/>
      </rPr>
      <t xml:space="preserve"> Center – Museum Partnerships</t>
    </r>
  </si>
  <si>
    <r>
      <t>energize CT</t>
    </r>
    <r>
      <rPr>
        <b/>
        <u/>
        <vertAlign val="superscript"/>
        <sz val="12"/>
        <rFont val="Arial"/>
        <family val="2"/>
      </rPr>
      <t>SM</t>
    </r>
    <r>
      <rPr>
        <b/>
        <u/>
        <sz val="12"/>
        <rFont val="Arial"/>
        <family val="2"/>
      </rPr>
      <t xml:space="preserve"> Center – Museum Partnerships</t>
    </r>
  </si>
  <si>
    <t xml:space="preserve">CNG 2016 Budget Analysis   </t>
  </si>
  <si>
    <t xml:space="preserve">CNG 2017 Budget Analysis   </t>
  </si>
  <si>
    <t xml:space="preserve">SCG 2016 Budget Analysis   </t>
  </si>
  <si>
    <t xml:space="preserve">SCG 2017 Budget Analysis   </t>
  </si>
  <si>
    <t xml:space="preserve">    C&amp;LM Loan Defaults</t>
  </si>
  <si>
    <t>80/20</t>
  </si>
  <si>
    <t xml:space="preserve">   Business &amp; Energy Sustainability (O&amp;M, RetroCx, BSC) </t>
  </si>
  <si>
    <t xml:space="preserve">CNG Business &amp; Energy Sustainability (O&amp;M, RetroCx, BSC) </t>
  </si>
  <si>
    <t xml:space="preserve">SCG Business &amp; Energy Sustainability (O&amp;M, RetroCx, BSC) </t>
  </si>
  <si>
    <t xml:space="preserve">     Institute for Sustainable Energy</t>
  </si>
  <si>
    <t xml:space="preserve">    ESPC Project Manager - Lead By Example</t>
  </si>
  <si>
    <t xml:space="preserve">    Residential Financing / (Includes ECLF)</t>
  </si>
  <si>
    <r>
      <t xml:space="preserve">   </t>
    </r>
    <r>
      <rPr>
        <sz val="12"/>
        <rFont val="Arial"/>
        <family val="2"/>
      </rPr>
      <t xml:space="preserve"> C&amp;I Loan Program</t>
    </r>
  </si>
  <si>
    <t>CNG Historical and Projected Annual and Lifetime Cost Rates</t>
  </si>
  <si>
    <t>Annual $/ccf</t>
  </si>
  <si>
    <t>Lifetime $/ccf</t>
  </si>
  <si>
    <t>SCG Historical and Projected Annual and Lifetime Cost Rates</t>
  </si>
  <si>
    <t>Table D2</t>
  </si>
  <si>
    <t xml:space="preserve">  CNG Other Education, Administrative &amp; Planning</t>
  </si>
  <si>
    <t xml:space="preserve">  SCG Other Education, Administrative &amp; Planning</t>
  </si>
  <si>
    <t xml:space="preserve">    HVAC / Water Heating</t>
  </si>
  <si>
    <t xml:space="preserve">     HVAC / Water Heating</t>
  </si>
  <si>
    <t>CNG  HVAC / Water Heating</t>
  </si>
  <si>
    <t>SCG  HVAC / Water Heating</t>
  </si>
  <si>
    <t>Sub Total HVAC / Water Heating</t>
  </si>
  <si>
    <t xml:space="preserve">   Educate the Public</t>
  </si>
  <si>
    <t xml:space="preserve">   Educate the Students</t>
  </si>
  <si>
    <t xml:space="preserve">   Educate the Workforce</t>
  </si>
  <si>
    <t xml:space="preserve">    Research, Development  and Demonstration</t>
  </si>
  <si>
    <t>HVAC / Water Heating</t>
  </si>
  <si>
    <t>Financing Support - Residential</t>
  </si>
  <si>
    <t>Financing Support - C&amp;I</t>
  </si>
  <si>
    <t xml:space="preserve">    Financing Support - Residential</t>
  </si>
  <si>
    <t xml:space="preserve">    Financing Support - C&amp;I</t>
  </si>
  <si>
    <t>CNG Residential Behavior</t>
  </si>
  <si>
    <t>Sub Total Residential Behavior</t>
  </si>
  <si>
    <t>50/50</t>
  </si>
  <si>
    <t>Natural Gas Energy Efficiency Plan Revenues</t>
  </si>
  <si>
    <t>Natural Gas EE Revenues</t>
  </si>
  <si>
    <t xml:space="preserve">Proposed Natural Gas Energy Efficiency Plan Budget    </t>
  </si>
  <si>
    <t xml:space="preserve">Natural Gas EE Budget </t>
  </si>
  <si>
    <t>2016 COMPARISON OF ENERGY EFFICIENCY PROGRAMS</t>
  </si>
  <si>
    <t xml:space="preserve">Sub Total  Energy Opportunities </t>
  </si>
  <si>
    <t>2017 COMPARISON OF ENERGY EFFICIENCY PROGRAMS</t>
  </si>
  <si>
    <t>2018 COMPARISON OF ENERGY EFFICIENCY PROGRAMS</t>
  </si>
  <si>
    <t>GAS ENERGY EFFICIENCY BUDGET ($000)</t>
  </si>
  <si>
    <t>CNG 2016 Budget Details</t>
  </si>
  <si>
    <t>CNG 2017 Budget Details</t>
  </si>
  <si>
    <t>CNG 2018 Budget Details</t>
  </si>
  <si>
    <t>SCG 2016 Budget Details</t>
  </si>
  <si>
    <t>SCG 2017 Budget Details</t>
  </si>
  <si>
    <t>SCG 2018 Budget Details</t>
  </si>
  <si>
    <t>2016 Gas Energy Efficiency</t>
  </si>
  <si>
    <t>2017 Gas Energy Efficiency</t>
  </si>
  <si>
    <t>OTHER - LOAD MANAGEMENT</t>
  </si>
  <si>
    <t>Sub Total</t>
  </si>
  <si>
    <t xml:space="preserve">    Demand Response Pilot</t>
  </si>
  <si>
    <t xml:space="preserve">        Subtotal Load Mangement</t>
  </si>
  <si>
    <t>Achieve CCF savings per single family home - based on 2015 actuals adjusted to 2016 CT PSD plus 2.0%.</t>
  </si>
  <si>
    <t>Achieve CCF savings / single family home.</t>
  </si>
  <si>
    <t>Achieve CCF savings per single family home - based on 2016 actuals adjusted to 2017 CT PSD plus 2.0%.</t>
  </si>
  <si>
    <t>20% of signed projects</t>
  </si>
  <si>
    <t>Develop and implement comprehensive offerings specific to Retail plus a minimum of 3 targeted segments (e.g. Medical offices, Restaurants and Commercial Services). Offerings will consist of a tailored combination of measures and service bundles, energy management, benchmarking and financing where appropriate (especially for high cost, long payback measures).  Calculated as signed projects that included comprehensive offerings at time of offering  / all signed projects (excluding rebates).</t>
  </si>
  <si>
    <t>Develop and implement comprehensive offerings specific to Manufacturing plus a minimum of 3 targeted segments (e.g. Retail, Education and Government). Offerings will consist of a tailored combination of measures and service bundles, technical assistance for SEM, benchmarking and financing where appropriate (especially for high cost, long payback measures).   Calculated as signed projects that included comprehensive offerings at time of offering  / all signed projects (excluding rebates).</t>
  </si>
  <si>
    <t xml:space="preserve">   Evaluation Measurement and Verification</t>
  </si>
  <si>
    <t xml:space="preserve">   Evaluation Administrator</t>
  </si>
  <si>
    <t xml:space="preserve">   Energy Efficiency Board Consultants</t>
  </si>
  <si>
    <t xml:space="preserve">   Audits - Financial and Operational</t>
  </si>
  <si>
    <t xml:space="preserve">   Performance Management Incentive</t>
  </si>
  <si>
    <t>CNG Historical and Projected Units</t>
  </si>
  <si>
    <t>OTHER-EDUCATION</t>
  </si>
  <si>
    <t xml:space="preserve">  Smart Living Center / Science Center</t>
  </si>
  <si>
    <t xml:space="preserve">  EESmarts/K-12 Education</t>
  </si>
  <si>
    <t xml:space="preserve">  Clean Energy Communities</t>
  </si>
  <si>
    <t>Subtotal - Education</t>
  </si>
  <si>
    <t>OTHER-PROGRAMS/REQUIREMENTS</t>
  </si>
  <si>
    <t xml:space="preserve">   Financing Support - Residential</t>
  </si>
  <si>
    <t xml:space="preserve">   Financing Support - C&amp;I</t>
  </si>
  <si>
    <t xml:space="preserve">   Research, Development &amp; Demonstration</t>
  </si>
  <si>
    <t xml:space="preserve">   Institute for Sustainable Energy</t>
  </si>
  <si>
    <t xml:space="preserve">   ESPC Project Manager</t>
  </si>
  <si>
    <t xml:space="preserve">   C&amp;I Loan Program</t>
  </si>
  <si>
    <t xml:space="preserve">   EE Loan Defaults</t>
  </si>
  <si>
    <t xml:space="preserve">   C&amp;I Self Funding</t>
  </si>
  <si>
    <t xml:space="preserve">   Other Funding Requests</t>
  </si>
  <si>
    <t>Subtotal - Programs/Requirements</t>
  </si>
  <si>
    <t>OTHER-ADMINSTRATIVE &amp; PLANNING</t>
  </si>
  <si>
    <t xml:space="preserve">   Administration</t>
  </si>
  <si>
    <t xml:space="preserve">   Marketing Plan</t>
  </si>
  <si>
    <t xml:space="preserve">   Information Technology</t>
  </si>
  <si>
    <t>Subtotal - Administrative &amp; Planning</t>
  </si>
  <si>
    <t xml:space="preserve">        TOTAL</t>
  </si>
  <si>
    <t>CNG Historical and Projected $</t>
  </si>
  <si>
    <t>SCG Historical and Projected Units</t>
  </si>
  <si>
    <t>SCG Historical and Projected $</t>
  </si>
  <si>
    <t>Utility Costs</t>
  </si>
  <si>
    <t xml:space="preserve">
Utility Benefit</t>
  </si>
  <si>
    <t>Utility B/C Ratio</t>
  </si>
  <si>
    <t>Peak Savings (ccf)</t>
  </si>
  <si>
    <t>Gas Cost Rate $ per ccf Annual</t>
  </si>
  <si>
    <t>Gas Cost Rate $ per ccf Lifetime</t>
  </si>
  <si>
    <t>Gas Cost Rate $ per ccf Peak</t>
  </si>
  <si>
    <t>Utility Cost per Annual MMBTU</t>
  </si>
  <si>
    <t>Utility Cost per Lifetime MMBTU</t>
  </si>
  <si>
    <t>Budget*</t>
  </si>
  <si>
    <t>*Please see attached Budget Allocation Table</t>
  </si>
  <si>
    <t>Budget Allocation Table</t>
  </si>
  <si>
    <t>Residential</t>
  </si>
  <si>
    <t>C&amp;I</t>
  </si>
  <si>
    <t>Other</t>
  </si>
  <si>
    <t xml:space="preserve">   Demand Response</t>
  </si>
  <si>
    <t xml:space="preserve">   Planning </t>
  </si>
  <si>
    <t xml:space="preserve">   Audit - Financial and Operational</t>
  </si>
  <si>
    <t>Note: Core Residential and C&amp;I programs that produce savings are allocated 100% to the Residential and C&amp;I sectors, respectively.  Other programs budgets are allocated to both Residential and C&amp;I sectors based on an estimated percentage of the sector that those dollars will directly benefit by the percentages above.</t>
  </si>
  <si>
    <t>This calculated is based on achieving 100% of all performance targets and earning a target incentive of 4.25% of EE budgets (not including ECMB costs, Audit Costs or Management Incentive).</t>
  </si>
  <si>
    <t>CNG 2019 Budget Details</t>
  </si>
  <si>
    <t>SCG 2019 Budget Details</t>
  </si>
  <si>
    <t>2019 COMPARISON OF ENERGY EFFICIENCY PROGRAMS</t>
  </si>
  <si>
    <t>Revision History</t>
  </si>
  <si>
    <t>REV#</t>
  </si>
  <si>
    <t>Notes</t>
  </si>
  <si>
    <t>Date</t>
  </si>
  <si>
    <t>Initial Document Creation</t>
  </si>
  <si>
    <t>CNG/SCG 3 Year Plan (2019-21)</t>
  </si>
  <si>
    <t>HES SCG marketing add $22,000 from incentive for all years (2019-2021)</t>
  </si>
  <si>
    <t xml:space="preserve">HES-IE CNG marketing add $30,000 from incentive for all years (2019-2021)
HES-IE SCG marketing add $2,000 from incentive for all years (2019-2021)
</t>
  </si>
  <si>
    <t># of oil home</t>
  </si>
  <si>
    <t>oil Mmbtu</t>
  </si>
  <si>
    <t>oil lt mmbtu</t>
  </si>
  <si>
    <t>oil total benefit</t>
  </si>
  <si>
    <t>=</t>
  </si>
  <si>
    <t>2020 COMPARISON OF ENERGY EFFICIENCY PROGRAMS</t>
  </si>
  <si>
    <t>2021 COMPARISON OF ENERGY EFFICIENCY PROGRAMS</t>
  </si>
  <si>
    <t>SCG 2022 Budget Details</t>
  </si>
  <si>
    <t>CNG 2022 Budget Details</t>
  </si>
  <si>
    <t xml:space="preserve">SCG 2022 Budget Analysis   </t>
  </si>
  <si>
    <t>TABLE A2</t>
  </si>
  <si>
    <t>Base</t>
  </si>
  <si>
    <t xml:space="preserve">CAM </t>
  </si>
  <si>
    <t xml:space="preserve">       Total - C&amp;LM Revenues</t>
  </si>
  <si>
    <t>Less:</t>
  </si>
  <si>
    <t>PMI</t>
  </si>
  <si>
    <t>EEB</t>
  </si>
  <si>
    <t>Audit</t>
  </si>
  <si>
    <t>PMI @ 4.5%</t>
  </si>
  <si>
    <t>2022 Gas Energy Efficiency</t>
  </si>
  <si>
    <t>Contract Labor</t>
  </si>
  <si>
    <t>NA</t>
  </si>
  <si>
    <t>CNG 2023 Budget Details</t>
  </si>
  <si>
    <t>SCG 2023 Budget Details</t>
  </si>
  <si>
    <t>Interest Due to Company</t>
  </si>
  <si>
    <t>Prior Period Revenue Over / (Under)</t>
  </si>
  <si>
    <t>Prior Period Budget Under / (Over)</t>
  </si>
  <si>
    <t xml:space="preserve">CNG 2022 Budget Analysis   </t>
  </si>
  <si>
    <t xml:space="preserve">CNG 2023 Budget Analysis   </t>
  </si>
  <si>
    <t xml:space="preserve">CNG 2024 Budget Analysis   </t>
  </si>
  <si>
    <t>2023 Gas Energy Efficiency</t>
  </si>
  <si>
    <t>2024 Gas Energy Efficiency</t>
  </si>
  <si>
    <t>SCG 2024 Budget Details</t>
  </si>
  <si>
    <t xml:space="preserve">SCG 2023 Budget Analysis   </t>
  </si>
  <si>
    <t>SCG 2022-24 EE REVENUES</t>
  </si>
  <si>
    <t>CNG 2022-24 EE REVENUES</t>
  </si>
  <si>
    <t>DEMAND MANAGEMENT</t>
  </si>
  <si>
    <t>Demand Management - C&amp;I</t>
  </si>
  <si>
    <t>Demand Management - Residential</t>
  </si>
  <si>
    <t>CNG 2024 Budget Details</t>
  </si>
  <si>
    <t>Residential New Construction</t>
  </si>
  <si>
    <t>Home Energy Solutions (HES)</t>
  </si>
  <si>
    <t>Subtotal Residential</t>
  </si>
  <si>
    <t>Business &amp; Energy Sustainability (O&amp;M, RetroCx, BSC)</t>
  </si>
  <si>
    <t>Subtotal C&amp;I</t>
  </si>
  <si>
    <t>OTHER - EDUCATION</t>
  </si>
  <si>
    <t>Subtotal Education</t>
  </si>
  <si>
    <t>Research, Development and Demonstration</t>
  </si>
  <si>
    <t>Subtotal Programs/Requirements</t>
  </si>
  <si>
    <t>Marketing Plan</t>
  </si>
  <si>
    <t>Evaluation Measurement and Verification</t>
  </si>
  <si>
    <t>Evaluation Administrator</t>
  </si>
  <si>
    <t>Energy Efficiency Board Consultants</t>
  </si>
  <si>
    <t>Audits - Financial and Operational</t>
  </si>
  <si>
    <t>Performance Management Incentive</t>
  </si>
  <si>
    <t>Subtotal Other</t>
  </si>
  <si>
    <t>GAS ENERGY EFFICIENCY BUDGET</t>
  </si>
  <si>
    <t>Subtotal Demand Management</t>
  </si>
  <si>
    <t>HVAC &amp; Domestic Water Heating</t>
  </si>
  <si>
    <t>HES Income Eligible - Weatherization</t>
  </si>
  <si>
    <t>Subtotal Other - Administrative &amp; Planning</t>
  </si>
  <si>
    <t>Business &amp; Energy Sustainability 
  (O&amp;M, RCx, PRIME, CSP/SEM)</t>
  </si>
  <si>
    <t>Energy Education</t>
  </si>
  <si>
    <t>Workforce Development</t>
  </si>
  <si>
    <t>Community Outreach</t>
  </si>
  <si>
    <t>Customer Engagement Initiative</t>
  </si>
  <si>
    <t>% of Residential and C&amp;I Budget</t>
  </si>
  <si>
    <t xml:space="preserve">SCG 2024 Budget Analysis   </t>
  </si>
  <si>
    <t xml:space="preserve">2022 Management Incentive Performance Indicators and Incentive Matrix </t>
  </si>
  <si>
    <t xml:space="preserve">2023 Management Incentive Performance Indicators and Incentive Matrix </t>
  </si>
  <si>
    <t xml:space="preserve">2024 Management Incentive Performance Indicators and Incentive Matrix </t>
  </si>
  <si>
    <t>-Performance Incentive Illustration-</t>
  </si>
  <si>
    <t>Performance %
Minimum</t>
  </si>
  <si>
    <t>Maximum 
Budget</t>
  </si>
  <si>
    <t xml:space="preserve">Goals will be prorated based on 
actual over/under spend of budget. </t>
  </si>
  <si>
    <t xml:space="preserve">Program Name  </t>
  </si>
  <si>
    <t>LT-CCF</t>
  </si>
  <si>
    <t>%  (1)</t>
  </si>
  <si>
    <t xml:space="preserve">Residential Programs
 (Sector Level) Sector Budget </t>
  </si>
  <si>
    <t xml:space="preserve">
Sum of Gas System Benefit from Residential programs</t>
  </si>
  <si>
    <t xml:space="preserve">
Gas System Benefit from Residential programs</t>
  </si>
  <si>
    <t>HVAC</t>
  </si>
  <si>
    <t>HES - Income Eligible</t>
  </si>
  <si>
    <t>Behavior</t>
  </si>
  <si>
    <t xml:space="preserve">   Total</t>
  </si>
  <si>
    <t xml:space="preserve">Savings Rate </t>
  </si>
  <si>
    <t>/ CCF</t>
  </si>
  <si>
    <t xml:space="preserve">Savings </t>
  </si>
  <si>
    <t>(1) percent of target goal</t>
  </si>
  <si>
    <t>Net Residential 
Gas Benefit:</t>
  </si>
  <si>
    <t>Achieve CCF savings from "core services" per single-family home that has air sealing completed (i.e., non-barriered homes). 
Based on previous year's actuals 
adjusted to the current year CT PSD plus 2.0% (X*102%).</t>
  </si>
  <si>
    <t>CCF/home</t>
  </si>
  <si>
    <t>Achieve X CCF savings/
single-family home
single-family home</t>
  </si>
  <si>
    <t>HES-Income 
Eligible</t>
  </si>
  <si>
    <t>COMMERCIAL &amp; INDUSTRIAL (C&amp;I)</t>
  </si>
  <si>
    <t xml:space="preserve">C&amp;I Programs (Sector Level) Sector Budget </t>
  </si>
  <si>
    <t xml:space="preserve">
Total Gas 
System Benefit from C&amp;I programs</t>
  </si>
  <si>
    <t>Gas System Benefit from C&amp;I programs</t>
  </si>
  <si>
    <t>Business and Energy Sustainability</t>
  </si>
  <si>
    <t>Net C&amp;I 
Gas System Benefit:</t>
  </si>
  <si>
    <t>Develop and implement comprehensive offerings. Offerings will consist of a tailored combination of measure and service bundles, energy management, and financing where appropriate (especially 
for high-cost, long payback measures). Calculated as signed 
projects that included comprehensive offerings at time of 
offering/all signed projects (excluding rebates). Comprehensive 
shall be defined as including more than one end use. Based on Prior Year Actual results + 5% (X%+5%).</t>
  </si>
  <si>
    <r>
      <t xml:space="preserve">% </t>
    </r>
    <r>
      <rPr>
        <sz val="14"/>
        <rFont val="Arial"/>
        <family val="2"/>
      </rPr>
      <t>of 
Gas Projects</t>
    </r>
  </si>
  <si>
    <t>X% of 
signed projects</t>
  </si>
  <si>
    <t>Energy Conscious Blueprint /
Energy Opportunities</t>
  </si>
  <si>
    <t xml:space="preserve">Develop and implement comprehensive offerings. Offerings will consist of a tailored combination of measures and service bundles, technical assistance for SEM, benchmarking and financing where appropriate (especially for high-cost, long payback measures). Calculated as signed projects that included comprehensive 
offerings at time of offering/all signed projects (excluding rebates). Comprehensive shall be defined as including at least one end
 use with BES counting as more than one end use. Based on Prior Year Actual results + 5% (X%+5%).
</t>
  </si>
  <si>
    <t xml:space="preserve">Timely turnaround on purchase orders and Evaluation Data requests based on agreed upon timelines for each study.  Sliding scale as noted in the PMI exhibit - with 100% of goal achievement based on 90% of the data requests and purchase orders being completed on time.  </t>
  </si>
  <si>
    <t>Timely turnaround</t>
  </si>
  <si>
    <t>Based on 90% of data request and purchase orders</t>
  </si>
  <si>
    <t>Total Incentives</t>
  </si>
  <si>
    <t xml:space="preserve">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t>
  </si>
  <si>
    <t>Connecticut Natural Gas Corporation</t>
  </si>
  <si>
    <t>CNG and the EEB recognize that having clear indicators and metrics of performance are helpful in delivering quality programs to Connecticut consumers.  The following is a</t>
  </si>
  <si>
    <t xml:space="preserve">metrics apply to the programs delineated in the 2022-2024 Plan. The projected CNG Performance Incentive is </t>
  </si>
  <si>
    <t>table of performance and incentive metrics developed by the Companies with input from the EEB, the EEB consultants and DEEP. These performance and incentive</t>
  </si>
  <si>
    <t xml:space="preserve">targets and earning an incentive of 5.0% of the total EE program budget of </t>
  </si>
  <si>
    <t xml:space="preserve"> and is based on achieving 100% of all performance </t>
  </si>
  <si>
    <t>Southern Connecticut Gas Company</t>
  </si>
  <si>
    <t>SCG and the EEB recognize that having clear indicators and metrics of performance are helpful in delivering quality programs to Connecticut consumers.  The following is a</t>
  </si>
  <si>
    <t xml:space="preserve">metrics apply to the programs delineated in the 2022-2024 Plan. The projected SCG Performance Incentive is </t>
  </si>
  <si>
    <t>Results</t>
  </si>
  <si>
    <t xml:space="preserve">Actual </t>
  </si>
  <si>
    <t>Smart Living Center / Science Center</t>
  </si>
  <si>
    <t>EESmarts/K-12 Education</t>
  </si>
  <si>
    <t>SCG 2025 Budget Details</t>
  </si>
  <si>
    <t>CNG 2025 Budget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</si>
</sst>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m/d/yy"/>
    <numFmt numFmtId="168" formatCode="_(&quot;$&quot;* #,##0.000_);_(&quot;$&quot;* \(#,##0.000\);_(&quot;$&quot;* &quot;-&quot;???_);_(@_)"/>
    <numFmt numFmtId="169" formatCode="&quot;$&quot;#,##0"/>
    <numFmt numFmtId="170" formatCode="_(&quot;$&quot;* #,##0.0000_);_(&quot;$&quot;* \(#,##0.0000\);_(&quot;$&quot;* &quot;-&quot;????_);_(@_)"/>
    <numFmt numFmtId="171" formatCode="_(&quot;$&quot;* #,##0.0000_);_(&quot;$&quot;* \(#,##0.0000\);_(&quot;$&quot;* &quot;-&quot;_);_(@_)"/>
    <numFmt numFmtId="172" formatCode="#,##0;[Red]#,##0"/>
    <numFmt numFmtId="173" formatCode="0.000%"/>
    <numFmt numFmtId="174" formatCode="0.0000%"/>
    <numFmt numFmtId="175" formatCode="0.00000%"/>
    <numFmt numFmtId="176" formatCode="_(&quot;$&quot;* #,##0.000_);_(&quot;$&quot;* \(#,##0.000\);_(&quot;$&quot;* &quot;-&quot;_);_(@_)"/>
    <numFmt numFmtId="177" formatCode="0.000000%"/>
    <numFmt numFmtId="178" formatCode="&quot;$&quot;#,##0&quot;/kW&quot;;\(&quot;$&quot;#,##0\)&quot;/kW&quot;"/>
    <numFmt numFmtId="179" formatCode="&quot;$&quot;#,##0&quot;/kWh&quot;;\(&quot;$&quot;#,##0\)&quot;/kWh&quot;"/>
    <numFmt numFmtId="180" formatCode="&quot;$&quot;#,##0&quot;/kW-yr&quot;;\(&quot;$&quot;#,##0\)&quot;/kW-yr&quot;"/>
    <numFmt numFmtId="181" formatCode="&quot;$&quot;#,##0&quot;/MWh&quot;;\(&quot;$&quot;#,##0\)&quot;/MWh&quot;"/>
    <numFmt numFmtId="182" formatCode="&quot;$&quot;#,##0_)&quot;M&quot;;\(&quot;$&quot;#,##0\)&quot;M&quot;"/>
    <numFmt numFmtId="183" formatCode="0.00&quot;¢/kWh&quot;"/>
    <numFmt numFmtId="184" formatCode="0.00000"/>
    <numFmt numFmtId="185" formatCode="0.0000"/>
    <numFmt numFmtId="186" formatCode="0.000"/>
    <numFmt numFmtId="187" formatCode="_(* #,##0.000_);_(* \(#,##0.000\);_(* &quot;-&quot;??_);_(@_)"/>
    <numFmt numFmtId="188" formatCode="_(* #,##0.0000_);_(* \(#,##0.0000\);_(* &quot;-&quot;??_);_(@_)"/>
    <numFmt numFmtId="189" formatCode="_(&quot;$&quot;* #,##0.000_);_(&quot;$&quot;* \(#,##0.000\);_(&quot;$&quot;* &quot;-&quot;??_);_(@_)"/>
    <numFmt numFmtId="190" formatCode="_(&quot;$&quot;* #,##0.0000_);_(&quot;$&quot;* \(#,##0.0000\);_(&quot;$&quot;* &quot;-&quot;??_);_(@_)"/>
    <numFmt numFmtId="191" formatCode="_(&quot;$&quot;* #,##0.00000_);_(&quot;$&quot;* \(#,##0.00000\);_(&quot;$&quot;* &quot;-&quot;??_);_(@_)"/>
    <numFmt numFmtId="192" formatCode="_(&quot;$&quot;* #,##0.0000000000_);_(&quot;$&quot;* \(#,##0.0000000000\);_(&quot;$&quot;* &quot;-&quot;?????????_);_(@_)"/>
    <numFmt numFmtId="193" formatCode="#,##0.000000000000"/>
    <numFmt numFmtId="194" formatCode="&quot;$&quot;#,##0.0000_);\(&quot;$&quot;#,##0.0000\)"/>
    <numFmt numFmtId="195" formatCode="#,##0.000"/>
    <numFmt numFmtId="196" formatCode="#,##0.0_);\(#,##0.0\)"/>
    <numFmt numFmtId="197" formatCode="yyyy"/>
    <numFmt numFmtId="198" formatCode="_(&quot;$&quot;* #,##0.00_);_(&quot;$&quot;* \(#,##0.00\);_(&quot;$&quot;* &quot;-&quot;_);_(@_)"/>
    <numFmt numFmtId="199" formatCode="#,##0.0000"/>
    <numFmt numFmtId="200" formatCode="0.0"/>
    <numFmt numFmtId="201" formatCode="#,##0.00000"/>
  </numFmts>
  <fonts count="117" x14ac:knownFonts="1">
    <font>
      <sz val="10"/>
      <name val="Arial"/>
    </font>
    <font>
      <b/>
      <sz val="10"/>
      <name val="Arial"/>
      <family val="2"/>
    </font>
    <font>
      <b/>
      <i/>
      <sz val="10"/>
      <name val="Arial"/>
      <family val="2"/>
    </font>
    <font>
      <sz val="10"/>
      <name val="Arial"/>
      <family val="2"/>
    </font>
    <font>
      <b/>
      <sz val="10"/>
      <name val="Arial"/>
      <family val="2"/>
    </font>
    <font>
      <sz val="10"/>
      <name val="Arial"/>
      <family val="2"/>
    </font>
    <font>
      <sz val="10"/>
      <name val="Times New Roman"/>
      <family val="1"/>
    </font>
    <font>
      <b/>
      <sz val="16"/>
      <name val="Arial"/>
      <family val="2"/>
    </font>
    <font>
      <sz val="10"/>
      <color indexed="10"/>
      <name val="Arial"/>
      <family val="2"/>
    </font>
    <font>
      <sz val="12"/>
      <name val="Arial"/>
      <family val="2"/>
    </font>
    <font>
      <sz val="8"/>
      <name val="Arial"/>
      <family val="2"/>
    </font>
    <font>
      <sz val="10"/>
      <color indexed="12"/>
      <name val="Arial"/>
      <family val="2"/>
    </font>
    <font>
      <b/>
      <sz val="10"/>
      <color indexed="10"/>
      <name val="Arial"/>
      <family val="2"/>
    </font>
    <font>
      <b/>
      <sz val="12"/>
      <name val="Times New Roman"/>
      <family val="1"/>
    </font>
    <font>
      <sz val="12"/>
      <name val="Times New Roman"/>
      <family val="1"/>
    </font>
    <font>
      <b/>
      <sz val="12"/>
      <name val="Arial"/>
      <family val="2"/>
    </font>
    <font>
      <u/>
      <sz val="10"/>
      <color indexed="12"/>
      <name val="Arial"/>
      <family val="2"/>
    </font>
    <font>
      <sz val="12"/>
      <name val="Arial"/>
      <family val="2"/>
    </font>
    <font>
      <sz val="16"/>
      <name val="Times New Roman"/>
      <family val="1"/>
    </font>
    <font>
      <b/>
      <sz val="16"/>
      <name val="Times New Roman"/>
      <family val="1"/>
    </font>
    <font>
      <b/>
      <sz val="11"/>
      <name val="Arial"/>
      <family val="2"/>
    </font>
    <font>
      <sz val="12"/>
      <color indexed="12"/>
      <name val="Arial"/>
      <family val="2"/>
    </font>
    <font>
      <b/>
      <sz val="8"/>
      <name val="Arial"/>
      <family val="2"/>
    </font>
    <font>
      <u/>
      <sz val="10"/>
      <name val="Arial"/>
      <family val="2"/>
    </font>
    <font>
      <b/>
      <u/>
      <sz val="12"/>
      <name val="Arial"/>
      <family val="2"/>
    </font>
    <font>
      <sz val="8"/>
      <name val="Arial"/>
      <family val="2"/>
    </font>
    <font>
      <b/>
      <sz val="10"/>
      <name val="Times New Roman"/>
      <family val="1"/>
    </font>
    <font>
      <b/>
      <i/>
      <sz val="10"/>
      <name val="Times New Roman"/>
      <family val="1"/>
    </font>
    <font>
      <b/>
      <sz val="16"/>
      <color indexed="10"/>
      <name val="Times New Roman"/>
      <family val="1"/>
    </font>
    <font>
      <b/>
      <sz val="16"/>
      <color indexed="12"/>
      <name val="Times New Roman"/>
      <family val="1"/>
    </font>
    <font>
      <b/>
      <sz val="20"/>
      <name val="Times New Roman"/>
      <family val="1"/>
    </font>
    <font>
      <b/>
      <sz val="18"/>
      <name val="Arial"/>
      <family val="2"/>
    </font>
    <font>
      <b/>
      <sz val="12"/>
      <color indexed="12"/>
      <name val="Arial"/>
      <family val="2"/>
    </font>
    <font>
      <b/>
      <i/>
      <sz val="10"/>
      <name val="Arial"/>
      <family val="2"/>
    </font>
    <font>
      <sz val="10"/>
      <color indexed="10"/>
      <name val="Arial"/>
      <family val="2"/>
    </font>
    <font>
      <b/>
      <u/>
      <sz val="10"/>
      <name val="Arial"/>
      <family val="2"/>
    </font>
    <font>
      <u val="singleAccounting"/>
      <sz val="10"/>
      <name val="Arial"/>
      <family val="2"/>
    </font>
    <font>
      <sz val="10"/>
      <name val="Arial"/>
      <family val="2"/>
    </font>
    <font>
      <u val="singleAccounting"/>
      <sz val="10"/>
      <name val="Arial"/>
      <family val="2"/>
    </font>
    <font>
      <sz val="10"/>
      <name val="Arial"/>
      <family val="2"/>
    </font>
    <font>
      <b/>
      <sz val="12"/>
      <name val="Arial"/>
      <family val="2"/>
    </font>
    <font>
      <sz val="10"/>
      <name val="Arial"/>
      <family val="2"/>
    </font>
    <font>
      <b/>
      <sz val="14"/>
      <name val="Arial"/>
      <family val="2"/>
    </font>
    <font>
      <u/>
      <sz val="10"/>
      <name val="Arial"/>
      <family val="2"/>
    </font>
    <font>
      <b/>
      <sz val="20"/>
      <name val="Arial"/>
      <family val="2"/>
    </font>
    <font>
      <b/>
      <sz val="10"/>
      <color indexed="10"/>
      <name val="Arial"/>
      <family val="2"/>
    </font>
    <font>
      <b/>
      <sz val="10"/>
      <color indexed="12"/>
      <name val="Arial"/>
      <family val="2"/>
    </font>
    <font>
      <sz val="10"/>
      <color indexed="12"/>
      <name val="Arial"/>
      <family val="2"/>
    </font>
    <font>
      <b/>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name val="MS Sans Serif"/>
      <family val="2"/>
    </font>
    <font>
      <sz val="9"/>
      <color indexed="20"/>
      <name val="Arial"/>
      <family val="2"/>
    </font>
    <font>
      <b/>
      <sz val="18"/>
      <color indexed="56"/>
      <name val="Cambria"/>
      <family val="2"/>
    </font>
    <font>
      <b/>
      <sz val="11"/>
      <color indexed="8"/>
      <name val="Calibri"/>
      <family val="2"/>
    </font>
    <font>
      <sz val="11"/>
      <color indexed="10"/>
      <name val="Calibri"/>
      <family val="2"/>
    </font>
    <font>
      <b/>
      <i/>
      <sz val="12"/>
      <name val="Arial"/>
      <family val="2"/>
    </font>
    <font>
      <b/>
      <i/>
      <sz val="11"/>
      <name val="Arial"/>
      <family val="2"/>
    </font>
    <font>
      <sz val="9"/>
      <name val="Arial"/>
      <family val="2"/>
    </font>
    <font>
      <vertAlign val="superscript"/>
      <sz val="10"/>
      <name val="Arial"/>
      <family val="2"/>
    </font>
    <font>
      <sz val="12"/>
      <color indexed="10"/>
      <name val="Arial"/>
      <family val="2"/>
    </font>
    <font>
      <sz val="11"/>
      <name val="Arial"/>
      <family val="2"/>
    </font>
    <font>
      <b/>
      <u/>
      <sz val="16"/>
      <name val="Arial"/>
      <family val="2"/>
    </font>
    <font>
      <sz val="10"/>
      <name val="Arial"/>
      <family val="2"/>
    </font>
    <font>
      <sz val="11"/>
      <color indexed="10"/>
      <name val="Arial"/>
      <family val="2"/>
    </font>
    <font>
      <sz val="11"/>
      <color indexed="10"/>
      <name val="Times New Roman"/>
      <family val="1"/>
    </font>
    <font>
      <sz val="11"/>
      <name val="Times New Roman"/>
      <family val="1"/>
    </font>
    <font>
      <b/>
      <sz val="11"/>
      <name val="Times New Roman"/>
      <family val="1"/>
    </font>
    <font>
      <u/>
      <sz val="12"/>
      <name val="Times New Roman"/>
      <family val="1"/>
    </font>
    <font>
      <b/>
      <u/>
      <sz val="11"/>
      <name val="Times New Roman"/>
      <family val="1"/>
    </font>
    <font>
      <sz val="12"/>
      <color indexed="10"/>
      <name val="Times New Roman"/>
      <family val="1"/>
    </font>
    <font>
      <b/>
      <sz val="14"/>
      <name val="Times New Roman"/>
      <family val="1"/>
    </font>
    <font>
      <b/>
      <sz val="12"/>
      <color indexed="10"/>
      <name val="Times New Roman"/>
      <family val="1"/>
    </font>
    <font>
      <b/>
      <sz val="12"/>
      <color indexed="12"/>
      <name val="Times New Roman"/>
      <family val="1"/>
    </font>
    <font>
      <b/>
      <sz val="9"/>
      <name val="Arial"/>
      <family val="2"/>
    </font>
    <font>
      <b/>
      <u/>
      <sz val="9"/>
      <name val="Arial"/>
      <family val="2"/>
    </font>
    <font>
      <u/>
      <sz val="9"/>
      <color indexed="12"/>
      <name val="Arial"/>
      <family val="2"/>
    </font>
    <font>
      <vertAlign val="superscript"/>
      <sz val="9"/>
      <name val="Arial"/>
      <family val="2"/>
    </font>
    <font>
      <u val="singleAccounting"/>
      <sz val="9"/>
      <name val="Arial"/>
      <family val="2"/>
    </font>
    <font>
      <sz val="9"/>
      <color indexed="81"/>
      <name val="Tahoma"/>
      <family val="2"/>
    </font>
    <font>
      <b/>
      <sz val="9"/>
      <color indexed="81"/>
      <name val="Tahoma"/>
      <family val="2"/>
    </font>
    <font>
      <vertAlign val="superscript"/>
      <sz val="12"/>
      <name val="Arial"/>
      <family val="2"/>
    </font>
    <font>
      <b/>
      <u/>
      <vertAlign val="superscript"/>
      <sz val="12"/>
      <name val="Arial"/>
      <family val="2"/>
    </font>
    <font>
      <sz val="16"/>
      <name val="Arial"/>
      <family val="2"/>
    </font>
    <font>
      <b/>
      <sz val="16"/>
      <color indexed="12"/>
      <name val="Arial"/>
      <family val="2"/>
    </font>
    <font>
      <sz val="16"/>
      <color indexed="12"/>
      <name val="Arial"/>
      <family val="2"/>
    </font>
    <font>
      <sz val="14"/>
      <name val="Arial"/>
      <family val="2"/>
    </font>
    <font>
      <sz val="13"/>
      <name val="Arial"/>
      <family val="2"/>
    </font>
    <font>
      <b/>
      <sz val="13"/>
      <name val="Arial"/>
      <family val="2"/>
    </font>
    <font>
      <b/>
      <i/>
      <sz val="13"/>
      <name val="Arial"/>
      <family val="2"/>
    </font>
    <font>
      <b/>
      <i/>
      <sz val="14"/>
      <name val="Arial"/>
      <family val="2"/>
    </font>
    <font>
      <sz val="11"/>
      <color rgb="FF9C0006"/>
      <name val="Calibri"/>
      <family val="2"/>
      <scheme val="minor"/>
    </font>
    <font>
      <sz val="11"/>
      <color theme="1"/>
      <name val="Calibri"/>
      <family val="2"/>
      <scheme val="minor"/>
    </font>
    <font>
      <u/>
      <sz val="11"/>
      <color theme="10"/>
      <name val="Calibri"/>
      <family val="2"/>
      <scheme val="minor"/>
    </font>
    <font>
      <sz val="12"/>
      <color theme="1"/>
      <name val="Times New Roman"/>
      <family val="1"/>
    </font>
    <font>
      <b/>
      <sz val="12"/>
      <color theme="1"/>
      <name val="Times New Roman"/>
      <family val="1"/>
    </font>
    <font>
      <b/>
      <sz val="16"/>
      <color theme="0"/>
      <name val="Arial"/>
      <family val="2"/>
    </font>
    <font>
      <sz val="16"/>
      <color theme="0"/>
      <name val="Arial"/>
      <family val="2"/>
    </font>
    <font>
      <b/>
      <sz val="13"/>
      <color theme="0"/>
      <name val="Arial"/>
      <family val="2"/>
    </font>
    <font>
      <b/>
      <sz val="14"/>
      <color theme="0"/>
      <name val="Arial"/>
      <family val="2"/>
    </font>
    <font>
      <sz val="14"/>
      <color theme="0"/>
      <name val="Arial"/>
      <family val="2"/>
    </font>
    <font>
      <b/>
      <sz val="8"/>
      <color theme="0"/>
      <name val="Arial"/>
      <family val="2"/>
    </font>
    <font>
      <b/>
      <u/>
      <sz val="10"/>
      <color theme="0"/>
      <name val="Arial"/>
      <family val="2"/>
    </font>
    <font>
      <sz val="18"/>
      <name val="Arial"/>
      <family val="2"/>
    </font>
    <font>
      <b/>
      <u/>
      <sz val="14"/>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5"/>
        <bgColor indexed="64"/>
      </patternFill>
    </fill>
    <fill>
      <patternFill patternType="solid">
        <fgColor indexed="51"/>
        <bgColor indexed="64"/>
      </patternFill>
    </fill>
    <fill>
      <patternFill patternType="solid">
        <fgColor indexed="22"/>
        <bgColor indexed="64"/>
      </patternFill>
    </fill>
    <fill>
      <patternFill patternType="solid">
        <fgColor indexed="31"/>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rgb="FFFFC7CE"/>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9CCFF"/>
        <bgColor indexed="64"/>
      </patternFill>
    </fill>
    <fill>
      <patternFill patternType="solid">
        <fgColor rgb="FFCCFFCC"/>
        <bgColor indexed="64"/>
      </patternFill>
    </fill>
    <fill>
      <patternFill patternType="solid">
        <fgColor rgb="FF00B0F0"/>
        <bgColor indexed="64"/>
      </patternFill>
    </fill>
    <fill>
      <patternFill patternType="solid">
        <fgColor rgb="FFFF99CC"/>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rgb="FF4472C4"/>
        <bgColor indexed="64"/>
      </patternFill>
    </fill>
    <fill>
      <patternFill patternType="solid">
        <fgColor rgb="FFD9E1F2"/>
        <bgColor indexed="64"/>
      </patternFill>
    </fill>
    <fill>
      <patternFill patternType="solid">
        <fgColor theme="3"/>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s>
  <cellStyleXfs count="180">
    <xf numFmtId="0" fontId="0" fillId="0" borderId="0"/>
    <xf numFmtId="0" fontId="3" fillId="0" borderId="0"/>
    <xf numFmtId="178" fontId="3" fillId="0" borderId="0">
      <alignment horizontal="right" wrapText="1"/>
    </xf>
    <xf numFmtId="178" fontId="3" fillId="0" borderId="0">
      <alignment horizontal="right" wrapText="1"/>
    </xf>
    <xf numFmtId="179" fontId="3" fillId="0" borderId="0">
      <alignment horizontal="right" wrapText="1"/>
    </xf>
    <xf numFmtId="179" fontId="3" fillId="0" borderId="0">
      <alignment horizontal="right" wrapText="1"/>
    </xf>
    <xf numFmtId="180" fontId="3" fillId="0" borderId="0">
      <alignment horizontal="right" wrapText="1"/>
    </xf>
    <xf numFmtId="180" fontId="3" fillId="0" borderId="0">
      <alignment horizontal="right" wrapText="1"/>
    </xf>
    <xf numFmtId="181" fontId="3" fillId="0" borderId="0">
      <alignment horizontal="right" wrapText="1"/>
    </xf>
    <xf numFmtId="181" fontId="3" fillId="0" borderId="0">
      <alignment horizontal="right" wrapText="1"/>
    </xf>
    <xf numFmtId="182" fontId="3" fillId="0" borderId="0">
      <alignment horizontal="right" wrapText="1"/>
    </xf>
    <xf numFmtId="182" fontId="3" fillId="0" borderId="0">
      <alignment horizontal="right" wrapText="1"/>
    </xf>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03" fillId="34" borderId="0" applyNumberFormat="0" applyBorder="0" applyAlignment="0" applyProtection="0"/>
    <xf numFmtId="0" fontId="52" fillId="20" borderId="1" applyNumberFormat="0" applyAlignment="0" applyProtection="0"/>
    <xf numFmtId="0" fontId="52" fillId="20" borderId="1" applyNumberFormat="0" applyAlignment="0" applyProtection="0"/>
    <xf numFmtId="183" fontId="3" fillId="0" borderId="0"/>
    <xf numFmtId="183" fontId="3" fillId="0" borderId="0"/>
    <xf numFmtId="0" fontId="53" fillId="21" borderId="2" applyNumberFormat="0" applyAlignment="0" applyProtection="0"/>
    <xf numFmtId="0" fontId="53" fillId="21" borderId="2" applyNumberFormat="0" applyAlignment="0" applyProtection="0"/>
    <xf numFmtId="43" fontId="3" fillId="0" borderId="0" applyFont="0" applyFill="0" applyBorder="0" applyAlignment="0" applyProtection="0"/>
    <xf numFmtId="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4" fillId="0" borderId="0" applyFont="0" applyFill="0" applyBorder="0" applyAlignment="0" applyProtection="0"/>
    <xf numFmtId="44" fontId="3" fillId="0" borderId="0" applyFont="0" applyFill="0" applyBorder="0" applyAlignment="0" applyProtection="0"/>
    <xf numFmtId="44" fontId="10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56" fillId="0" borderId="3"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alignment vertical="top"/>
      <protection locked="0"/>
    </xf>
    <xf numFmtId="0" fontId="105" fillId="0" borderId="0" applyNumberFormat="0" applyFill="0" applyBorder="0" applyAlignment="0" applyProtection="0"/>
    <xf numFmtId="0" fontId="59" fillId="7" borderId="1" applyNumberFormat="0" applyAlignment="0" applyProtection="0"/>
    <xf numFmtId="0" fontId="59" fillId="7" borderId="1" applyNumberFormat="0" applyAlignment="0" applyProtection="0"/>
    <xf numFmtId="0" fontId="60" fillId="0" borderId="6" applyNumberFormat="0" applyFill="0" applyAlignment="0" applyProtection="0"/>
    <xf numFmtId="0" fontId="60" fillId="0" borderId="6" applyNumberFormat="0" applyFill="0" applyAlignment="0" applyProtection="0"/>
    <xf numFmtId="0" fontId="61" fillId="22" borderId="0" applyNumberFormat="0" applyBorder="0" applyAlignment="0" applyProtection="0"/>
    <xf numFmtId="0" fontId="61" fillId="22" borderId="0" applyNumberFormat="0" applyBorder="0" applyAlignment="0" applyProtection="0"/>
    <xf numFmtId="0" fontId="3" fillId="0" borderId="0"/>
    <xf numFmtId="0" fontId="3" fillId="0" borderId="0"/>
    <xf numFmtId="0" fontId="3" fillId="0" borderId="0"/>
    <xf numFmtId="0" fontId="104" fillId="0" borderId="0"/>
    <xf numFmtId="0" fontId="104" fillId="0" borderId="0"/>
    <xf numFmtId="0" fontId="63" fillId="0" borderId="0"/>
    <xf numFmtId="0" fontId="3" fillId="0" borderId="0"/>
    <xf numFmtId="0" fontId="104" fillId="0" borderId="0"/>
    <xf numFmtId="0" fontId="3" fillId="0" borderId="0"/>
    <xf numFmtId="0" fontId="104" fillId="0" borderId="0"/>
    <xf numFmtId="0" fontId="3" fillId="0" borderId="0"/>
    <xf numFmtId="0" fontId="3" fillId="0" borderId="0"/>
    <xf numFmtId="0" fontId="104" fillId="0" borderId="0" applyNumberFormat="0" applyFont="0" applyFill="0" applyBorder="0" applyAlignment="0" applyProtection="0">
      <alignment vertical="top"/>
      <protection locked="0"/>
    </xf>
    <xf numFmtId="0" fontId="104" fillId="0" borderId="0"/>
    <xf numFmtId="0" fontId="104" fillId="0" borderId="0"/>
    <xf numFmtId="0" fontId="3" fillId="0" borderId="0"/>
    <xf numFmtId="0" fontId="3" fillId="0" borderId="0"/>
    <xf numFmtId="0" fontId="5"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62" fillId="20" borderId="8" applyNumberFormat="0" applyAlignment="0" applyProtection="0"/>
    <xf numFmtId="0" fontId="62"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4" fillId="0" borderId="0" applyFont="0" applyFill="0" applyBorder="0" applyAlignment="0" applyProtection="0"/>
    <xf numFmtId="0" fontId="63" fillId="0" borderId="0" applyNumberFormat="0" applyFont="0" applyFill="0" applyBorder="0" applyAlignment="0" applyProtection="0">
      <alignment horizontal="left"/>
    </xf>
    <xf numFmtId="0" fontId="64" fillId="24" borderId="9">
      <protection locked="0"/>
    </xf>
    <xf numFmtId="197" fontId="3" fillId="0" borderId="0" applyFill="0" applyBorder="0" applyAlignment="0" applyProtection="0">
      <alignment wrapText="1"/>
    </xf>
    <xf numFmtId="197" fontId="3" fillId="0" borderId="0" applyFill="0" applyBorder="0" applyAlignment="0" applyProtection="0">
      <alignment wrapText="1"/>
    </xf>
    <xf numFmtId="0" fontId="4" fillId="0" borderId="0" applyNumberFormat="0" applyFill="0" applyBorder="0">
      <alignment horizontal="center" wrapText="1"/>
    </xf>
    <xf numFmtId="0" fontId="1" fillId="0" borderId="0" applyNumberFormat="0" applyFill="0" applyBorder="0">
      <alignment horizontal="center" wrapText="1"/>
    </xf>
    <xf numFmtId="0" fontId="4" fillId="0" borderId="0" applyNumberFormat="0" applyFill="0" applyBorder="0">
      <alignment horizontal="center" wrapText="1"/>
    </xf>
    <xf numFmtId="0" fontId="1" fillId="0" borderId="0" applyNumberFormat="0" applyFill="0" applyBorder="0">
      <alignment horizontal="center" wrapText="1"/>
    </xf>
    <xf numFmtId="2" fontId="10" fillId="0" borderId="0"/>
    <xf numFmtId="0" fontId="65" fillId="0" borderId="0" applyNumberFormat="0" applyFill="0" applyBorder="0" applyAlignment="0" applyProtection="0"/>
    <xf numFmtId="0" fontId="6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 fillId="0" borderId="0"/>
    <xf numFmtId="0" fontId="3" fillId="0" borderId="0"/>
  </cellStyleXfs>
  <cellXfs count="3060">
    <xf numFmtId="0" fontId="0" fillId="0" borderId="0" xfId="0"/>
    <xf numFmtId="0" fontId="8" fillId="0" borderId="0" xfId="0" applyFont="1"/>
    <xf numFmtId="0" fontId="0" fillId="0" borderId="0" xfId="0" applyAlignment="1">
      <alignment horizontal="center"/>
    </xf>
    <xf numFmtId="0" fontId="0" fillId="0" borderId="0" xfId="0" applyFill="1"/>
    <xf numFmtId="0" fontId="11" fillId="0" borderId="0" xfId="0" applyFont="1"/>
    <xf numFmtId="0" fontId="12" fillId="0" borderId="0" xfId="0" applyFont="1" applyFill="1" applyBorder="1" applyAlignment="1">
      <alignment horizontal="center"/>
    </xf>
    <xf numFmtId="0" fontId="12" fillId="0" borderId="0" xfId="0" applyFont="1" applyAlignment="1">
      <alignment horizontal="center"/>
    </xf>
    <xf numFmtId="0" fontId="4" fillId="0" borderId="0" xfId="0" applyFont="1"/>
    <xf numFmtId="0" fontId="14" fillId="0" borderId="0" xfId="0" applyFont="1" applyBorder="1" applyAlignment="1">
      <alignment horizontal="center"/>
    </xf>
    <xf numFmtId="0" fontId="14" fillId="0" borderId="0" xfId="0" applyFont="1"/>
    <xf numFmtId="3" fontId="14" fillId="0" borderId="0" xfId="0" applyNumberFormat="1" applyFont="1" applyFill="1" applyAlignment="1">
      <alignment horizontal="center"/>
    </xf>
    <xf numFmtId="0" fontId="13" fillId="0" borderId="0" xfId="0" applyFont="1"/>
    <xf numFmtId="0" fontId="5" fillId="0" borderId="0" xfId="0" applyFont="1"/>
    <xf numFmtId="0" fontId="0" fillId="0" borderId="0" xfId="0" applyBorder="1"/>
    <xf numFmtId="42" fontId="0" fillId="0" borderId="0" xfId="0" applyNumberFormat="1"/>
    <xf numFmtId="0" fontId="0" fillId="0" borderId="0" xfId="0" applyFill="1" applyBorder="1"/>
    <xf numFmtId="0" fontId="5" fillId="25" borderId="0" xfId="0" applyFont="1" applyFill="1" applyBorder="1"/>
    <xf numFmtId="0" fontId="0" fillId="25" borderId="0" xfId="0" applyFill="1" applyBorder="1"/>
    <xf numFmtId="0" fontId="0" fillId="26" borderId="0" xfId="0" applyFill="1" applyBorder="1"/>
    <xf numFmtId="0" fontId="8" fillId="0" borderId="0" xfId="0" applyFont="1" applyBorder="1"/>
    <xf numFmtId="0" fontId="11" fillId="0" borderId="0" xfId="0" applyFont="1" applyBorder="1"/>
    <xf numFmtId="0" fontId="18" fillId="0" borderId="0" xfId="0" applyFont="1"/>
    <xf numFmtId="0" fontId="18" fillId="0" borderId="0" xfId="0" applyFont="1" applyAlignment="1">
      <alignment horizontal="center"/>
    </xf>
    <xf numFmtId="0" fontId="7" fillId="0" borderId="0" xfId="0" applyFont="1" applyAlignment="1"/>
    <xf numFmtId="42" fontId="0" fillId="0" borderId="0" xfId="0" applyNumberFormat="1" applyAlignment="1"/>
    <xf numFmtId="166" fontId="0" fillId="0" borderId="0" xfId="0" applyNumberFormat="1" applyBorder="1"/>
    <xf numFmtId="0" fontId="15" fillId="27" borderId="11" xfId="0" applyFont="1" applyFill="1" applyBorder="1" applyAlignment="1">
      <alignment horizontal="left"/>
    </xf>
    <xf numFmtId="0" fontId="15" fillId="0" borderId="0" xfId="0" applyFont="1" applyFill="1" applyBorder="1" applyAlignment="1">
      <alignment horizontal="left"/>
    </xf>
    <xf numFmtId="0" fontId="0" fillId="0" borderId="0" xfId="0" applyBorder="1" applyAlignment="1">
      <alignment horizontal="center"/>
    </xf>
    <xf numFmtId="15" fontId="0" fillId="0" borderId="0" xfId="0" quotePrefix="1" applyNumberFormat="1"/>
    <xf numFmtId="169" fontId="0" fillId="0" borderId="0" xfId="0" applyNumberFormat="1" applyAlignment="1">
      <alignment horizontal="right"/>
    </xf>
    <xf numFmtId="0" fontId="20" fillId="0" borderId="0" xfId="0" applyFont="1"/>
    <xf numFmtId="169" fontId="0" fillId="0" borderId="0" xfId="0" applyNumberFormat="1"/>
    <xf numFmtId="0" fontId="0" fillId="0" borderId="0" xfId="0" applyAlignment="1"/>
    <xf numFmtId="0" fontId="3" fillId="0" borderId="0" xfId="0" applyFont="1" applyBorder="1"/>
    <xf numFmtId="0" fontId="1" fillId="0" borderId="0" xfId="0" applyFont="1" applyBorder="1" applyAlignment="1">
      <alignment horizontal="left"/>
    </xf>
    <xf numFmtId="166" fontId="3" fillId="0" borderId="0" xfId="0" applyNumberFormat="1" applyFont="1" applyBorder="1" applyAlignment="1">
      <alignment horizontal="right"/>
    </xf>
    <xf numFmtId="0" fontId="3" fillId="0" borderId="0" xfId="0" applyFont="1"/>
    <xf numFmtId="169" fontId="3" fillId="0" borderId="0" xfId="93" applyNumberFormat="1" applyFont="1" applyBorder="1"/>
    <xf numFmtId="166" fontId="3" fillId="0" borderId="0" xfId="149" applyNumberFormat="1" applyFont="1" applyBorder="1"/>
    <xf numFmtId="166" fontId="3" fillId="0" borderId="0" xfId="0" applyNumberFormat="1" applyFont="1" applyBorder="1"/>
    <xf numFmtId="0" fontId="22" fillId="0" borderId="0" xfId="0" applyFont="1" applyBorder="1" applyAlignment="1">
      <alignment horizontal="left"/>
    </xf>
    <xf numFmtId="169" fontId="23" fillId="0" borderId="0" xfId="93" applyNumberFormat="1" applyFont="1" applyBorder="1"/>
    <xf numFmtId="169" fontId="0" fillId="0" borderId="0" xfId="0" applyNumberFormat="1" applyBorder="1"/>
    <xf numFmtId="165" fontId="0" fillId="0" borderId="0" xfId="0" applyNumberFormat="1" applyBorder="1"/>
    <xf numFmtId="0" fontId="18" fillId="0" borderId="0" xfId="0" applyFont="1" applyFill="1"/>
    <xf numFmtId="0" fontId="10" fillId="0" borderId="0" xfId="0" applyFont="1"/>
    <xf numFmtId="10" fontId="0" fillId="0" borderId="0" xfId="0" applyNumberFormat="1" applyAlignment="1">
      <alignment horizontal="center"/>
    </xf>
    <xf numFmtId="0" fontId="5" fillId="0" borderId="0" xfId="0" applyFont="1" applyAlignment="1">
      <alignment horizontal="center"/>
    </xf>
    <xf numFmtId="0" fontId="6" fillId="0" borderId="0" xfId="0" applyFont="1"/>
    <xf numFmtId="0" fontId="6" fillId="0" borderId="0" xfId="0" applyFont="1" applyFill="1"/>
    <xf numFmtId="0" fontId="6" fillId="0" borderId="0" xfId="0" applyFont="1" applyBorder="1"/>
    <xf numFmtId="0" fontId="6" fillId="0" borderId="0" xfId="0" applyFont="1" applyFill="1" applyBorder="1"/>
    <xf numFmtId="3" fontId="6" fillId="0" borderId="0" xfId="0" applyNumberFormat="1" applyFont="1" applyFill="1" applyAlignment="1">
      <alignment horizontal="left" vertical="top"/>
    </xf>
    <xf numFmtId="3" fontId="6" fillId="0" borderId="0" xfId="0" applyNumberFormat="1" applyFont="1"/>
    <xf numFmtId="169" fontId="6" fillId="0" borderId="0" xfId="0" applyNumberFormat="1" applyFont="1" applyAlignment="1">
      <alignment horizontal="right"/>
    </xf>
    <xf numFmtId="10" fontId="6" fillId="0" borderId="0" xfId="0" applyNumberFormat="1" applyFont="1" applyFill="1" applyAlignment="1">
      <alignment horizontal="center"/>
    </xf>
    <xf numFmtId="10" fontId="6" fillId="0" borderId="0" xfId="0" applyNumberFormat="1" applyFont="1" applyAlignment="1">
      <alignment horizontal="center"/>
    </xf>
    <xf numFmtId="169" fontId="6" fillId="0" borderId="0" xfId="0" applyNumberFormat="1" applyFont="1"/>
    <xf numFmtId="3" fontId="26" fillId="28" borderId="0" xfId="0" applyNumberFormat="1" applyFont="1" applyFill="1" applyAlignment="1">
      <alignment horizontal="right"/>
    </xf>
    <xf numFmtId="3" fontId="6" fillId="28" borderId="0" xfId="0" applyNumberFormat="1" applyFont="1" applyFill="1" applyAlignment="1">
      <alignment horizontal="right"/>
    </xf>
    <xf numFmtId="169" fontId="6" fillId="28" borderId="0" xfId="0" applyNumberFormat="1" applyFont="1" applyFill="1" applyAlignment="1">
      <alignment horizontal="right"/>
    </xf>
    <xf numFmtId="10" fontId="6" fillId="28" borderId="0" xfId="0" applyNumberFormat="1" applyFont="1" applyFill="1" applyAlignment="1">
      <alignment horizontal="center"/>
    </xf>
    <xf numFmtId="0" fontId="6" fillId="0" borderId="0" xfId="0" applyFont="1" applyAlignment="1">
      <alignment horizontal="center"/>
    </xf>
    <xf numFmtId="0" fontId="6" fillId="0" borderId="0" xfId="0" applyFont="1" applyFill="1" applyAlignment="1">
      <alignment horizontal="center"/>
    </xf>
    <xf numFmtId="10" fontId="6" fillId="0" borderId="0" xfId="0" applyNumberFormat="1" applyFont="1"/>
    <xf numFmtId="10" fontId="6" fillId="0" borderId="0" xfId="0" applyNumberFormat="1" applyFont="1" applyAlignment="1">
      <alignment horizontal="right"/>
    </xf>
    <xf numFmtId="0" fontId="27" fillId="0" borderId="0" xfId="0" applyFont="1" applyBorder="1"/>
    <xf numFmtId="0" fontId="6" fillId="0" borderId="0" xfId="0" applyFont="1" applyFill="1" applyBorder="1" applyAlignment="1">
      <alignment horizontal="right"/>
    </xf>
    <xf numFmtId="42" fontId="6" fillId="0" borderId="0" xfId="0" applyNumberFormat="1" applyFont="1" applyFill="1" applyBorder="1" applyAlignment="1">
      <alignment horizontal="center"/>
    </xf>
    <xf numFmtId="169" fontId="6" fillId="0" borderId="0" xfId="0" applyNumberFormat="1" applyFont="1" applyFill="1" applyBorder="1" applyAlignment="1">
      <alignment horizontal="right"/>
    </xf>
    <xf numFmtId="0" fontId="26" fillId="28" borderId="0" xfId="0" applyFont="1" applyFill="1" applyBorder="1" applyAlignment="1">
      <alignment horizontal="right"/>
    </xf>
    <xf numFmtId="169" fontId="6" fillId="28" borderId="0" xfId="0" applyNumberFormat="1" applyFont="1" applyFill="1" applyBorder="1" applyAlignment="1">
      <alignment horizontal="right"/>
    </xf>
    <xf numFmtId="10" fontId="6" fillId="28" borderId="0" xfId="0" applyNumberFormat="1" applyFont="1" applyFill="1" applyBorder="1" applyAlignment="1">
      <alignment horizontal="center"/>
    </xf>
    <xf numFmtId="0" fontId="6" fillId="28" borderId="0" xfId="0" applyFont="1" applyFill="1" applyBorder="1" applyAlignment="1">
      <alignment horizontal="right"/>
    </xf>
    <xf numFmtId="0" fontId="26" fillId="0" borderId="0" xfId="0" applyFont="1" applyBorder="1" applyAlignment="1">
      <alignment horizontal="left"/>
    </xf>
    <xf numFmtId="169" fontId="6" fillId="0" borderId="0" xfId="93" applyNumberFormat="1" applyFont="1" applyBorder="1" applyAlignment="1">
      <alignment horizontal="right"/>
    </xf>
    <xf numFmtId="166" fontId="6" fillId="0" borderId="0" xfId="149" applyNumberFormat="1" applyFont="1" applyBorder="1" applyAlignment="1">
      <alignment horizontal="center"/>
    </xf>
    <xf numFmtId="166" fontId="6" fillId="0" borderId="0" xfId="149" applyNumberFormat="1" applyFont="1" applyBorder="1" applyAlignment="1">
      <alignment horizontal="right"/>
    </xf>
    <xf numFmtId="0" fontId="26" fillId="0" borderId="0" xfId="0" applyFont="1" applyBorder="1" applyAlignment="1">
      <alignment horizontal="right"/>
    </xf>
    <xf numFmtId="169" fontId="26" fillId="0" borderId="0" xfId="93" applyNumberFormat="1" applyFont="1" applyBorder="1" applyAlignment="1">
      <alignment horizontal="right"/>
    </xf>
    <xf numFmtId="0" fontId="6" fillId="0" borderId="0" xfId="0" quotePrefix="1" applyFont="1" applyAlignment="1">
      <alignment horizontal="center"/>
    </xf>
    <xf numFmtId="3" fontId="28" fillId="0" borderId="0" xfId="0" applyNumberFormat="1" applyFont="1" applyFill="1" applyBorder="1" applyAlignment="1">
      <alignment horizontal="center"/>
    </xf>
    <xf numFmtId="3" fontId="28" fillId="0" borderId="0" xfId="93" applyNumberFormat="1" applyFont="1" applyFill="1" applyBorder="1" applyAlignment="1">
      <alignment horizontal="center"/>
    </xf>
    <xf numFmtId="9" fontId="28" fillId="0" borderId="0" xfId="149" applyFont="1" applyFill="1" applyBorder="1" applyAlignment="1">
      <alignment horizontal="center"/>
    </xf>
    <xf numFmtId="165" fontId="18" fillId="0" borderId="0" xfId="0" applyNumberFormat="1" applyFont="1" applyFill="1"/>
    <xf numFmtId="3" fontId="29" fillId="0" borderId="0" xfId="93" applyNumberFormat="1" applyFont="1" applyFill="1" applyBorder="1" applyAlignment="1">
      <alignment horizontal="center"/>
    </xf>
    <xf numFmtId="0" fontId="18" fillId="0" borderId="0" xfId="0" quotePrefix="1" applyFont="1" applyAlignment="1">
      <alignment horizontal="center"/>
    </xf>
    <xf numFmtId="0" fontId="19" fillId="0" borderId="0" xfId="0" applyFont="1" applyFill="1"/>
    <xf numFmtId="0" fontId="18" fillId="0" borderId="0" xfId="0" applyFont="1" applyFill="1" applyAlignment="1">
      <alignment horizontal="center"/>
    </xf>
    <xf numFmtId="0" fontId="19" fillId="0" borderId="0" xfId="0" applyFont="1" applyAlignment="1">
      <alignment horizontal="left"/>
    </xf>
    <xf numFmtId="0" fontId="7" fillId="0" borderId="0" xfId="0" applyFont="1" applyBorder="1" applyAlignment="1"/>
    <xf numFmtId="0" fontId="13" fillId="27" borderId="12" xfId="0" applyFont="1" applyFill="1" applyBorder="1"/>
    <xf numFmtId="0" fontId="14" fillId="27" borderId="13" xfId="0" applyFont="1" applyFill="1" applyBorder="1"/>
    <xf numFmtId="0" fontId="15" fillId="29" borderId="14" xfId="0" applyFont="1" applyFill="1" applyBorder="1" applyAlignment="1">
      <alignment horizontal="center" wrapText="1"/>
    </xf>
    <xf numFmtId="0" fontId="15" fillId="27" borderId="13" xfId="0" applyFont="1" applyFill="1" applyBorder="1" applyAlignment="1">
      <alignment horizontal="center" wrapText="1"/>
    </xf>
    <xf numFmtId="0" fontId="17" fillId="27" borderId="15" xfId="0" applyFont="1" applyFill="1" applyBorder="1"/>
    <xf numFmtId="42" fontId="9" fillId="0" borderId="16" xfId="149" applyNumberFormat="1" applyFont="1" applyFill="1" applyBorder="1" applyAlignment="1">
      <alignment horizontal="left"/>
    </xf>
    <xf numFmtId="166" fontId="0" fillId="0" borderId="0" xfId="0" applyNumberFormat="1" applyFill="1" applyBorder="1"/>
    <xf numFmtId="0" fontId="9" fillId="0" borderId="17" xfId="0" applyFont="1" applyFill="1" applyBorder="1" applyAlignment="1">
      <alignment horizontal="left"/>
    </xf>
    <xf numFmtId="0" fontId="9" fillId="0" borderId="18" xfId="0" applyFont="1" applyFill="1" applyBorder="1" applyAlignment="1"/>
    <xf numFmtId="42" fontId="15" fillId="27" borderId="11" xfId="93" applyNumberFormat="1" applyFont="1" applyFill="1" applyBorder="1" applyAlignment="1">
      <alignment horizontal="left"/>
    </xf>
    <xf numFmtId="0" fontId="4" fillId="0" borderId="0" xfId="0" applyFont="1" applyFill="1" applyBorder="1"/>
    <xf numFmtId="3" fontId="0" fillId="0" borderId="0" xfId="0" applyNumberFormat="1" applyFill="1" applyAlignment="1">
      <alignment horizontal="center" vertical="center" wrapText="1"/>
    </xf>
    <xf numFmtId="3" fontId="0" fillId="0" borderId="0" xfId="0" applyNumberFormat="1" applyFill="1" applyAlignment="1">
      <alignment horizontal="left" vertical="top"/>
    </xf>
    <xf numFmtId="3" fontId="0" fillId="0" borderId="0" xfId="0" applyNumberFormat="1"/>
    <xf numFmtId="10" fontId="0" fillId="0" borderId="0" xfId="0" applyNumberFormat="1" applyFill="1" applyAlignment="1">
      <alignment horizontal="center"/>
    </xf>
    <xf numFmtId="169" fontId="0" fillId="0" borderId="0" xfId="0" applyNumberFormat="1" applyFill="1"/>
    <xf numFmtId="3" fontId="4" fillId="28" borderId="0" xfId="0" applyNumberFormat="1" applyFont="1" applyFill="1" applyAlignment="1">
      <alignment horizontal="right"/>
    </xf>
    <xf numFmtId="3" fontId="0" fillId="28" borderId="0" xfId="0" applyNumberFormat="1" applyFill="1" applyAlignment="1">
      <alignment horizontal="right"/>
    </xf>
    <xf numFmtId="169" fontId="0" fillId="28" borderId="0" xfId="0" applyNumberFormat="1" applyFill="1" applyAlignment="1">
      <alignment horizontal="right"/>
    </xf>
    <xf numFmtId="10" fontId="0" fillId="28" borderId="0" xfId="0" applyNumberFormat="1" applyFill="1" applyAlignment="1">
      <alignment horizontal="center"/>
    </xf>
    <xf numFmtId="10" fontId="0" fillId="0" borderId="0" xfId="0" applyNumberFormat="1" applyFill="1"/>
    <xf numFmtId="10" fontId="0" fillId="0" borderId="0" xfId="0" applyNumberFormat="1" applyFill="1" applyAlignment="1"/>
    <xf numFmtId="0" fontId="2" fillId="0" borderId="0" xfId="0" applyFont="1" applyBorder="1"/>
    <xf numFmtId="0" fontId="3" fillId="0" borderId="0" xfId="0" applyFont="1" applyFill="1" applyBorder="1" applyAlignment="1">
      <alignment horizontal="right"/>
    </xf>
    <xf numFmtId="42" fontId="3" fillId="0" borderId="0" xfId="0" applyNumberFormat="1" applyFont="1" applyFill="1" applyBorder="1" applyAlignment="1">
      <alignment horizontal="center"/>
    </xf>
    <xf numFmtId="10" fontId="3" fillId="0" borderId="0" xfId="0" applyNumberFormat="1" applyFont="1" applyBorder="1"/>
    <xf numFmtId="0" fontId="4" fillId="28" borderId="0" xfId="0" applyFont="1" applyFill="1" applyBorder="1" applyAlignment="1">
      <alignment horizontal="right"/>
    </xf>
    <xf numFmtId="169" fontId="5" fillId="28" borderId="0" xfId="0" applyNumberFormat="1" applyFont="1" applyFill="1" applyBorder="1" applyAlignment="1">
      <alignment horizontal="right"/>
    </xf>
    <xf numFmtId="10" fontId="5" fillId="28" borderId="0" xfId="0" applyNumberFormat="1" applyFont="1" applyFill="1" applyBorder="1" applyAlignment="1">
      <alignment horizontal="center"/>
    </xf>
    <xf numFmtId="0" fontId="5" fillId="28" borderId="0" xfId="0" applyFont="1" applyFill="1" applyBorder="1" applyAlignment="1">
      <alignment horizontal="right"/>
    </xf>
    <xf numFmtId="169" fontId="3" fillId="0" borderId="0" xfId="93" applyNumberFormat="1" applyFont="1" applyBorder="1" applyAlignment="1">
      <alignment horizontal="right"/>
    </xf>
    <xf numFmtId="166" fontId="3" fillId="0" borderId="0" xfId="149" applyNumberFormat="1" applyFont="1" applyBorder="1" applyAlignment="1">
      <alignment horizontal="center"/>
    </xf>
    <xf numFmtId="166" fontId="3" fillId="0" borderId="0" xfId="149" applyNumberFormat="1" applyFont="1" applyBorder="1" applyAlignment="1">
      <alignment horizontal="right"/>
    </xf>
    <xf numFmtId="0" fontId="1" fillId="0" borderId="0" xfId="0" applyFont="1" applyBorder="1" applyAlignment="1">
      <alignment horizontal="right"/>
    </xf>
    <xf numFmtId="169" fontId="4" fillId="0" borderId="0" xfId="93" applyNumberFormat="1" applyFont="1" applyBorder="1" applyAlignment="1">
      <alignment horizontal="right"/>
    </xf>
    <xf numFmtId="10" fontId="4" fillId="0" borderId="0" xfId="0" applyNumberFormat="1" applyFont="1" applyAlignment="1">
      <alignment horizontal="center"/>
    </xf>
    <xf numFmtId="42" fontId="3" fillId="0" borderId="0" xfId="93" applyNumberFormat="1" applyFont="1" applyBorder="1"/>
    <xf numFmtId="0" fontId="5" fillId="0" borderId="0" xfId="0" applyFont="1" applyBorder="1" applyAlignment="1">
      <alignment horizontal="right"/>
    </xf>
    <xf numFmtId="169" fontId="5" fillId="0" borderId="0" xfId="93" applyNumberFormat="1" applyFont="1" applyBorder="1" applyAlignment="1">
      <alignment horizontal="right"/>
    </xf>
    <xf numFmtId="10" fontId="5" fillId="0" borderId="0" xfId="0" applyNumberFormat="1" applyFont="1" applyAlignment="1">
      <alignment horizontal="center"/>
    </xf>
    <xf numFmtId="0" fontId="5" fillId="0" borderId="0" xfId="0" applyFont="1" applyBorder="1" applyAlignment="1">
      <alignment horizontal="left"/>
    </xf>
    <xf numFmtId="169" fontId="5" fillId="0" borderId="0" xfId="93" applyNumberFormat="1" applyFont="1" applyBorder="1"/>
    <xf numFmtId="42" fontId="6" fillId="0" borderId="0" xfId="0" applyNumberFormat="1" applyFont="1" applyFill="1" applyAlignment="1">
      <alignment horizontal="center"/>
    </xf>
    <xf numFmtId="42" fontId="18" fillId="0" borderId="0" xfId="0" applyNumberFormat="1" applyFont="1"/>
    <xf numFmtId="42" fontId="18" fillId="0" borderId="0" xfId="0" applyNumberFormat="1" applyFont="1" applyFill="1"/>
    <xf numFmtId="10" fontId="6" fillId="0" borderId="0" xfId="0" applyNumberFormat="1" applyFont="1" applyFill="1"/>
    <xf numFmtId="165" fontId="4" fillId="0" borderId="0" xfId="0" applyNumberFormat="1" applyFont="1" applyFill="1" applyBorder="1"/>
    <xf numFmtId="165" fontId="0" fillId="0" borderId="0" xfId="0" applyNumberFormat="1" applyFill="1" applyBorder="1"/>
    <xf numFmtId="0" fontId="9" fillId="0" borderId="19" xfId="0" applyFont="1" applyFill="1" applyBorder="1" applyAlignment="1">
      <alignment horizontal="left"/>
    </xf>
    <xf numFmtId="42" fontId="6" fillId="0" borderId="0" xfId="0" applyNumberFormat="1" applyFont="1" applyFill="1"/>
    <xf numFmtId="165" fontId="18" fillId="0" borderId="0" xfId="0" applyNumberFormat="1" applyFont="1" applyFill="1" applyBorder="1"/>
    <xf numFmtId="0" fontId="18" fillId="0" borderId="0" xfId="0" applyFont="1" applyAlignment="1">
      <alignment horizontal="left"/>
    </xf>
    <xf numFmtId="0" fontId="14" fillId="0" borderId="0" xfId="0" applyFont="1" applyBorder="1" applyAlignment="1">
      <alignment horizontal="left" indent="5"/>
    </xf>
    <xf numFmtId="49" fontId="15" fillId="29" borderId="20" xfId="93" applyNumberFormat="1" applyFont="1" applyFill="1" applyBorder="1" applyAlignment="1">
      <alignment horizontal="center" wrapText="1"/>
    </xf>
    <xf numFmtId="42" fontId="9" fillId="0" borderId="0" xfId="93" applyNumberFormat="1" applyFont="1" applyFill="1" applyBorder="1" applyAlignment="1">
      <alignment horizontal="left"/>
    </xf>
    <xf numFmtId="0" fontId="15" fillId="30" borderId="14" xfId="0" applyFont="1" applyFill="1" applyBorder="1" applyAlignment="1">
      <alignment horizontal="center" wrapText="1"/>
    </xf>
    <xf numFmtId="0" fontId="15" fillId="25" borderId="14" xfId="0" applyFont="1" applyFill="1" applyBorder="1" applyAlignment="1">
      <alignment horizontal="center" wrapText="1"/>
    </xf>
    <xf numFmtId="0" fontId="15" fillId="30" borderId="0" xfId="0" applyFont="1" applyFill="1" applyBorder="1" applyAlignment="1">
      <alignment horizontal="center" wrapText="1"/>
    </xf>
    <xf numFmtId="49" fontId="15" fillId="30" borderId="21" xfId="93" applyNumberFormat="1" applyFont="1" applyFill="1" applyBorder="1" applyAlignment="1">
      <alignment horizontal="center" wrapText="1"/>
    </xf>
    <xf numFmtId="0" fontId="15" fillId="31" borderId="14" xfId="0" applyFont="1" applyFill="1" applyBorder="1" applyAlignment="1">
      <alignment horizontal="center"/>
    </xf>
    <xf numFmtId="0" fontId="15" fillId="31" borderId="20" xfId="0" applyFont="1" applyFill="1" applyBorder="1" applyAlignment="1">
      <alignment horizontal="center"/>
    </xf>
    <xf numFmtId="0" fontId="15" fillId="25" borderId="13" xfId="0" applyFont="1" applyFill="1" applyBorder="1" applyAlignment="1">
      <alignment horizontal="center" wrapText="1"/>
    </xf>
    <xf numFmtId="0" fontId="15" fillId="25" borderId="15" xfId="0" applyFont="1" applyFill="1" applyBorder="1" applyAlignment="1">
      <alignment horizontal="center"/>
    </xf>
    <xf numFmtId="0" fontId="9" fillId="0" borderId="22" xfId="0" applyFont="1" applyFill="1" applyBorder="1" applyAlignment="1"/>
    <xf numFmtId="0" fontId="9" fillId="0" borderId="23" xfId="0" applyFont="1" applyFill="1" applyBorder="1" applyAlignment="1"/>
    <xf numFmtId="0" fontId="24" fillId="29" borderId="24" xfId="0" applyFont="1" applyFill="1" applyBorder="1" applyAlignment="1">
      <alignment horizontal="center"/>
    </xf>
    <xf numFmtId="0" fontId="24" fillId="30" borderId="25" xfId="0" applyFont="1" applyFill="1" applyBorder="1" applyAlignment="1">
      <alignment horizontal="center"/>
    </xf>
    <xf numFmtId="0" fontId="24" fillId="25" borderId="12" xfId="0" applyFont="1" applyFill="1" applyBorder="1" applyAlignment="1">
      <alignment horizontal="center"/>
    </xf>
    <xf numFmtId="0" fontId="24" fillId="31" borderId="24" xfId="0" applyFont="1" applyFill="1" applyBorder="1" applyAlignment="1">
      <alignment horizontal="center"/>
    </xf>
    <xf numFmtId="42" fontId="15" fillId="0" borderId="0" xfId="93" applyNumberFormat="1" applyFont="1" applyFill="1" applyBorder="1" applyAlignment="1">
      <alignment horizontal="left"/>
    </xf>
    <xf numFmtId="42" fontId="15" fillId="0" borderId="0" xfId="149" applyNumberFormat="1" applyFont="1" applyFill="1" applyBorder="1" applyAlignment="1">
      <alignment horizontal="left"/>
    </xf>
    <xf numFmtId="0" fontId="8" fillId="0" borderId="0" xfId="0" applyFont="1" applyFill="1"/>
    <xf numFmtId="0" fontId="15" fillId="0" borderId="0" xfId="0" applyFont="1" applyFill="1" applyBorder="1" applyAlignment="1"/>
    <xf numFmtId="0" fontId="6" fillId="0" borderId="0" xfId="0" applyFont="1" applyFill="1" applyBorder="1" applyAlignment="1">
      <alignment horizontal="center"/>
    </xf>
    <xf numFmtId="0" fontId="18" fillId="0" borderId="0" xfId="0" applyFont="1" applyFill="1" applyBorder="1"/>
    <xf numFmtId="42" fontId="6" fillId="0" borderId="0" xfId="0" applyNumberFormat="1" applyFont="1" applyFill="1" applyBorder="1"/>
    <xf numFmtId="0" fontId="10" fillId="0" borderId="0" xfId="0" applyFont="1" applyFill="1"/>
    <xf numFmtId="0" fontId="22" fillId="0" borderId="0" xfId="0" applyFont="1" applyFill="1"/>
    <xf numFmtId="0" fontId="10" fillId="0" borderId="0" xfId="0" applyFont="1" applyFill="1" applyBorder="1"/>
    <xf numFmtId="0" fontId="10" fillId="0" borderId="0" xfId="0" applyFont="1" applyFill="1" applyAlignment="1">
      <alignment wrapText="1"/>
    </xf>
    <xf numFmtId="0" fontId="24" fillId="0" borderId="0" xfId="0" applyFont="1" applyFill="1"/>
    <xf numFmtId="0" fontId="25" fillId="0" borderId="0" xfId="0" applyFont="1" applyFill="1" applyAlignment="1">
      <alignment horizontal="left"/>
    </xf>
    <xf numFmtId="42" fontId="0" fillId="0" borderId="0" xfId="0" applyNumberFormat="1" applyFill="1"/>
    <xf numFmtId="0" fontId="0" fillId="0" borderId="0" xfId="0" applyAlignment="1">
      <alignment horizontal="right"/>
    </xf>
    <xf numFmtId="3" fontId="0" fillId="0" borderId="0" xfId="0" applyNumberFormat="1" applyAlignment="1">
      <alignment horizontal="left" vertical="center" wrapText="1"/>
    </xf>
    <xf numFmtId="0" fontId="33" fillId="0" borderId="0" xfId="0" applyFont="1" applyBorder="1"/>
    <xf numFmtId="42" fontId="4" fillId="0" borderId="0" xfId="0" applyNumberFormat="1" applyFont="1"/>
    <xf numFmtId="0" fontId="9" fillId="0" borderId="26" xfId="0" applyFont="1" applyFill="1" applyBorder="1" applyAlignment="1">
      <alignment horizontal="left"/>
    </xf>
    <xf numFmtId="0" fontId="5" fillId="0" borderId="0" xfId="0" applyFont="1" applyBorder="1"/>
    <xf numFmtId="0" fontId="10" fillId="0" borderId="0" xfId="0" applyFont="1" applyFill="1" applyAlignment="1">
      <alignment horizontal="center"/>
    </xf>
    <xf numFmtId="6" fontId="5" fillId="0" borderId="0" xfId="0" applyNumberFormat="1" applyFont="1" applyBorder="1" applyAlignment="1">
      <alignment horizontal="center"/>
    </xf>
    <xf numFmtId="3" fontId="5" fillId="0" borderId="0" xfId="0" applyNumberFormat="1" applyFont="1" applyBorder="1" applyAlignment="1">
      <alignment horizontal="center"/>
    </xf>
    <xf numFmtId="8" fontId="5" fillId="0" borderId="0" xfId="0" applyNumberFormat="1" applyFont="1" applyBorder="1" applyAlignment="1">
      <alignment horizontal="center"/>
    </xf>
    <xf numFmtId="0" fontId="5"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42" fontId="15" fillId="30" borderId="27" xfId="93" applyNumberFormat="1" applyFont="1" applyFill="1" applyBorder="1" applyAlignment="1">
      <alignment horizontal="left"/>
    </xf>
    <xf numFmtId="42" fontId="9" fillId="0" borderId="28" xfId="149" applyNumberFormat="1" applyFont="1" applyFill="1" applyBorder="1" applyAlignment="1">
      <alignment horizontal="left"/>
    </xf>
    <xf numFmtId="3" fontId="5" fillId="0" borderId="0" xfId="0" applyNumberFormat="1" applyFont="1" applyBorder="1" applyAlignment="1">
      <alignment horizontal="right"/>
    </xf>
    <xf numFmtId="3" fontId="23" fillId="0" borderId="0" xfId="0" applyNumberFormat="1" applyFont="1" applyBorder="1" applyAlignment="1">
      <alignment horizontal="right"/>
    </xf>
    <xf numFmtId="6" fontId="4" fillId="0" borderId="0" xfId="0" applyNumberFormat="1" applyFont="1" applyBorder="1" applyAlignment="1">
      <alignment horizontal="right"/>
    </xf>
    <xf numFmtId="0" fontId="6" fillId="0" borderId="0" xfId="0" applyFont="1" applyBorder="1" applyAlignment="1">
      <alignment horizontal="left" indent="8"/>
    </xf>
    <xf numFmtId="3" fontId="34" fillId="0" borderId="0" xfId="0" applyNumberFormat="1" applyFont="1" applyFill="1" applyAlignment="1">
      <alignment horizontal="center" vertical="center" wrapText="1"/>
    </xf>
    <xf numFmtId="0" fontId="0" fillId="0" borderId="0" xfId="0" applyFill="1" applyAlignment="1">
      <alignment horizontal="center"/>
    </xf>
    <xf numFmtId="9" fontId="3" fillId="0" borderId="0" xfId="0" applyNumberFormat="1" applyFont="1" applyFill="1" applyBorder="1" applyAlignment="1">
      <alignment horizontal="right"/>
    </xf>
    <xf numFmtId="0" fontId="5" fillId="0" borderId="0" xfId="0" applyFont="1" applyFill="1" applyBorder="1" applyAlignment="1">
      <alignment horizontal="right"/>
    </xf>
    <xf numFmtId="10" fontId="5" fillId="0" borderId="0" xfId="0" applyNumberFormat="1" applyFont="1" applyFill="1" applyBorder="1" applyAlignment="1">
      <alignment horizontal="right"/>
    </xf>
    <xf numFmtId="166" fontId="3" fillId="0" borderId="0" xfId="149" applyNumberFormat="1" applyFont="1" applyFill="1" applyBorder="1" applyAlignment="1">
      <alignment horizontal="right"/>
    </xf>
    <xf numFmtId="166" fontId="3" fillId="0" borderId="0" xfId="0" applyNumberFormat="1" applyFont="1" applyFill="1" applyBorder="1" applyAlignment="1">
      <alignment horizontal="right"/>
    </xf>
    <xf numFmtId="0" fontId="3" fillId="0" borderId="0" xfId="0" applyFont="1" applyFill="1" applyBorder="1"/>
    <xf numFmtId="9" fontId="6" fillId="0" borderId="0" xfId="0" applyNumberFormat="1" applyFont="1" applyFill="1" applyBorder="1" applyAlignment="1">
      <alignment horizontal="right"/>
    </xf>
    <xf numFmtId="10" fontId="6" fillId="0" borderId="0" xfId="0" applyNumberFormat="1" applyFont="1" applyFill="1" applyBorder="1" applyAlignment="1">
      <alignment horizontal="right"/>
    </xf>
    <xf numFmtId="166" fontId="6" fillId="0" borderId="0" xfId="149" applyNumberFormat="1" applyFont="1" applyFill="1" applyBorder="1" applyAlignment="1">
      <alignment horizontal="right"/>
    </xf>
    <xf numFmtId="166" fontId="6" fillId="0" borderId="0" xfId="0" applyNumberFormat="1" applyFont="1" applyFill="1" applyBorder="1" applyAlignment="1">
      <alignment horizontal="right"/>
    </xf>
    <xf numFmtId="3" fontId="0" fillId="0" borderId="0" xfId="0" applyNumberFormat="1" applyFill="1" applyBorder="1" applyAlignment="1">
      <alignment horizontal="center" vertical="center" wrapText="1"/>
    </xf>
    <xf numFmtId="10" fontId="6"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3" fontId="4" fillId="0" borderId="0" xfId="0" applyNumberFormat="1" applyFont="1" applyAlignment="1">
      <alignment horizontal="center" vertical="center" wrapText="1"/>
    </xf>
    <xf numFmtId="3" fontId="4" fillId="0" borderId="0" xfId="0" applyNumberFormat="1" applyFont="1" applyFill="1" applyAlignment="1">
      <alignment horizontal="center" vertical="center" wrapText="1"/>
    </xf>
    <xf numFmtId="42" fontId="4" fillId="0" borderId="0" xfId="0" applyNumberFormat="1" applyFont="1" applyAlignment="1">
      <alignment horizontal="center"/>
    </xf>
    <xf numFmtId="0" fontId="4" fillId="0" borderId="0" xfId="0" applyFont="1" applyAlignment="1">
      <alignment horizontal="center"/>
    </xf>
    <xf numFmtId="0" fontId="7" fillId="0" borderId="0" xfId="0" applyFont="1" applyBorder="1" applyAlignment="1">
      <alignment horizontal="center"/>
    </xf>
    <xf numFmtId="42" fontId="9" fillId="0" borderId="23" xfId="149" applyNumberFormat="1" applyFont="1" applyFill="1" applyBorder="1" applyAlignment="1">
      <alignment horizontal="left"/>
    </xf>
    <xf numFmtId="42" fontId="15" fillId="0" borderId="11" xfId="93" applyNumberFormat="1" applyFont="1" applyFill="1" applyBorder="1" applyAlignment="1">
      <alignment horizontal="left"/>
    </xf>
    <xf numFmtId="42" fontId="15" fillId="0" borderId="11" xfId="149" applyNumberFormat="1" applyFont="1" applyFill="1" applyBorder="1" applyAlignment="1">
      <alignment horizontal="left"/>
    </xf>
    <xf numFmtId="0" fontId="9" fillId="0" borderId="29" xfId="0" applyFont="1" applyFill="1" applyBorder="1" applyAlignment="1">
      <alignment horizontal="left"/>
    </xf>
    <xf numFmtId="42" fontId="21" fillId="0" borderId="30" xfId="149" applyNumberFormat="1" applyFont="1" applyFill="1" applyBorder="1" applyAlignment="1">
      <alignment horizontal="left"/>
    </xf>
    <xf numFmtId="42" fontId="21" fillId="0" borderId="31" xfId="149" applyNumberFormat="1" applyFont="1" applyFill="1" applyBorder="1" applyAlignment="1">
      <alignment horizontal="left"/>
    </xf>
    <xf numFmtId="0" fontId="9" fillId="0" borderId="29" xfId="0" applyFont="1" applyFill="1" applyBorder="1" applyAlignment="1"/>
    <xf numFmtId="167" fontId="15" fillId="0" borderId="32" xfId="93" applyNumberFormat="1" applyFont="1" applyFill="1" applyBorder="1" applyAlignment="1"/>
    <xf numFmtId="167" fontId="15" fillId="0" borderId="32" xfId="93" applyNumberFormat="1" applyFont="1" applyFill="1" applyBorder="1" applyAlignment="1">
      <alignment horizontal="left"/>
    </xf>
    <xf numFmtId="0" fontId="32" fillId="0" borderId="23" xfId="0" applyFont="1" applyFill="1" applyBorder="1"/>
    <xf numFmtId="42" fontId="21" fillId="0" borderId="33" xfId="93" applyNumberFormat="1" applyFont="1" applyFill="1" applyBorder="1" applyAlignment="1">
      <alignment horizontal="left"/>
    </xf>
    <xf numFmtId="0" fontId="32" fillId="0" borderId="34" xfId="0" applyFont="1" applyFill="1" applyBorder="1"/>
    <xf numFmtId="0" fontId="15" fillId="0" borderId="13" xfId="0" applyFont="1" applyFill="1" applyBorder="1" applyAlignment="1">
      <alignment horizontal="left"/>
    </xf>
    <xf numFmtId="0" fontId="15" fillId="0" borderId="35" xfId="0" applyFont="1" applyFill="1" applyBorder="1" applyAlignment="1">
      <alignment horizontal="left"/>
    </xf>
    <xf numFmtId="0" fontId="15" fillId="0" borderId="15" xfId="0" applyFont="1" applyFill="1" applyBorder="1" applyAlignment="1">
      <alignment horizontal="left"/>
    </xf>
    <xf numFmtId="42" fontId="15" fillId="0" borderId="36" xfId="93" applyNumberFormat="1" applyFont="1" applyFill="1" applyBorder="1" applyAlignment="1">
      <alignment horizontal="left"/>
    </xf>
    <xf numFmtId="42" fontId="9" fillId="0" borderId="37" xfId="93" applyNumberFormat="1" applyFont="1" applyFill="1" applyBorder="1" applyAlignment="1">
      <alignment horizontal="left"/>
    </xf>
    <xf numFmtId="42" fontId="9" fillId="0" borderId="38" xfId="149" applyNumberFormat="1" applyFont="1" applyFill="1" applyBorder="1" applyAlignment="1">
      <alignment horizontal="left"/>
    </xf>
    <xf numFmtId="0" fontId="15" fillId="27" borderId="19" xfId="0" applyFont="1" applyFill="1" applyBorder="1" applyAlignment="1">
      <alignment horizontal="left"/>
    </xf>
    <xf numFmtId="0" fontId="15" fillId="27" borderId="19" xfId="0" applyFont="1" applyFill="1" applyBorder="1" applyAlignment="1"/>
    <xf numFmtId="42" fontId="15" fillId="32" borderId="39" xfId="93" applyNumberFormat="1" applyFont="1" applyFill="1" applyBorder="1" applyAlignment="1">
      <alignment horizontal="left"/>
    </xf>
    <xf numFmtId="42" fontId="21" fillId="0" borderId="40" xfId="149" applyNumberFormat="1" applyFont="1" applyFill="1" applyBorder="1" applyAlignment="1">
      <alignment horizontal="left"/>
    </xf>
    <xf numFmtId="166" fontId="0" fillId="0" borderId="0" xfId="0" applyNumberFormat="1" applyAlignment="1">
      <alignment horizontal="right"/>
    </xf>
    <xf numFmtId="0" fontId="9" fillId="0" borderId="0" xfId="0" applyFont="1" applyFill="1" applyBorder="1" applyAlignment="1"/>
    <xf numFmtId="0" fontId="17" fillId="0" borderId="0" xfId="0" applyFont="1"/>
    <xf numFmtId="43" fontId="17" fillId="0" borderId="0" xfId="69" applyFont="1"/>
    <xf numFmtId="42" fontId="17" fillId="0" borderId="0" xfId="0" applyNumberFormat="1" applyFont="1" applyAlignment="1">
      <alignment horizontal="center"/>
    </xf>
    <xf numFmtId="9" fontId="6" fillId="0" borderId="0" xfId="149" applyFont="1" applyFill="1"/>
    <xf numFmtId="0" fontId="5" fillId="0" borderId="0" xfId="0" applyFont="1" applyFill="1" applyAlignment="1">
      <alignment horizontal="left"/>
    </xf>
    <xf numFmtId="0" fontId="4" fillId="0" borderId="0" xfId="0" applyFont="1" applyFill="1" applyAlignment="1">
      <alignment horizontal="center"/>
    </xf>
    <xf numFmtId="0" fontId="5" fillId="0" borderId="0" xfId="0" applyFont="1" applyFill="1" applyBorder="1"/>
    <xf numFmtId="0" fontId="5" fillId="0" borderId="0" xfId="0" applyFont="1" applyFill="1"/>
    <xf numFmtId="0" fontId="5" fillId="0" borderId="0" xfId="0" applyFont="1" applyFill="1" applyAlignment="1">
      <alignment horizontal="center"/>
    </xf>
    <xf numFmtId="0" fontId="35" fillId="0" borderId="0" xfId="0" applyFont="1" applyFill="1"/>
    <xf numFmtId="0" fontId="35" fillId="0" borderId="0" xfId="0" applyFont="1" applyFill="1" applyAlignment="1">
      <alignment horizontal="center"/>
    </xf>
    <xf numFmtId="0" fontId="5" fillId="0" borderId="0" xfId="0" applyFont="1" applyFill="1" applyAlignment="1">
      <alignment horizontal="right"/>
    </xf>
    <xf numFmtId="0" fontId="4" fillId="0" borderId="0" xfId="0" applyFont="1" applyFill="1" applyBorder="1" applyAlignment="1">
      <alignment horizontal="center"/>
    </xf>
    <xf numFmtId="0" fontId="4" fillId="0" borderId="0" xfId="0" applyFont="1" applyFill="1" applyBorder="1" applyAlignment="1">
      <alignment wrapText="1"/>
    </xf>
    <xf numFmtId="165" fontId="5" fillId="0" borderId="0" xfId="93" applyNumberFormat="1" applyFont="1" applyFill="1"/>
    <xf numFmtId="42" fontId="5" fillId="0" borderId="0" xfId="93" applyNumberFormat="1" applyFont="1" applyFill="1" applyBorder="1"/>
    <xf numFmtId="165" fontId="5" fillId="0" borderId="0" xfId="93" applyNumberFormat="1" applyFont="1" applyFill="1" applyBorder="1"/>
    <xf numFmtId="0" fontId="5" fillId="0" borderId="0" xfId="0" applyFont="1" applyFill="1" applyAlignment="1">
      <alignment wrapText="1"/>
    </xf>
    <xf numFmtId="165" fontId="36" fillId="0" borderId="0" xfId="93" applyNumberFormat="1" applyFont="1" applyFill="1"/>
    <xf numFmtId="42" fontId="5" fillId="0" borderId="0" xfId="0" applyNumberFormat="1" applyFont="1" applyFill="1"/>
    <xf numFmtId="42" fontId="5" fillId="0" borderId="0" xfId="0" applyNumberFormat="1" applyFont="1" applyFill="1" applyBorder="1"/>
    <xf numFmtId="42" fontId="4" fillId="0" borderId="0" xfId="0" applyNumberFormat="1" applyFont="1" applyFill="1" applyBorder="1"/>
    <xf numFmtId="165" fontId="4" fillId="0" borderId="0" xfId="0" applyNumberFormat="1" applyFont="1" applyFill="1"/>
    <xf numFmtId="43" fontId="5" fillId="0" borderId="0" xfId="0" applyNumberFormat="1" applyFont="1" applyFill="1"/>
    <xf numFmtId="3" fontId="5" fillId="0" borderId="0" xfId="0" applyNumberFormat="1" applyFont="1" applyFill="1" applyAlignment="1"/>
    <xf numFmtId="165" fontId="36" fillId="0" borderId="0" xfId="93" applyNumberFormat="1" applyFont="1" applyFill="1" applyBorder="1"/>
    <xf numFmtId="0" fontId="4" fillId="0" borderId="41" xfId="0" applyFont="1" applyFill="1" applyBorder="1" applyAlignment="1">
      <alignment horizontal="center" wrapText="1"/>
    </xf>
    <xf numFmtId="2" fontId="5" fillId="0" borderId="0" xfId="69" applyNumberFormat="1" applyFont="1" applyFill="1" applyBorder="1"/>
    <xf numFmtId="164" fontId="5" fillId="0" borderId="0" xfId="69" applyNumberFormat="1" applyFont="1" applyFill="1"/>
    <xf numFmtId="38" fontId="5" fillId="0" borderId="0" xfId="0" applyNumberFormat="1" applyFont="1" applyFill="1"/>
    <xf numFmtId="2" fontId="5" fillId="0" borderId="0" xfId="69" applyNumberFormat="1" applyFont="1" applyFill="1"/>
    <xf numFmtId="44" fontId="5" fillId="0" borderId="0" xfId="93" applyNumberFormat="1" applyFont="1" applyFill="1"/>
    <xf numFmtId="168" fontId="5" fillId="0" borderId="0" xfId="93" applyNumberFormat="1" applyFont="1" applyFill="1" applyBorder="1"/>
    <xf numFmtId="44" fontId="5" fillId="0" borderId="0" xfId="0" applyNumberFormat="1" applyFont="1" applyFill="1"/>
    <xf numFmtId="0" fontId="4" fillId="0" borderId="0" xfId="0" applyFont="1" applyFill="1" applyBorder="1" applyAlignment="1">
      <alignment horizontal="center" wrapText="1"/>
    </xf>
    <xf numFmtId="0" fontId="5" fillId="0" borderId="0" xfId="0" applyFont="1" applyFill="1" applyBorder="1" applyAlignment="1">
      <alignment horizontal="left"/>
    </xf>
    <xf numFmtId="165" fontId="5" fillId="0" borderId="0" xfId="93" applyNumberFormat="1" applyFont="1" applyFill="1" applyBorder="1" applyAlignment="1">
      <alignment horizontal="center"/>
    </xf>
    <xf numFmtId="9" fontId="5" fillId="0" borderId="0" xfId="0" applyNumberFormat="1" applyFont="1" applyFill="1" applyBorder="1" applyAlignment="1">
      <alignment horizontal="center"/>
    </xf>
    <xf numFmtId="0" fontId="35" fillId="0" borderId="0" xfId="0" applyFont="1" applyFill="1" applyBorder="1" applyAlignment="1">
      <alignment horizontal="center"/>
    </xf>
    <xf numFmtId="0" fontId="35" fillId="0" borderId="0" xfId="0" applyFont="1" applyFill="1" applyBorder="1" applyAlignment="1"/>
    <xf numFmtId="3" fontId="5" fillId="0" borderId="0" xfId="0" applyNumberFormat="1"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Alignment="1"/>
    <xf numFmtId="38" fontId="5" fillId="0" borderId="0" xfId="0" applyNumberFormat="1" applyFont="1" applyFill="1" applyAlignment="1">
      <alignment horizontal="right"/>
    </xf>
    <xf numFmtId="164" fontId="5" fillId="0" borderId="0" xfId="69" applyNumberFormat="1" applyFont="1" applyFill="1" applyAlignment="1">
      <alignment horizontal="right"/>
    </xf>
    <xf numFmtId="165" fontId="5" fillId="0" borderId="0" xfId="93" applyNumberFormat="1" applyFont="1" applyFill="1" applyAlignment="1">
      <alignment horizontal="center"/>
    </xf>
    <xf numFmtId="0" fontId="37" fillId="0" borderId="0" xfId="0" applyFont="1" applyFill="1"/>
    <xf numFmtId="0" fontId="37" fillId="0" borderId="0" xfId="0" applyFont="1" applyFill="1" applyBorder="1"/>
    <xf numFmtId="0" fontId="37" fillId="0" borderId="0" xfId="0" applyFont="1" applyFill="1" applyAlignment="1">
      <alignment horizontal="right"/>
    </xf>
    <xf numFmtId="165" fontId="37" fillId="0" borderId="0" xfId="93" applyNumberFormat="1" applyFont="1" applyFill="1"/>
    <xf numFmtId="42" fontId="37" fillId="0" borderId="0" xfId="93" applyNumberFormat="1" applyFont="1" applyFill="1" applyBorder="1"/>
    <xf numFmtId="42" fontId="37" fillId="0" borderId="0" xfId="0" applyNumberFormat="1" applyFont="1" applyFill="1" applyBorder="1"/>
    <xf numFmtId="165" fontId="37" fillId="0" borderId="0" xfId="93" applyNumberFormat="1" applyFont="1" applyFill="1" applyBorder="1"/>
    <xf numFmtId="0" fontId="37" fillId="0" borderId="0" xfId="0" applyFont="1" applyFill="1" applyAlignment="1">
      <alignment wrapText="1"/>
    </xf>
    <xf numFmtId="165" fontId="38" fillId="0" borderId="0" xfId="93" applyNumberFormat="1" applyFont="1" applyFill="1"/>
    <xf numFmtId="42" fontId="38" fillId="0" borderId="0" xfId="0" applyNumberFormat="1" applyFont="1" applyFill="1" applyBorder="1"/>
    <xf numFmtId="0" fontId="39" fillId="0" borderId="0" xfId="0" applyFont="1" applyFill="1"/>
    <xf numFmtId="42" fontId="37" fillId="0" borderId="0" xfId="0" applyNumberFormat="1" applyFont="1" applyFill="1"/>
    <xf numFmtId="0" fontId="37" fillId="0" borderId="0" xfId="0" applyFont="1" applyFill="1" applyAlignment="1">
      <alignment horizontal="center"/>
    </xf>
    <xf numFmtId="0" fontId="37" fillId="0" borderId="0" xfId="0" applyFont="1" applyBorder="1"/>
    <xf numFmtId="3" fontId="37" fillId="0" borderId="0" xfId="0" applyNumberFormat="1" applyFont="1" applyFill="1" applyAlignment="1"/>
    <xf numFmtId="165" fontId="38" fillId="0" borderId="0" xfId="93" applyNumberFormat="1" applyFont="1" applyFill="1" applyBorder="1"/>
    <xf numFmtId="2" fontId="37" fillId="0" borderId="0" xfId="69" applyNumberFormat="1" applyFont="1" applyFill="1" applyBorder="1"/>
    <xf numFmtId="164" fontId="37" fillId="0" borderId="0" xfId="69" applyNumberFormat="1" applyFont="1" applyFill="1"/>
    <xf numFmtId="38" fontId="37" fillId="0" borderId="0" xfId="0" applyNumberFormat="1" applyFont="1" applyFill="1"/>
    <xf numFmtId="2" fontId="37" fillId="0" borderId="0" xfId="69" applyNumberFormat="1" applyFont="1" applyFill="1"/>
    <xf numFmtId="168" fontId="37" fillId="0" borderId="0" xfId="93" applyNumberFormat="1" applyFont="1" applyFill="1" applyBorder="1"/>
    <xf numFmtId="44" fontId="37" fillId="0" borderId="0" xfId="93" applyNumberFormat="1" applyFont="1" applyFill="1"/>
    <xf numFmtId="44" fontId="37" fillId="0" borderId="0" xfId="0" applyNumberFormat="1" applyFont="1" applyFill="1"/>
    <xf numFmtId="38" fontId="37" fillId="0" borderId="0" xfId="0" applyNumberFormat="1" applyFont="1" applyFill="1" applyAlignment="1">
      <alignment horizontal="right"/>
    </xf>
    <xf numFmtId="164" fontId="37" fillId="0" borderId="0" xfId="69" applyNumberFormat="1" applyFont="1" applyFill="1" applyAlignment="1">
      <alignment horizontal="right"/>
    </xf>
    <xf numFmtId="165" fontId="5" fillId="0" borderId="0" xfId="0" applyNumberFormat="1" applyFont="1" applyFill="1"/>
    <xf numFmtId="165" fontId="37" fillId="0" borderId="0" xfId="93" applyNumberFormat="1" applyFont="1" applyFill="1" applyAlignment="1">
      <alignment horizontal="center"/>
    </xf>
    <xf numFmtId="41" fontId="37" fillId="0" borderId="0" xfId="0" applyNumberFormat="1" applyFont="1" applyFill="1" applyBorder="1"/>
    <xf numFmtId="164" fontId="5" fillId="0" borderId="0" xfId="69" applyNumberFormat="1" applyFont="1" applyFill="1" applyAlignment="1">
      <alignment horizontal="center"/>
    </xf>
    <xf numFmtId="165" fontId="5" fillId="0" borderId="0" xfId="0" applyNumberFormat="1" applyFont="1" applyFill="1" applyAlignment="1">
      <alignment horizontal="center"/>
    </xf>
    <xf numFmtId="3" fontId="5" fillId="0" borderId="0" xfId="0" applyNumberFormat="1" applyFont="1" applyFill="1" applyAlignment="1">
      <alignment horizontal="center"/>
    </xf>
    <xf numFmtId="0" fontId="40" fillId="0" borderId="11" xfId="0" applyFont="1" applyFill="1" applyBorder="1" applyAlignment="1">
      <alignment horizontal="center" wrapText="1"/>
    </xf>
    <xf numFmtId="166" fontId="40" fillId="0" borderId="11" xfId="0" applyNumberFormat="1" applyFont="1" applyFill="1" applyBorder="1" applyAlignment="1">
      <alignment horizontal="center" wrapText="1"/>
    </xf>
    <xf numFmtId="43" fontId="40" fillId="0" borderId="11" xfId="0" applyNumberFormat="1" applyFont="1" applyFill="1" applyBorder="1" applyAlignment="1">
      <alignment horizontal="center" wrapText="1"/>
    </xf>
    <xf numFmtId="0" fontId="40" fillId="0" borderId="11" xfId="0" applyNumberFormat="1" applyFont="1" applyFill="1" applyBorder="1" applyAlignment="1">
      <alignment horizontal="center" wrapText="1"/>
    </xf>
    <xf numFmtId="168" fontId="40" fillId="0" borderId="11" xfId="0" applyNumberFormat="1" applyFont="1" applyFill="1" applyBorder="1" applyAlignment="1">
      <alignment horizontal="center" wrapText="1"/>
    </xf>
    <xf numFmtId="170" fontId="40" fillId="0" borderId="11" xfId="0" applyNumberFormat="1" applyFont="1" applyFill="1" applyBorder="1" applyAlignment="1">
      <alignment horizontal="center" wrapText="1"/>
    </xf>
    <xf numFmtId="0" fontId="41" fillId="0" borderId="0" xfId="0" applyFont="1" applyFill="1"/>
    <xf numFmtId="0" fontId="17" fillId="0" borderId="42" xfId="0" applyFont="1" applyFill="1" applyBorder="1" applyAlignment="1">
      <alignment horizontal="left"/>
    </xf>
    <xf numFmtId="42" fontId="17" fillId="0" borderId="43" xfId="0" applyNumberFormat="1" applyFont="1" applyFill="1" applyBorder="1"/>
    <xf numFmtId="166" fontId="17" fillId="0" borderId="43" xfId="0" applyNumberFormat="1" applyFont="1" applyFill="1" applyBorder="1" applyAlignment="1">
      <alignment horizontal="right" wrapText="1"/>
    </xf>
    <xf numFmtId="43" fontId="17" fillId="0" borderId="43" xfId="0" applyNumberFormat="1" applyFont="1" applyFill="1" applyBorder="1" applyAlignment="1">
      <alignment horizontal="center" wrapText="1"/>
    </xf>
    <xf numFmtId="0" fontId="17" fillId="0" borderId="43" xfId="0" applyFont="1" applyFill="1" applyBorder="1" applyAlignment="1">
      <alignment horizontal="center" wrapText="1"/>
    </xf>
    <xf numFmtId="41" fontId="17" fillId="0" borderId="44" xfId="0" applyNumberFormat="1" applyFont="1" applyFill="1" applyBorder="1" applyAlignment="1">
      <alignment horizontal="center" wrapText="1"/>
    </xf>
    <xf numFmtId="44" fontId="17" fillId="0" borderId="43" xfId="0" applyNumberFormat="1" applyFont="1" applyFill="1" applyBorder="1" applyAlignment="1">
      <alignment horizontal="center" wrapText="1"/>
    </xf>
    <xf numFmtId="44" fontId="17" fillId="0" borderId="45" xfId="69" applyNumberFormat="1" applyFont="1" applyFill="1" applyBorder="1"/>
    <xf numFmtId="0" fontId="17" fillId="0" borderId="34" xfId="0" applyFont="1" applyFill="1" applyBorder="1" applyAlignment="1">
      <alignment horizontal="left"/>
    </xf>
    <xf numFmtId="42" fontId="17" fillId="0" borderId="29" xfId="0" applyNumberFormat="1" applyFont="1" applyFill="1" applyBorder="1"/>
    <xf numFmtId="166" fontId="17" fillId="0" borderId="29" xfId="0" applyNumberFormat="1" applyFont="1" applyFill="1" applyBorder="1" applyAlignment="1">
      <alignment horizontal="right" wrapText="1"/>
    </xf>
    <xf numFmtId="43" fontId="17" fillId="0" borderId="29" xfId="0" applyNumberFormat="1" applyFont="1" applyFill="1" applyBorder="1" applyAlignment="1">
      <alignment horizontal="center" wrapText="1"/>
    </xf>
    <xf numFmtId="0" fontId="17" fillId="0" borderId="46" xfId="0" applyFont="1" applyFill="1" applyBorder="1" applyAlignment="1">
      <alignment horizontal="center" wrapText="1"/>
    </xf>
    <xf numFmtId="44" fontId="17" fillId="0" borderId="29" xfId="0" applyNumberFormat="1" applyFont="1" applyFill="1" applyBorder="1" applyAlignment="1">
      <alignment horizontal="center" wrapText="1"/>
    </xf>
    <xf numFmtId="44" fontId="17" fillId="0" borderId="47" xfId="69" applyNumberFormat="1" applyFont="1" applyFill="1" applyBorder="1"/>
    <xf numFmtId="166" fontId="17" fillId="0" borderId="48" xfId="0" applyNumberFormat="1" applyFont="1" applyFill="1" applyBorder="1" applyAlignment="1">
      <alignment horizontal="right" wrapText="1"/>
    </xf>
    <xf numFmtId="43" fontId="17" fillId="0" borderId="48" xfId="0" applyNumberFormat="1" applyFont="1" applyFill="1" applyBorder="1" applyAlignment="1">
      <alignment horizontal="center" wrapText="1"/>
    </xf>
    <xf numFmtId="0" fontId="17" fillId="0" borderId="48" xfId="0" applyNumberFormat="1" applyFont="1" applyFill="1" applyBorder="1" applyAlignment="1">
      <alignment horizontal="center" wrapText="1"/>
    </xf>
    <xf numFmtId="41" fontId="17" fillId="0" borderId="43" xfId="0" applyNumberFormat="1" applyFont="1" applyFill="1" applyBorder="1" applyAlignment="1">
      <alignment horizontal="center" wrapText="1"/>
    </xf>
    <xf numFmtId="44" fontId="17" fillId="0" borderId="48" xfId="0" applyNumberFormat="1" applyFont="1" applyFill="1" applyBorder="1" applyAlignment="1">
      <alignment horizontal="center" wrapText="1"/>
    </xf>
    <xf numFmtId="0" fontId="40" fillId="0" borderId="49" xfId="0" applyFont="1" applyFill="1" applyBorder="1" applyAlignment="1">
      <alignment horizontal="right"/>
    </xf>
    <xf numFmtId="42" fontId="40" fillId="0" borderId="27" xfId="0" applyNumberFormat="1" applyFont="1" applyFill="1" applyBorder="1" applyAlignment="1">
      <alignment horizontal="center" wrapText="1"/>
    </xf>
    <xf numFmtId="166" fontId="40" fillId="0" borderId="27" xfId="0" applyNumberFormat="1" applyFont="1" applyFill="1" applyBorder="1" applyAlignment="1">
      <alignment horizontal="right" wrapText="1"/>
    </xf>
    <xf numFmtId="43" fontId="40" fillId="0" borderId="27" xfId="0" applyNumberFormat="1" applyFont="1" applyFill="1" applyBorder="1" applyAlignment="1">
      <alignment horizontal="center" wrapText="1"/>
    </xf>
    <xf numFmtId="3" fontId="40" fillId="0" borderId="27" xfId="0" applyNumberFormat="1" applyFont="1" applyFill="1" applyBorder="1" applyAlignment="1">
      <alignment horizontal="center" wrapText="1"/>
    </xf>
    <xf numFmtId="0" fontId="40" fillId="0" borderId="27" xfId="0" applyNumberFormat="1" applyFont="1" applyFill="1" applyBorder="1" applyAlignment="1">
      <alignment horizontal="center" wrapText="1"/>
    </xf>
    <xf numFmtId="3" fontId="40" fillId="0" borderId="27" xfId="0" applyNumberFormat="1" applyFont="1" applyFill="1" applyBorder="1" applyAlignment="1">
      <alignment horizontal="right" wrapText="1"/>
    </xf>
    <xf numFmtId="44" fontId="40" fillId="0" borderId="27" xfId="0" applyNumberFormat="1" applyFont="1" applyFill="1" applyBorder="1" applyAlignment="1">
      <alignment horizontal="center" wrapText="1"/>
    </xf>
    <xf numFmtId="44" fontId="40" fillId="0" borderId="28" xfId="0" applyNumberFormat="1" applyFont="1" applyFill="1" applyBorder="1" applyAlignment="1">
      <alignment horizontal="center" wrapText="1"/>
    </xf>
    <xf numFmtId="42" fontId="17" fillId="0" borderId="50" xfId="0" applyNumberFormat="1" applyFont="1" applyFill="1" applyBorder="1"/>
    <xf numFmtId="166" fontId="17" fillId="0" borderId="43" xfId="0" applyNumberFormat="1" applyFont="1" applyFill="1" applyBorder="1"/>
    <xf numFmtId="3" fontId="17" fillId="0" borderId="50" xfId="0" applyNumberFormat="1" applyFont="1" applyFill="1" applyBorder="1" applyAlignment="1">
      <alignment horizontal="center" wrapText="1"/>
    </xf>
    <xf numFmtId="0" fontId="17" fillId="0" borderId="50" xfId="0" applyFont="1" applyFill="1" applyBorder="1" applyAlignment="1">
      <alignment horizontal="center" wrapText="1"/>
    </xf>
    <xf numFmtId="41" fontId="17" fillId="0" borderId="51" xfId="0" applyNumberFormat="1" applyFont="1" applyFill="1" applyBorder="1" applyAlignment="1">
      <alignment horizontal="center" wrapText="1"/>
    </xf>
    <xf numFmtId="44" fontId="17" fillId="0" borderId="52" xfId="69" applyNumberFormat="1" applyFont="1" applyFill="1" applyBorder="1"/>
    <xf numFmtId="166" fontId="17" fillId="0" borderId="29" xfId="0" applyNumberFormat="1" applyFont="1" applyFill="1" applyBorder="1"/>
    <xf numFmtId="44" fontId="17" fillId="0" borderId="53" xfId="69" applyNumberFormat="1" applyFont="1" applyFill="1" applyBorder="1"/>
    <xf numFmtId="0" fontId="17" fillId="0" borderId="54" xfId="0" applyFont="1" applyFill="1" applyBorder="1" applyAlignment="1">
      <alignment horizontal="left"/>
    </xf>
    <xf numFmtId="166" fontId="17" fillId="0" borderId="44" xfId="0" applyNumberFormat="1" applyFont="1" applyFill="1" applyBorder="1"/>
    <xf numFmtId="43" fontId="17" fillId="0" borderId="44" xfId="0" applyNumberFormat="1" applyFont="1" applyFill="1" applyBorder="1" applyAlignment="1">
      <alignment horizontal="center" wrapText="1"/>
    </xf>
    <xf numFmtId="44" fontId="17" fillId="0" borderId="44" xfId="0" applyNumberFormat="1" applyFont="1" applyFill="1" applyBorder="1" applyAlignment="1">
      <alignment horizontal="center" wrapText="1"/>
    </xf>
    <xf numFmtId="44" fontId="40" fillId="0" borderId="28" xfId="69" applyNumberFormat="1" applyFont="1" applyFill="1" applyBorder="1"/>
    <xf numFmtId="0" fontId="40" fillId="0" borderId="35" xfId="0" applyFont="1" applyFill="1" applyBorder="1" applyAlignment="1">
      <alignment horizontal="right"/>
    </xf>
    <xf numFmtId="42" fontId="40" fillId="0" borderId="11" xfId="0" applyNumberFormat="1" applyFont="1" applyFill="1" applyBorder="1"/>
    <xf numFmtId="166" fontId="40" fillId="0" borderId="11" xfId="0" applyNumberFormat="1" applyFont="1" applyFill="1" applyBorder="1"/>
    <xf numFmtId="44" fontId="40" fillId="0" borderId="11" xfId="69" applyNumberFormat="1" applyFont="1" applyFill="1" applyBorder="1"/>
    <xf numFmtId="0" fontId="40" fillId="0" borderId="26" xfId="0" applyFont="1" applyFill="1" applyBorder="1" applyAlignment="1">
      <alignment horizontal="right"/>
    </xf>
    <xf numFmtId="42" fontId="40" fillId="0" borderId="25" xfId="0" applyNumberFormat="1" applyFont="1" applyFill="1" applyBorder="1"/>
    <xf numFmtId="166" fontId="40" fillId="0" borderId="25" xfId="0" applyNumberFormat="1" applyFont="1" applyFill="1" applyBorder="1"/>
    <xf numFmtId="43" fontId="40" fillId="0" borderId="25" xfId="0" applyNumberFormat="1" applyFont="1" applyFill="1" applyBorder="1" applyAlignment="1">
      <alignment horizontal="center" wrapText="1"/>
    </xf>
    <xf numFmtId="3" fontId="17" fillId="0" borderId="25" xfId="0" applyNumberFormat="1" applyFont="1" applyFill="1" applyBorder="1"/>
    <xf numFmtId="0" fontId="17" fillId="0" borderId="25" xfId="0" applyFont="1" applyFill="1" applyBorder="1" applyAlignment="1">
      <alignment wrapText="1"/>
    </xf>
    <xf numFmtId="41" fontId="40" fillId="0" borderId="25" xfId="69" applyNumberFormat="1" applyFont="1" applyFill="1" applyBorder="1" applyAlignment="1">
      <alignment horizontal="right"/>
    </xf>
    <xf numFmtId="44" fontId="40" fillId="0" borderId="25" xfId="69" applyNumberFormat="1" applyFont="1" applyFill="1" applyBorder="1"/>
    <xf numFmtId="44" fontId="40" fillId="0" borderId="24" xfId="69" applyNumberFormat="1" applyFont="1" applyFill="1" applyBorder="1"/>
    <xf numFmtId="0" fontId="17" fillId="0" borderId="42" xfId="0" applyFont="1" applyFill="1" applyBorder="1"/>
    <xf numFmtId="41" fontId="17" fillId="0" borderId="55" xfId="0" applyNumberFormat="1" applyFont="1" applyFill="1" applyBorder="1" applyAlignment="1">
      <alignment horizontal="center" wrapText="1"/>
    </xf>
    <xf numFmtId="44" fontId="17" fillId="0" borderId="56" xfId="0" applyNumberFormat="1" applyFont="1" applyFill="1" applyBorder="1" applyAlignment="1">
      <alignment horizontal="center" wrapText="1"/>
    </xf>
    <xf numFmtId="44" fontId="17" fillId="0" borderId="57" xfId="69" applyNumberFormat="1" applyFont="1" applyFill="1" applyBorder="1"/>
    <xf numFmtId="0" fontId="17" fillId="0" borderId="34" xfId="0" applyFont="1" applyFill="1" applyBorder="1"/>
    <xf numFmtId="44" fontId="17" fillId="0" borderId="30" xfId="0" applyNumberFormat="1" applyFont="1" applyFill="1" applyBorder="1" applyAlignment="1">
      <alignment horizontal="center" wrapText="1"/>
    </xf>
    <xf numFmtId="0" fontId="17" fillId="0" borderId="58" xfId="0" applyFont="1" applyFill="1" applyBorder="1"/>
    <xf numFmtId="42" fontId="17" fillId="0" borderId="59" xfId="0" applyNumberFormat="1" applyFont="1" applyFill="1" applyBorder="1"/>
    <xf numFmtId="166" fontId="17" fillId="0" borderId="59" xfId="0" applyNumberFormat="1" applyFont="1" applyFill="1" applyBorder="1" applyAlignment="1">
      <alignment horizontal="right" wrapText="1"/>
    </xf>
    <xf numFmtId="43" fontId="17" fillId="0" borderId="59" xfId="0" applyNumberFormat="1" applyFont="1" applyFill="1" applyBorder="1" applyAlignment="1">
      <alignment horizontal="center" wrapText="1"/>
    </xf>
    <xf numFmtId="44" fontId="17" fillId="0" borderId="55" xfId="0" applyNumberFormat="1" applyFont="1" applyFill="1" applyBorder="1" applyAlignment="1">
      <alignment horizontal="center" wrapText="1"/>
    </xf>
    <xf numFmtId="0" fontId="40" fillId="0" borderId="39" xfId="0" applyFont="1" applyFill="1" applyBorder="1" applyAlignment="1">
      <alignment horizontal="right"/>
    </xf>
    <xf numFmtId="42" fontId="40" fillId="0" borderId="60" xfId="0" applyNumberFormat="1" applyFont="1" applyFill="1" applyBorder="1" applyAlignment="1">
      <alignment horizontal="center" wrapText="1"/>
    </xf>
    <xf numFmtId="166" fontId="40" fillId="0" borderId="60" xfId="0" applyNumberFormat="1" applyFont="1" applyFill="1" applyBorder="1" applyAlignment="1">
      <alignment horizontal="right" wrapText="1"/>
    </xf>
    <xf numFmtId="43" fontId="40" fillId="0" borderId="60" xfId="0" applyNumberFormat="1" applyFont="1" applyFill="1" applyBorder="1" applyAlignment="1">
      <alignment horizontal="center" wrapText="1"/>
    </xf>
    <xf numFmtId="3" fontId="40" fillId="0" borderId="60" xfId="0" applyNumberFormat="1" applyFont="1" applyFill="1" applyBorder="1" applyAlignment="1">
      <alignment horizontal="center" wrapText="1"/>
    </xf>
    <xf numFmtId="43" fontId="37" fillId="0" borderId="0" xfId="0" applyNumberFormat="1" applyFont="1" applyFill="1"/>
    <xf numFmtId="41" fontId="40" fillId="0" borderId="11" xfId="69" applyNumberFormat="1" applyFont="1" applyFill="1" applyBorder="1" applyAlignment="1"/>
    <xf numFmtId="41" fontId="40" fillId="0" borderId="11" xfId="69" applyNumberFormat="1" applyFont="1" applyFill="1" applyBorder="1" applyAlignment="1">
      <alignment horizontal="right"/>
    </xf>
    <xf numFmtId="0" fontId="17" fillId="0" borderId="61" xfId="0" applyFont="1" applyFill="1" applyBorder="1"/>
    <xf numFmtId="0" fontId="17" fillId="0" borderId="0" xfId="0" applyFont="1" applyFill="1" applyBorder="1"/>
    <xf numFmtId="0" fontId="17" fillId="0" borderId="14" xfId="0" applyFont="1" applyFill="1" applyBorder="1"/>
    <xf numFmtId="0" fontId="17" fillId="0" borderId="23" xfId="0" applyFont="1" applyFill="1" applyBorder="1"/>
    <xf numFmtId="0" fontId="17" fillId="0" borderId="50" xfId="0" applyFont="1" applyFill="1" applyBorder="1"/>
    <xf numFmtId="166" fontId="17" fillId="0" borderId="50" xfId="0" applyNumberFormat="1" applyFont="1" applyFill="1" applyBorder="1" applyAlignment="1">
      <alignment horizontal="right" wrapText="1"/>
    </xf>
    <xf numFmtId="0" fontId="17" fillId="0" borderId="29" xfId="0" applyFont="1" applyFill="1" applyBorder="1"/>
    <xf numFmtId="0" fontId="17" fillId="0" borderId="48" xfId="0" applyFont="1" applyFill="1" applyBorder="1"/>
    <xf numFmtId="0" fontId="17" fillId="0" borderId="62" xfId="0" applyFont="1" applyFill="1" applyBorder="1"/>
    <xf numFmtId="42" fontId="40" fillId="0" borderId="27" xfId="0" applyNumberFormat="1" applyFont="1" applyFill="1" applyBorder="1"/>
    <xf numFmtId="0" fontId="17" fillId="0" borderId="27" xfId="0" applyFont="1" applyFill="1" applyBorder="1"/>
    <xf numFmtId="0" fontId="17" fillId="0" borderId="28" xfId="0" applyFont="1" applyFill="1" applyBorder="1"/>
    <xf numFmtId="0" fontId="17" fillId="0" borderId="43" xfId="0" applyFont="1" applyFill="1" applyBorder="1"/>
    <xf numFmtId="0" fontId="17" fillId="0" borderId="59" xfId="0" applyFont="1" applyFill="1" applyBorder="1"/>
    <xf numFmtId="0" fontId="40" fillId="0" borderId="19" xfId="0" applyFont="1" applyFill="1" applyBorder="1" applyAlignment="1">
      <alignment horizontal="right"/>
    </xf>
    <xf numFmtId="42" fontId="40" fillId="0" borderId="15" xfId="0" applyNumberFormat="1" applyFont="1" applyFill="1" applyBorder="1"/>
    <xf numFmtId="166" fontId="40" fillId="0" borderId="15" xfId="0" applyNumberFormat="1" applyFont="1" applyFill="1" applyBorder="1"/>
    <xf numFmtId="43" fontId="40" fillId="0" borderId="15" xfId="0" applyNumberFormat="1" applyFont="1" applyFill="1" applyBorder="1" applyAlignment="1">
      <alignment horizontal="center" wrapText="1"/>
    </xf>
    <xf numFmtId="3" fontId="17" fillId="0" borderId="15" xfId="0" applyNumberFormat="1" applyFont="1" applyFill="1" applyBorder="1"/>
    <xf numFmtId="0" fontId="17" fillId="0" borderId="15" xfId="0" applyFont="1" applyFill="1" applyBorder="1" applyAlignment="1">
      <alignment wrapText="1"/>
    </xf>
    <xf numFmtId="41" fontId="17" fillId="0" borderId="15" xfId="69" applyNumberFormat="1" applyFont="1" applyFill="1" applyBorder="1" applyAlignment="1">
      <alignment horizontal="right"/>
    </xf>
    <xf numFmtId="5" fontId="17" fillId="0" borderId="15" xfId="69" applyNumberFormat="1" applyFont="1" applyFill="1" applyBorder="1"/>
    <xf numFmtId="168" fontId="17" fillId="0" borderId="15" xfId="69" applyNumberFormat="1" applyFont="1" applyFill="1" applyBorder="1"/>
    <xf numFmtId="0" fontId="40" fillId="0" borderId="12" xfId="0" applyFont="1" applyFill="1" applyBorder="1" applyAlignment="1">
      <alignment horizontal="left"/>
    </xf>
    <xf numFmtId="0" fontId="17" fillId="0" borderId="21" xfId="0" applyFont="1" applyFill="1" applyBorder="1"/>
    <xf numFmtId="0" fontId="17" fillId="0" borderId="20" xfId="0" applyFont="1" applyFill="1" applyBorder="1"/>
    <xf numFmtId="0" fontId="40" fillId="0" borderId="37" xfId="0" applyFont="1" applyFill="1" applyBorder="1"/>
    <xf numFmtId="42" fontId="17" fillId="0" borderId="63" xfId="0" applyNumberFormat="1" applyFont="1" applyFill="1" applyBorder="1"/>
    <xf numFmtId="41" fontId="17" fillId="0" borderId="50" xfId="0" applyNumberFormat="1" applyFont="1" applyFill="1" applyBorder="1" applyAlignment="1">
      <alignment horizontal="center" wrapText="1"/>
    </xf>
    <xf numFmtId="0" fontId="40" fillId="0" borderId="38" xfId="0" applyFont="1" applyFill="1" applyBorder="1"/>
    <xf numFmtId="42" fontId="17" fillId="0" borderId="64" xfId="0" applyNumberFormat="1" applyFont="1" applyFill="1" applyBorder="1"/>
    <xf numFmtId="0" fontId="40" fillId="0" borderId="61" xfId="0" applyFont="1" applyFill="1" applyBorder="1"/>
    <xf numFmtId="42" fontId="17" fillId="0" borderId="65" xfId="0" applyNumberFormat="1" applyFont="1" applyFill="1" applyBorder="1"/>
    <xf numFmtId="0" fontId="17" fillId="0" borderId="44" xfId="0" applyFont="1" applyFill="1" applyBorder="1"/>
    <xf numFmtId="42" fontId="40" fillId="0" borderId="35" xfId="0" applyNumberFormat="1" applyFont="1" applyFill="1" applyBorder="1"/>
    <xf numFmtId="0" fontId="17" fillId="0" borderId="66" xfId="0" applyFont="1" applyFill="1" applyBorder="1"/>
    <xf numFmtId="41" fontId="40" fillId="0" borderId="27" xfId="0" applyNumberFormat="1" applyFont="1" applyFill="1" applyBorder="1" applyAlignment="1">
      <alignment horizontal="center" wrapText="1"/>
    </xf>
    <xf numFmtId="44" fontId="40" fillId="0" borderId="11" xfId="0" applyNumberFormat="1" applyFont="1" applyFill="1" applyBorder="1" applyAlignment="1">
      <alignment horizontal="center" wrapText="1"/>
    </xf>
    <xf numFmtId="0" fontId="40" fillId="0" borderId="23" xfId="0" applyFont="1" applyFill="1" applyBorder="1"/>
    <xf numFmtId="44" fontId="17" fillId="0" borderId="50" xfId="0" applyNumberFormat="1" applyFont="1" applyFill="1" applyBorder="1"/>
    <xf numFmtId="44" fontId="17" fillId="0" borderId="52" xfId="0" applyNumberFormat="1" applyFont="1" applyFill="1" applyBorder="1"/>
    <xf numFmtId="0" fontId="40" fillId="0" borderId="34" xfId="0" applyFont="1" applyFill="1" applyBorder="1"/>
    <xf numFmtId="44" fontId="17" fillId="0" borderId="29" xfId="0" applyNumberFormat="1" applyFont="1" applyFill="1" applyBorder="1"/>
    <xf numFmtId="44" fontId="17" fillId="0" borderId="53" xfId="0" applyNumberFormat="1" applyFont="1" applyFill="1" applyBorder="1"/>
    <xf numFmtId="0" fontId="40" fillId="0" borderId="67" xfId="0" applyFont="1" applyFill="1" applyBorder="1"/>
    <xf numFmtId="44" fontId="17" fillId="0" borderId="48" xfId="0" applyNumberFormat="1" applyFont="1" applyFill="1" applyBorder="1"/>
    <xf numFmtId="44" fontId="17" fillId="0" borderId="47" xfId="0" applyNumberFormat="1" applyFont="1" applyFill="1" applyBorder="1"/>
    <xf numFmtId="0" fontId="17" fillId="0" borderId="49" xfId="0" applyFont="1" applyFill="1" applyBorder="1"/>
    <xf numFmtId="44" fontId="40" fillId="0" borderId="27" xfId="0" applyNumberFormat="1" applyFont="1" applyFill="1" applyBorder="1"/>
    <xf numFmtId="44" fontId="40" fillId="0" borderId="28" xfId="0" applyNumberFormat="1" applyFont="1" applyFill="1" applyBorder="1"/>
    <xf numFmtId="41" fontId="17" fillId="0" borderId="43" xfId="69" applyNumberFormat="1" applyFont="1" applyFill="1" applyBorder="1" applyAlignment="1">
      <alignment horizontal="right"/>
    </xf>
    <xf numFmtId="44" fontId="17" fillId="0" borderId="43" xfId="0" applyNumberFormat="1" applyFont="1" applyFill="1" applyBorder="1"/>
    <xf numFmtId="44" fontId="17" fillId="0" borderId="57" xfId="0" applyNumberFormat="1" applyFont="1" applyFill="1" applyBorder="1"/>
    <xf numFmtId="0" fontId="40" fillId="0" borderId="17" xfId="0" applyFont="1" applyFill="1" applyBorder="1"/>
    <xf numFmtId="41" fontId="17" fillId="0" borderId="29" xfId="69" applyNumberFormat="1" applyFont="1" applyFill="1" applyBorder="1" applyAlignment="1">
      <alignment horizontal="right"/>
    </xf>
    <xf numFmtId="41" fontId="17" fillId="0" borderId="44" xfId="69" applyNumberFormat="1" applyFont="1" applyFill="1" applyBorder="1" applyAlignment="1">
      <alignment horizontal="right"/>
    </xf>
    <xf numFmtId="44" fontId="17" fillId="0" borderId="44" xfId="0" applyNumberFormat="1" applyFont="1" applyFill="1" applyBorder="1"/>
    <xf numFmtId="44" fontId="17" fillId="0" borderId="45" xfId="0" applyNumberFormat="1" applyFont="1" applyFill="1" applyBorder="1"/>
    <xf numFmtId="41" fontId="17" fillId="0" borderId="27" xfId="0" applyNumberFormat="1" applyFont="1" applyFill="1" applyBorder="1" applyAlignment="1">
      <alignment horizontal="center" wrapText="1"/>
    </xf>
    <xf numFmtId="44" fontId="17" fillId="0" borderId="27" xfId="0" applyNumberFormat="1" applyFont="1" applyFill="1" applyBorder="1"/>
    <xf numFmtId="44" fontId="17" fillId="0" borderId="28" xfId="0" applyNumberFormat="1" applyFont="1" applyFill="1" applyBorder="1"/>
    <xf numFmtId="42" fontId="17" fillId="0" borderId="11" xfId="0" applyNumberFormat="1" applyFont="1" applyFill="1" applyBorder="1"/>
    <xf numFmtId="0" fontId="17" fillId="0" borderId="56" xfId="0" applyFont="1" applyFill="1" applyBorder="1"/>
    <xf numFmtId="0" fontId="17" fillId="0" borderId="30" xfId="0" applyFont="1" applyFill="1" applyBorder="1"/>
    <xf numFmtId="0" fontId="17" fillId="0" borderId="31" xfId="0" applyFont="1" applyFill="1" applyBorder="1"/>
    <xf numFmtId="41" fontId="17" fillId="0" borderId="48" xfId="69" applyNumberFormat="1" applyFont="1" applyFill="1" applyBorder="1" applyAlignment="1">
      <alignment horizontal="right"/>
    </xf>
    <xf numFmtId="0" fontId="40" fillId="0" borderId="11" xfId="0" applyFont="1" applyFill="1" applyBorder="1" applyAlignment="1">
      <alignment wrapText="1"/>
    </xf>
    <xf numFmtId="3" fontId="37" fillId="0" borderId="0" xfId="0" applyNumberFormat="1" applyFont="1" applyFill="1" applyAlignment="1">
      <alignment horizontal="center"/>
    </xf>
    <xf numFmtId="42" fontId="9" fillId="0" borderId="42" xfId="149" applyNumberFormat="1" applyFont="1" applyFill="1" applyBorder="1" applyAlignment="1">
      <alignment horizontal="left"/>
    </xf>
    <xf numFmtId="42" fontId="9" fillId="0" borderId="34" xfId="149" applyNumberFormat="1" applyFont="1" applyFill="1" applyBorder="1" applyAlignment="1">
      <alignment horizontal="left"/>
    </xf>
    <xf numFmtId="42" fontId="9" fillId="0" borderId="58" xfId="149" applyNumberFormat="1" applyFont="1" applyFill="1" applyBorder="1" applyAlignment="1">
      <alignment horizontal="left"/>
    </xf>
    <xf numFmtId="42" fontId="9" fillId="0" borderId="18" xfId="149" applyNumberFormat="1" applyFont="1" applyFill="1" applyBorder="1" applyAlignment="1">
      <alignment horizontal="left"/>
    </xf>
    <xf numFmtId="42" fontId="15" fillId="27" borderId="35" xfId="93" applyNumberFormat="1" applyFont="1" applyFill="1" applyBorder="1" applyAlignment="1">
      <alignment horizontal="left"/>
    </xf>
    <xf numFmtId="42" fontId="9" fillId="0" borderId="37" xfId="149" applyNumberFormat="1" applyFont="1" applyFill="1" applyBorder="1" applyAlignment="1">
      <alignment horizontal="left"/>
    </xf>
    <xf numFmtId="42" fontId="9" fillId="0" borderId="17" xfId="149" applyNumberFormat="1" applyFont="1" applyFill="1" applyBorder="1" applyAlignment="1">
      <alignment horizontal="left"/>
    </xf>
    <xf numFmtId="42" fontId="9" fillId="0" borderId="68" xfId="149" applyNumberFormat="1" applyFont="1" applyFill="1" applyBorder="1" applyAlignment="1">
      <alignment horizontal="left"/>
    </xf>
    <xf numFmtId="42" fontId="21" fillId="0" borderId="69" xfId="93" applyNumberFormat="1" applyFont="1" applyFill="1" applyBorder="1" applyAlignment="1">
      <alignment horizontal="left"/>
    </xf>
    <xf numFmtId="42" fontId="21" fillId="0" borderId="70" xfId="149" applyNumberFormat="1" applyFont="1" applyFill="1" applyBorder="1" applyAlignment="1">
      <alignment horizontal="left"/>
    </xf>
    <xf numFmtId="42" fontId="21" fillId="0" borderId="71" xfId="149" applyNumberFormat="1" applyFont="1" applyFill="1" applyBorder="1" applyAlignment="1">
      <alignment horizontal="left"/>
    </xf>
    <xf numFmtId="42" fontId="15" fillId="25" borderId="62" xfId="93" applyNumberFormat="1" applyFont="1" applyFill="1" applyBorder="1" applyAlignment="1">
      <alignment horizontal="left"/>
    </xf>
    <xf numFmtId="42" fontId="21" fillId="0" borderId="37" xfId="93" applyNumberFormat="1" applyFont="1" applyFill="1" applyBorder="1" applyAlignment="1">
      <alignment horizontal="left"/>
    </xf>
    <xf numFmtId="42" fontId="21" fillId="0" borderId="38" xfId="149" applyNumberFormat="1" applyFont="1" applyFill="1" applyBorder="1" applyAlignment="1">
      <alignment horizontal="left"/>
    </xf>
    <xf numFmtId="42" fontId="15" fillId="31" borderId="11" xfId="149" applyNumberFormat="1" applyFont="1" applyFill="1" applyBorder="1" applyAlignment="1">
      <alignment horizontal="left"/>
    </xf>
    <xf numFmtId="42" fontId="21" fillId="0" borderId="72" xfId="149" applyNumberFormat="1" applyFont="1" applyFill="1" applyBorder="1" applyAlignment="1">
      <alignment horizontal="left"/>
    </xf>
    <xf numFmtId="42" fontId="15" fillId="32" borderId="15" xfId="93" applyNumberFormat="1" applyFont="1" applyFill="1" applyBorder="1" applyAlignment="1">
      <alignment horizontal="left"/>
    </xf>
    <xf numFmtId="42" fontId="21" fillId="0" borderId="73" xfId="149" applyNumberFormat="1" applyFont="1" applyFill="1" applyBorder="1" applyAlignment="1">
      <alignment horizontal="left"/>
    </xf>
    <xf numFmtId="42" fontId="15" fillId="30" borderId="11" xfId="93" applyNumberFormat="1" applyFont="1" applyFill="1" applyBorder="1" applyAlignment="1">
      <alignment horizontal="left"/>
    </xf>
    <xf numFmtId="42" fontId="15" fillId="25" borderId="11" xfId="93" applyNumberFormat="1" applyFont="1" applyFill="1" applyBorder="1" applyAlignment="1">
      <alignment horizontal="left"/>
    </xf>
    <xf numFmtId="42" fontId="11" fillId="0" borderId="0" xfId="0" applyNumberFormat="1" applyFont="1"/>
    <xf numFmtId="42" fontId="8" fillId="0" borderId="0" xfId="0" applyNumberFormat="1" applyFont="1"/>
    <xf numFmtId="42" fontId="0" fillId="0" borderId="0" xfId="0" applyNumberFormat="1" applyFill="1" applyBorder="1"/>
    <xf numFmtId="0" fontId="15" fillId="0" borderId="19" xfId="0" applyFont="1" applyFill="1" applyBorder="1" applyAlignment="1">
      <alignment horizontal="left"/>
    </xf>
    <xf numFmtId="42" fontId="9" fillId="0" borderId="22" xfId="149" applyNumberFormat="1" applyFont="1" applyFill="1" applyBorder="1" applyAlignment="1">
      <alignment horizontal="left"/>
    </xf>
    <xf numFmtId="42" fontId="15" fillId="27" borderId="15" xfId="93" applyNumberFormat="1" applyFont="1" applyFill="1" applyBorder="1" applyAlignment="1">
      <alignment horizontal="left"/>
    </xf>
    <xf numFmtId="0" fontId="9" fillId="0" borderId="74" xfId="0" applyFont="1" applyFill="1" applyBorder="1" applyAlignment="1">
      <alignment horizontal="left"/>
    </xf>
    <xf numFmtId="0" fontId="32" fillId="0" borderId="67" xfId="0" applyFont="1" applyFill="1" applyBorder="1"/>
    <xf numFmtId="166" fontId="17" fillId="0" borderId="27" xfId="0" applyNumberFormat="1" applyFont="1" applyFill="1" applyBorder="1" applyAlignment="1">
      <alignment horizontal="right" vertical="center" wrapText="1"/>
    </xf>
    <xf numFmtId="166" fontId="17" fillId="0" borderId="43" xfId="0" applyNumberFormat="1" applyFont="1" applyFill="1" applyBorder="1" applyAlignment="1">
      <alignment horizontal="right" vertical="center" wrapText="1"/>
    </xf>
    <xf numFmtId="166" fontId="17" fillId="0" borderId="29" xfId="0" applyNumberFormat="1" applyFont="1" applyFill="1" applyBorder="1" applyAlignment="1">
      <alignment horizontal="right" vertical="center" wrapText="1"/>
    </xf>
    <xf numFmtId="166" fontId="17" fillId="0" borderId="48" xfId="0" applyNumberFormat="1" applyFont="1" applyFill="1" applyBorder="1" applyAlignment="1">
      <alignment horizontal="right" vertical="center" wrapText="1"/>
    </xf>
    <xf numFmtId="166" fontId="40" fillId="0" borderId="11" xfId="0" applyNumberFormat="1" applyFont="1" applyFill="1" applyBorder="1" applyAlignment="1">
      <alignment horizontal="right" vertical="center" wrapText="1"/>
    </xf>
    <xf numFmtId="166" fontId="17" fillId="0" borderId="50" xfId="0" applyNumberFormat="1" applyFont="1" applyFill="1" applyBorder="1" applyAlignment="1">
      <alignment horizontal="right" vertical="center" wrapText="1"/>
    </xf>
    <xf numFmtId="166" fontId="17" fillId="0" borderId="44" xfId="0" applyNumberFormat="1" applyFont="1" applyFill="1" applyBorder="1" applyAlignment="1">
      <alignment horizontal="right" vertical="center" wrapText="1"/>
    </xf>
    <xf numFmtId="166" fontId="17" fillId="0" borderId="11" xfId="0" applyNumberFormat="1" applyFont="1" applyFill="1" applyBorder="1" applyAlignment="1">
      <alignment horizontal="right" vertical="center" wrapText="1"/>
    </xf>
    <xf numFmtId="166" fontId="40" fillId="0" borderId="11" xfId="0" applyNumberFormat="1" applyFont="1" applyFill="1" applyBorder="1" applyAlignment="1">
      <alignment vertical="center"/>
    </xf>
    <xf numFmtId="0" fontId="31" fillId="0" borderId="0" xfId="0" applyFont="1" applyAlignment="1"/>
    <xf numFmtId="0" fontId="7" fillId="0" borderId="21" xfId="0" applyFont="1" applyBorder="1" applyAlignment="1"/>
    <xf numFmtId="42" fontId="17" fillId="0" borderId="0" xfId="0" applyNumberFormat="1" applyFont="1"/>
    <xf numFmtId="165" fontId="5" fillId="0" borderId="0" xfId="0" applyNumberFormat="1" applyFont="1" applyBorder="1"/>
    <xf numFmtId="0" fontId="4" fillId="0" borderId="0" xfId="0" applyFont="1" applyFill="1" applyAlignment="1"/>
    <xf numFmtId="41" fontId="5" fillId="0" borderId="0" xfId="0" applyNumberFormat="1" applyFont="1" applyBorder="1"/>
    <xf numFmtId="9" fontId="5" fillId="0" borderId="0" xfId="149" applyFont="1" applyFill="1" applyAlignment="1">
      <alignment horizontal="center"/>
    </xf>
    <xf numFmtId="3" fontId="5" fillId="0" borderId="0" xfId="69" applyNumberFormat="1" applyFont="1" applyFill="1" applyAlignment="1">
      <alignment horizontal="center"/>
    </xf>
    <xf numFmtId="3" fontId="5" fillId="0" borderId="0" xfId="69" applyNumberFormat="1" applyFont="1" applyFill="1" applyBorder="1" applyAlignment="1">
      <alignment horizontal="center"/>
    </xf>
    <xf numFmtId="2" fontId="5" fillId="0" borderId="0" xfId="0" applyNumberFormat="1" applyFont="1" applyFill="1" applyAlignment="1"/>
    <xf numFmtId="3" fontId="5" fillId="0" borderId="0" xfId="0" applyNumberFormat="1" applyFont="1" applyFill="1"/>
    <xf numFmtId="9" fontId="5" fillId="0" borderId="0" xfId="149" applyFont="1" applyFill="1" applyBorder="1" applyAlignment="1">
      <alignment horizontal="center"/>
    </xf>
    <xf numFmtId="165" fontId="37" fillId="0" borderId="0" xfId="0" applyNumberFormat="1" applyFont="1" applyFill="1"/>
    <xf numFmtId="9" fontId="5" fillId="0" borderId="0" xfId="149" applyFont="1" applyBorder="1" applyAlignment="1">
      <alignment horizontal="center"/>
    </xf>
    <xf numFmtId="42" fontId="38" fillId="0" borderId="0" xfId="0" applyNumberFormat="1" applyFont="1" applyFill="1"/>
    <xf numFmtId="42" fontId="18" fillId="0" borderId="0" xfId="69" applyNumberFormat="1" applyFont="1" applyFill="1" applyBorder="1" applyAlignment="1">
      <alignment horizontal="center"/>
    </xf>
    <xf numFmtId="42" fontId="9" fillId="0" borderId="0" xfId="149" applyNumberFormat="1" applyFont="1" applyFill="1" applyBorder="1" applyAlignment="1">
      <alignment horizontal="left"/>
    </xf>
    <xf numFmtId="0" fontId="8" fillId="0" borderId="0" xfId="0" applyFont="1" applyFill="1" applyBorder="1"/>
    <xf numFmtId="42" fontId="18" fillId="0" borderId="0" xfId="0" applyNumberFormat="1" applyFont="1" applyBorder="1" applyAlignment="1">
      <alignment horizontal="center"/>
    </xf>
    <xf numFmtId="42" fontId="18" fillId="0" borderId="0" xfId="0" applyNumberFormat="1" applyFont="1" applyFill="1" applyBorder="1"/>
    <xf numFmtId="165" fontId="6" fillId="0" borderId="0" xfId="0" applyNumberFormat="1" applyFont="1" applyFill="1"/>
    <xf numFmtId="1" fontId="18" fillId="0" borderId="0" xfId="0" applyNumberFormat="1" applyFont="1" applyFill="1"/>
    <xf numFmtId="165" fontId="3" fillId="0" borderId="0" xfId="93" applyNumberFormat="1" applyFont="1" applyFill="1"/>
    <xf numFmtId="38" fontId="37" fillId="0" borderId="0" xfId="0" applyNumberFormat="1" applyFont="1" applyFill="1" applyBorder="1" applyAlignment="1">
      <alignment horizontal="center"/>
    </xf>
    <xf numFmtId="165" fontId="5" fillId="0" borderId="41" xfId="93" applyNumberFormat="1" applyFont="1" applyFill="1" applyBorder="1"/>
    <xf numFmtId="1" fontId="5" fillId="0" borderId="0" xfId="0" applyNumberFormat="1" applyFont="1" applyFill="1" applyBorder="1"/>
    <xf numFmtId="0" fontId="4" fillId="0" borderId="0" xfId="0" applyFont="1" applyFill="1" applyAlignment="1">
      <alignment horizontal="right"/>
    </xf>
    <xf numFmtId="44" fontId="5" fillId="0" borderId="0" xfId="93" applyNumberFormat="1" applyFont="1" applyFill="1" applyAlignment="1">
      <alignment horizontal="right"/>
    </xf>
    <xf numFmtId="44" fontId="5" fillId="0" borderId="0" xfId="0" applyNumberFormat="1" applyFont="1" applyFill="1" applyAlignment="1">
      <alignment horizontal="right"/>
    </xf>
    <xf numFmtId="42" fontId="5" fillId="0" borderId="0" xfId="0" applyNumberFormat="1" applyFont="1" applyFill="1" applyAlignment="1">
      <alignment horizontal="right"/>
    </xf>
    <xf numFmtId="164" fontId="5" fillId="0" borderId="0" xfId="0" applyNumberFormat="1" applyFont="1" applyFill="1" applyAlignment="1">
      <alignment horizontal="right"/>
    </xf>
    <xf numFmtId="9" fontId="5" fillId="0" borderId="0" xfId="149" applyNumberFormat="1" applyFont="1" applyFill="1" applyBorder="1" applyAlignment="1">
      <alignment horizontal="center"/>
    </xf>
    <xf numFmtId="43" fontId="5" fillId="0" borderId="0" xfId="69" applyFont="1" applyFill="1"/>
    <xf numFmtId="164" fontId="5" fillId="0" borderId="0" xfId="0" applyNumberFormat="1" applyFont="1" applyFill="1"/>
    <xf numFmtId="44" fontId="5" fillId="0" borderId="0" xfId="93" applyFont="1" applyFill="1"/>
    <xf numFmtId="38" fontId="5" fillId="0" borderId="0" xfId="0" applyNumberFormat="1" applyFont="1" applyFill="1" applyAlignment="1">
      <alignment horizontal="center"/>
    </xf>
    <xf numFmtId="165" fontId="5" fillId="0" borderId="0" xfId="93" applyNumberFormat="1" applyFont="1" applyFill="1" applyBorder="1" applyAlignment="1">
      <alignment wrapText="1"/>
    </xf>
    <xf numFmtId="165" fontId="36" fillId="0" borderId="0" xfId="93" applyNumberFormat="1" applyFont="1" applyFill="1" applyBorder="1" applyAlignment="1">
      <alignment wrapText="1"/>
    </xf>
    <xf numFmtId="3" fontId="37" fillId="0" borderId="0" xfId="69" applyNumberFormat="1" applyFont="1" applyFill="1" applyAlignment="1">
      <alignment horizontal="center"/>
    </xf>
    <xf numFmtId="38" fontId="37" fillId="0" borderId="0" xfId="0" applyNumberFormat="1" applyFont="1" applyFill="1" applyAlignment="1">
      <alignment horizontal="center"/>
    </xf>
    <xf numFmtId="165" fontId="37" fillId="0" borderId="0" xfId="0" applyNumberFormat="1" applyFont="1" applyFill="1" applyAlignment="1">
      <alignment horizontal="center"/>
    </xf>
    <xf numFmtId="164" fontId="37" fillId="0" borderId="0" xfId="69" applyNumberFormat="1" applyFont="1" applyFill="1" applyAlignment="1">
      <alignment horizontal="center"/>
    </xf>
    <xf numFmtId="37" fontId="5" fillId="0" borderId="0" xfId="69" applyNumberFormat="1" applyFont="1" applyFill="1" applyAlignment="1">
      <alignment horizontal="center"/>
    </xf>
    <xf numFmtId="172" fontId="37" fillId="0" borderId="0" xfId="0" applyNumberFormat="1" applyFont="1" applyFill="1" applyAlignment="1">
      <alignment horizontal="center"/>
    </xf>
    <xf numFmtId="172" fontId="37" fillId="0" borderId="0" xfId="69" applyNumberFormat="1" applyFont="1" applyFill="1" applyAlignment="1">
      <alignment horizontal="center"/>
    </xf>
    <xf numFmtId="165" fontId="5" fillId="0" borderId="0" xfId="0" applyNumberFormat="1" applyFont="1" applyFill="1" applyAlignment="1">
      <alignment wrapText="1"/>
    </xf>
    <xf numFmtId="3" fontId="5" fillId="0" borderId="0" xfId="0" applyNumberFormat="1" applyFont="1" applyFill="1" applyAlignment="1">
      <alignment horizontal="right"/>
    </xf>
    <xf numFmtId="165" fontId="5" fillId="0" borderId="0" xfId="93" applyNumberFormat="1" applyFont="1" applyFill="1" applyAlignment="1">
      <alignment wrapText="1"/>
    </xf>
    <xf numFmtId="165" fontId="5" fillId="0" borderId="0" xfId="93" applyNumberFormat="1" applyFont="1" applyFill="1" applyBorder="1" applyAlignment="1"/>
    <xf numFmtId="3" fontId="5" fillId="0" borderId="0" xfId="69" applyNumberFormat="1" applyFont="1" applyFill="1" applyAlignment="1">
      <alignment horizontal="right"/>
    </xf>
    <xf numFmtId="44" fontId="5" fillId="0" borderId="0" xfId="93" applyFont="1" applyFill="1" applyAlignment="1">
      <alignment horizontal="right"/>
    </xf>
    <xf numFmtId="3" fontId="37" fillId="0" borderId="0" xfId="0" applyNumberFormat="1" applyFont="1" applyFill="1" applyAlignment="1">
      <alignment horizontal="right"/>
    </xf>
    <xf numFmtId="3" fontId="37" fillId="0" borderId="0" xfId="69" applyNumberFormat="1" applyFont="1" applyFill="1" applyAlignment="1">
      <alignment horizontal="right"/>
    </xf>
    <xf numFmtId="38" fontId="5" fillId="0" borderId="0" xfId="0" applyNumberFormat="1" applyFont="1" applyFill="1" applyBorder="1" applyAlignment="1">
      <alignment horizontal="center"/>
    </xf>
    <xf numFmtId="38" fontId="3" fillId="0" borderId="0" xfId="0" applyNumberFormat="1" applyFont="1" applyFill="1"/>
    <xf numFmtId="3" fontId="3" fillId="0" borderId="0" xfId="0" applyNumberFormat="1" applyFont="1" applyFill="1" applyAlignment="1">
      <alignment horizontal="center"/>
    </xf>
    <xf numFmtId="0" fontId="3" fillId="0" borderId="0" xfId="0" applyFont="1" applyFill="1" applyAlignment="1">
      <alignment horizontal="center"/>
    </xf>
    <xf numFmtId="165" fontId="5" fillId="0" borderId="0" xfId="93" applyNumberFormat="1" applyFont="1" applyFill="1" applyAlignment="1">
      <alignment horizontal="right"/>
    </xf>
    <xf numFmtId="44" fontId="37" fillId="0" borderId="0" xfId="93" applyNumberFormat="1" applyFont="1" applyFill="1" applyAlignment="1">
      <alignment horizontal="right"/>
    </xf>
    <xf numFmtId="42" fontId="37" fillId="0" borderId="0" xfId="0" applyNumberFormat="1" applyFont="1" applyFill="1" applyAlignment="1">
      <alignment horizontal="right"/>
    </xf>
    <xf numFmtId="165" fontId="37" fillId="0" borderId="0" xfId="93" applyNumberFormat="1" applyFont="1" applyFill="1" applyAlignment="1">
      <alignment horizontal="right"/>
    </xf>
    <xf numFmtId="38" fontId="3" fillId="0" borderId="0" xfId="0" applyNumberFormat="1" applyFont="1" applyFill="1" applyAlignment="1">
      <alignment horizontal="center"/>
    </xf>
    <xf numFmtId="44" fontId="5" fillId="0" borderId="0" xfId="93" applyNumberFormat="1" applyFont="1" applyFill="1" applyAlignment="1">
      <alignment horizontal="center"/>
    </xf>
    <xf numFmtId="44" fontId="5" fillId="0" borderId="0" xfId="0" applyNumberFormat="1" applyFont="1" applyFill="1" applyAlignment="1">
      <alignment horizontal="center"/>
    </xf>
    <xf numFmtId="42" fontId="5" fillId="0" borderId="0" xfId="0" applyNumberFormat="1" applyFont="1" applyFill="1" applyAlignment="1">
      <alignment horizontal="center"/>
    </xf>
    <xf numFmtId="165" fontId="5"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3" fontId="10" fillId="0" borderId="0" xfId="0" applyNumberFormat="1" applyFont="1" applyFill="1"/>
    <xf numFmtId="164" fontId="5" fillId="0" borderId="0" xfId="69" applyNumberFormat="1" applyFont="1" applyFill="1" applyAlignment="1"/>
    <xf numFmtId="3" fontId="5" fillId="0" borderId="0" xfId="93" applyNumberFormat="1" applyFont="1" applyFill="1" applyBorder="1" applyAlignment="1">
      <alignment horizontal="center"/>
    </xf>
    <xf numFmtId="0" fontId="25" fillId="0" borderId="0" xfId="0" applyFont="1" applyFill="1"/>
    <xf numFmtId="173" fontId="6" fillId="0" borderId="0" xfId="149" applyNumberFormat="1" applyFont="1" applyFill="1"/>
    <xf numFmtId="9" fontId="10" fillId="0" borderId="0" xfId="149" applyFont="1" applyFill="1"/>
    <xf numFmtId="0" fontId="25" fillId="0" borderId="0" xfId="0" applyFont="1" applyFill="1" applyBorder="1"/>
    <xf numFmtId="0" fontId="4" fillId="0" borderId="0" xfId="0" applyFont="1" applyBorder="1" applyAlignment="1"/>
    <xf numFmtId="44" fontId="37" fillId="0" borderId="0" xfId="0" applyNumberFormat="1" applyFont="1" applyFill="1" applyAlignment="1">
      <alignment horizontal="right"/>
    </xf>
    <xf numFmtId="42" fontId="5" fillId="0" borderId="0" xfId="93" applyNumberFormat="1" applyFont="1" applyFill="1" applyAlignment="1">
      <alignment horizontal="right"/>
    </xf>
    <xf numFmtId="44" fontId="5" fillId="0" borderId="0" xfId="93" applyFont="1" applyFill="1" applyAlignment="1"/>
    <xf numFmtId="165" fontId="3" fillId="0" borderId="0" xfId="93" applyNumberFormat="1" applyFont="1" applyFill="1" applyAlignment="1">
      <alignment horizontal="center"/>
    </xf>
    <xf numFmtId="10" fontId="6" fillId="0" borderId="0" xfId="149" applyNumberFormat="1" applyFont="1" applyFill="1" applyBorder="1"/>
    <xf numFmtId="10" fontId="6" fillId="0" borderId="0" xfId="149" applyNumberFormat="1" applyFont="1" applyFill="1"/>
    <xf numFmtId="10" fontId="6" fillId="0" borderId="0" xfId="149" applyNumberFormat="1" applyFont="1"/>
    <xf numFmtId="173" fontId="6" fillId="0" borderId="0" xfId="149" applyNumberFormat="1" applyFont="1" applyFill="1" applyBorder="1"/>
    <xf numFmtId="173" fontId="6" fillId="0" borderId="0" xfId="149" applyNumberFormat="1" applyFont="1"/>
    <xf numFmtId="43" fontId="18" fillId="0" borderId="0" xfId="69" applyFont="1" applyBorder="1" applyAlignment="1">
      <alignment horizontal="center"/>
    </xf>
    <xf numFmtId="173" fontId="6" fillId="0" borderId="0" xfId="0" applyNumberFormat="1" applyFont="1"/>
    <xf numFmtId="44" fontId="6" fillId="0" borderId="0" xfId="0" applyNumberFormat="1" applyFont="1"/>
    <xf numFmtId="171" fontId="18" fillId="0" borderId="0" xfId="0" applyNumberFormat="1" applyFont="1" applyBorder="1" applyAlignment="1">
      <alignment horizontal="center"/>
    </xf>
    <xf numFmtId="174" fontId="6" fillId="0" borderId="0" xfId="149" applyNumberFormat="1" applyFont="1" applyFill="1"/>
    <xf numFmtId="10" fontId="6" fillId="0" borderId="0" xfId="149" applyNumberFormat="1" applyFont="1" applyBorder="1"/>
    <xf numFmtId="176" fontId="5" fillId="0" borderId="0" xfId="0" applyNumberFormat="1" applyFont="1" applyFill="1"/>
    <xf numFmtId="3" fontId="5" fillId="0" borderId="0" xfId="0" applyNumberFormat="1" applyFont="1" applyFill="1" applyBorder="1"/>
    <xf numFmtId="165" fontId="23" fillId="0" borderId="0" xfId="93" applyNumberFormat="1" applyFont="1" applyFill="1"/>
    <xf numFmtId="165" fontId="37" fillId="0" borderId="0" xfId="93" applyNumberFormat="1" applyFont="1" applyFill="1" applyBorder="1" applyAlignment="1">
      <alignment wrapText="1"/>
    </xf>
    <xf numFmtId="165" fontId="43" fillId="0" borderId="0" xfId="93" applyNumberFormat="1" applyFont="1" applyFill="1"/>
    <xf numFmtId="0" fontId="18" fillId="0" borderId="0" xfId="0" applyFont="1" applyFill="1" applyAlignment="1">
      <alignment horizontal="right"/>
    </xf>
    <xf numFmtId="1" fontId="18" fillId="0" borderId="0" xfId="0" applyNumberFormat="1" applyFont="1" applyFill="1" applyBorder="1"/>
    <xf numFmtId="1" fontId="18" fillId="0" borderId="0" xfId="0" applyNumberFormat="1" applyFont="1" applyFill="1" applyAlignment="1">
      <alignment horizontal="right"/>
    </xf>
    <xf numFmtId="1" fontId="18" fillId="0" borderId="0" xfId="69" applyNumberFormat="1" applyFont="1" applyFill="1" applyAlignment="1"/>
    <xf numFmtId="165" fontId="18" fillId="0" borderId="0" xfId="0" applyNumberFormat="1" applyFont="1" applyFill="1" applyBorder="1" applyAlignment="1">
      <alignment horizontal="right"/>
    </xf>
    <xf numFmtId="175" fontId="6" fillId="0" borderId="0" xfId="149" applyNumberFormat="1" applyFont="1" applyFill="1" applyBorder="1"/>
    <xf numFmtId="177" fontId="6" fillId="0" borderId="0" xfId="149" applyNumberFormat="1" applyFont="1" applyFill="1" applyBorder="1"/>
    <xf numFmtId="165" fontId="9" fillId="0" borderId="0" xfId="149" applyNumberFormat="1" applyFont="1" applyFill="1" applyBorder="1" applyAlignment="1">
      <alignment horizontal="left"/>
    </xf>
    <xf numFmtId="164" fontId="18" fillId="0" borderId="0" xfId="69" applyNumberFormat="1" applyFont="1" applyFill="1" applyBorder="1"/>
    <xf numFmtId="164" fontId="9" fillId="0" borderId="0" xfId="69" applyNumberFormat="1" applyFont="1" applyFill="1" applyBorder="1" applyAlignment="1">
      <alignment horizontal="left"/>
    </xf>
    <xf numFmtId="164" fontId="18" fillId="0" borderId="0" xfId="69" applyNumberFormat="1" applyFont="1" applyFill="1"/>
    <xf numFmtId="0" fontId="17" fillId="0" borderId="50" xfId="0" applyFont="1" applyFill="1" applyBorder="1" applyAlignment="1">
      <alignment horizontal="center"/>
    </xf>
    <xf numFmtId="43" fontId="17" fillId="0" borderId="50" xfId="0" applyNumberFormat="1" applyFont="1" applyFill="1" applyBorder="1"/>
    <xf numFmtId="42" fontId="0" fillId="0" borderId="0" xfId="0" applyNumberFormat="1" applyFill="1" applyAlignment="1">
      <alignment horizontal="center"/>
    </xf>
    <xf numFmtId="42" fontId="17" fillId="0" borderId="48" xfId="0" applyNumberFormat="1" applyFont="1" applyFill="1" applyBorder="1" applyAlignment="1">
      <alignment horizontal="center" wrapText="1"/>
    </xf>
    <xf numFmtId="42" fontId="17" fillId="0" borderId="46" xfId="0" applyNumberFormat="1" applyFont="1" applyFill="1" applyBorder="1" applyAlignment="1">
      <alignment horizontal="center" wrapText="1"/>
    </xf>
    <xf numFmtId="42" fontId="40" fillId="0" borderId="11" xfId="0" applyNumberFormat="1" applyFont="1" applyFill="1" applyBorder="1" applyAlignment="1">
      <alignment horizontal="center" wrapText="1"/>
    </xf>
    <xf numFmtId="9" fontId="9" fillId="0" borderId="0" xfId="149" applyFont="1" applyFill="1" applyBorder="1" applyAlignment="1">
      <alignment horizontal="left"/>
    </xf>
    <xf numFmtId="0" fontId="9" fillId="0" borderId="34" xfId="0" applyFont="1" applyFill="1" applyBorder="1" applyAlignment="1"/>
    <xf numFmtId="0" fontId="9" fillId="0" borderId="34" xfId="0" applyFont="1" applyFill="1" applyBorder="1" applyAlignment="1">
      <alignment horizontal="left"/>
    </xf>
    <xf numFmtId="0" fontId="9" fillId="0" borderId="58" xfId="0" applyFont="1" applyFill="1" applyBorder="1" applyAlignment="1">
      <alignment horizontal="left"/>
    </xf>
    <xf numFmtId="0" fontId="9" fillId="0" borderId="58" xfId="0" applyFont="1" applyFill="1" applyBorder="1" applyAlignment="1"/>
    <xf numFmtId="42" fontId="40" fillId="0" borderId="49" xfId="0" applyNumberFormat="1" applyFont="1" applyFill="1" applyBorder="1" applyAlignment="1">
      <alignment horizontal="center" wrapText="1"/>
    </xf>
    <xf numFmtId="0" fontId="17" fillId="0" borderId="27" xfId="0" applyNumberFormat="1" applyFont="1" applyFill="1" applyBorder="1" applyAlignment="1">
      <alignment horizontal="center" wrapText="1"/>
    </xf>
    <xf numFmtId="0" fontId="15" fillId="0" borderId="49" xfId="0" applyFont="1" applyFill="1" applyBorder="1" applyAlignment="1"/>
    <xf numFmtId="0" fontId="9" fillId="0" borderId="68" xfId="0" applyFont="1" applyFill="1" applyBorder="1" applyAlignment="1"/>
    <xf numFmtId="0" fontId="9" fillId="0" borderId="0" xfId="0" applyFont="1" applyBorder="1" applyAlignment="1">
      <alignment horizontal="center"/>
    </xf>
    <xf numFmtId="173" fontId="5" fillId="0" borderId="0" xfId="149" applyNumberFormat="1" applyFont="1" applyFill="1"/>
    <xf numFmtId="173" fontId="5" fillId="0" borderId="0" xfId="149" applyNumberFormat="1" applyFont="1" applyFill="1" applyBorder="1" applyAlignment="1">
      <alignment horizontal="right"/>
    </xf>
    <xf numFmtId="173" fontId="5" fillId="0" borderId="0" xfId="149" applyNumberFormat="1" applyFont="1" applyFill="1" applyBorder="1"/>
    <xf numFmtId="42" fontId="5" fillId="0" borderId="0" xfId="149" applyNumberFormat="1" applyFont="1" applyFill="1" applyBorder="1" applyAlignment="1">
      <alignment horizontal="left"/>
    </xf>
    <xf numFmtId="42" fontId="4" fillId="0" borderId="0" xfId="93" applyNumberFormat="1" applyFont="1" applyFill="1" applyBorder="1" applyAlignment="1">
      <alignment horizontal="left"/>
    </xf>
    <xf numFmtId="165" fontId="5" fillId="0" borderId="0" xfId="0" applyNumberFormat="1" applyFont="1" applyFill="1" applyBorder="1"/>
    <xf numFmtId="0" fontId="4" fillId="0" borderId="0" xfId="0" applyFont="1" applyAlignment="1">
      <alignment horizontal="left"/>
    </xf>
    <xf numFmtId="0" fontId="15" fillId="27" borderId="11" xfId="0" applyFont="1" applyFill="1" applyBorder="1" applyAlignment="1">
      <alignment horizontal="center" wrapText="1"/>
    </xf>
    <xf numFmtId="42" fontId="15" fillId="0" borderId="11" xfId="0" applyNumberFormat="1" applyFont="1" applyFill="1" applyBorder="1" applyAlignment="1">
      <alignment horizontal="center" wrapText="1"/>
    </xf>
    <xf numFmtId="165" fontId="9" fillId="0" borderId="23" xfId="93" applyNumberFormat="1" applyFont="1" applyFill="1" applyBorder="1" applyAlignment="1">
      <alignment horizontal="center"/>
    </xf>
    <xf numFmtId="165" fontId="9" fillId="0" borderId="50" xfId="93" applyNumberFormat="1" applyFont="1" applyFill="1" applyBorder="1" applyAlignment="1">
      <alignment horizontal="center"/>
    </xf>
    <xf numFmtId="165" fontId="9" fillId="0" borderId="52" xfId="93" applyNumberFormat="1" applyFont="1" applyBorder="1" applyAlignment="1">
      <alignment horizontal="center"/>
    </xf>
    <xf numFmtId="165" fontId="9" fillId="0" borderId="60" xfId="93" applyNumberFormat="1" applyFont="1" applyFill="1" applyBorder="1" applyAlignment="1">
      <alignment horizontal="center"/>
    </xf>
    <xf numFmtId="165" fontId="15" fillId="0" borderId="27" xfId="93" applyNumberFormat="1" applyFont="1" applyFill="1" applyBorder="1" applyAlignment="1">
      <alignment horizontal="center"/>
    </xf>
    <xf numFmtId="165" fontId="9" fillId="0" borderId="63" xfId="93" applyNumberFormat="1" applyFont="1" applyFill="1" applyBorder="1" applyAlignment="1">
      <alignment horizontal="center"/>
    </xf>
    <xf numFmtId="165" fontId="9" fillId="0" borderId="29" xfId="93" applyNumberFormat="1" applyFont="1" applyFill="1" applyBorder="1" applyAlignment="1">
      <alignment horizontal="center"/>
    </xf>
    <xf numFmtId="165" fontId="9" fillId="0" borderId="46" xfId="93" applyNumberFormat="1" applyFont="1" applyFill="1" applyBorder="1" applyAlignment="1">
      <alignment horizontal="center"/>
    </xf>
    <xf numFmtId="165" fontId="9" fillId="0" borderId="53" xfId="93" applyNumberFormat="1" applyFont="1" applyBorder="1" applyAlignment="1">
      <alignment horizontal="center"/>
    </xf>
    <xf numFmtId="165" fontId="9" fillId="0" borderId="59" xfId="93" applyNumberFormat="1" applyFont="1" applyFill="1" applyBorder="1" applyAlignment="1">
      <alignment horizontal="center"/>
    </xf>
    <xf numFmtId="165" fontId="9" fillId="0" borderId="75" xfId="93" applyNumberFormat="1" applyFont="1" applyFill="1" applyBorder="1" applyAlignment="1">
      <alignment horizontal="center"/>
    </xf>
    <xf numFmtId="165" fontId="9" fillId="0" borderId="76" xfId="93" applyNumberFormat="1" applyFont="1" applyBorder="1" applyAlignment="1">
      <alignment horizontal="center"/>
    </xf>
    <xf numFmtId="165" fontId="9" fillId="0" borderId="27" xfId="93" applyNumberFormat="1" applyFont="1" applyFill="1" applyBorder="1" applyAlignment="1">
      <alignment horizontal="center"/>
    </xf>
    <xf numFmtId="165" fontId="15" fillId="27" borderId="11" xfId="93" applyNumberFormat="1" applyFont="1" applyFill="1" applyBorder="1" applyAlignment="1">
      <alignment horizontal="center"/>
    </xf>
    <xf numFmtId="165" fontId="9" fillId="0" borderId="34" xfId="93" applyNumberFormat="1" applyFont="1" applyFill="1" applyBorder="1" applyAlignment="1">
      <alignment horizontal="center"/>
    </xf>
    <xf numFmtId="165" fontId="9" fillId="0" borderId="58" xfId="93" applyNumberFormat="1" applyFont="1" applyFill="1" applyBorder="1" applyAlignment="1">
      <alignment horizontal="center"/>
    </xf>
    <xf numFmtId="0" fontId="15" fillId="27" borderId="35" xfId="0" applyFont="1" applyFill="1" applyBorder="1" applyAlignment="1">
      <alignment horizontal="left"/>
    </xf>
    <xf numFmtId="42" fontId="15" fillId="27" borderId="11" xfId="69" quotePrefix="1" applyNumberFormat="1" applyFont="1" applyFill="1" applyBorder="1" applyAlignment="1">
      <alignment horizontal="center"/>
    </xf>
    <xf numFmtId="42" fontId="15" fillId="27" borderId="15" xfId="69" quotePrefix="1" applyNumberFormat="1" applyFont="1" applyFill="1" applyBorder="1" applyAlignment="1">
      <alignment horizontal="center"/>
    </xf>
    <xf numFmtId="0" fontId="15" fillId="0" borderId="61" xfId="0" applyFont="1" applyFill="1" applyBorder="1" applyAlignment="1">
      <alignment horizontal="left"/>
    </xf>
    <xf numFmtId="42" fontId="15" fillId="0" borderId="0" xfId="69" quotePrefix="1" applyNumberFormat="1" applyFont="1" applyFill="1" applyBorder="1" applyAlignment="1">
      <alignment horizontal="center"/>
    </xf>
    <xf numFmtId="42" fontId="15" fillId="0" borderId="14" xfId="69" quotePrefix="1" applyNumberFormat="1" applyFont="1" applyFill="1" applyBorder="1" applyAlignment="1">
      <alignment horizontal="center"/>
    </xf>
    <xf numFmtId="0" fontId="48" fillId="0" borderId="18" xfId="0" applyFont="1" applyFill="1" applyBorder="1"/>
    <xf numFmtId="165" fontId="21" fillId="0" borderId="37" xfId="93" applyNumberFormat="1" applyFont="1" applyFill="1" applyBorder="1" applyAlignment="1">
      <alignment horizontal="center"/>
    </xf>
    <xf numFmtId="0" fontId="48" fillId="0" borderId="17" xfId="0" applyFont="1" applyFill="1" applyBorder="1"/>
    <xf numFmtId="165" fontId="21" fillId="0" borderId="38" xfId="93" applyNumberFormat="1" applyFont="1" applyFill="1" applyBorder="1" applyAlignment="1">
      <alignment horizontal="center"/>
    </xf>
    <xf numFmtId="0" fontId="48" fillId="0" borderId="74" xfId="0" applyFont="1" applyFill="1" applyBorder="1"/>
    <xf numFmtId="165" fontId="21" fillId="0" borderId="73" xfId="93" applyNumberFormat="1" applyFont="1" applyFill="1" applyBorder="1" applyAlignment="1">
      <alignment horizontal="center"/>
    </xf>
    <xf numFmtId="165" fontId="9" fillId="0" borderId="52" xfId="93" applyNumberFormat="1" applyFont="1" applyBorder="1" applyAlignment="1">
      <alignment horizontal="right"/>
    </xf>
    <xf numFmtId="165" fontId="9" fillId="0" borderId="43" xfId="93" applyNumberFormat="1" applyFont="1" applyFill="1" applyBorder="1" applyAlignment="1">
      <alignment horizontal="center"/>
    </xf>
    <xf numFmtId="165" fontId="15" fillId="27" borderId="15" xfId="93" applyNumberFormat="1" applyFont="1" applyFill="1" applyBorder="1" applyAlignment="1">
      <alignment horizontal="center"/>
    </xf>
    <xf numFmtId="0" fontId="9" fillId="0" borderId="61" xfId="0" applyFont="1" applyBorder="1"/>
    <xf numFmtId="0" fontId="9" fillId="0" borderId="0" xfId="0" applyFont="1" applyFill="1" applyBorder="1" applyAlignment="1">
      <alignment horizontal="center"/>
    </xf>
    <xf numFmtId="0" fontId="9" fillId="0" borderId="0" xfId="0" applyFont="1" applyBorder="1"/>
    <xf numFmtId="0" fontId="9" fillId="0" borderId="14" xfId="0" applyFont="1" applyBorder="1"/>
    <xf numFmtId="42" fontId="9" fillId="0" borderId="50" xfId="0" applyNumberFormat="1" applyFont="1" applyFill="1" applyBorder="1" applyAlignment="1">
      <alignment horizontal="center"/>
    </xf>
    <xf numFmtId="42" fontId="9" fillId="0" borderId="52" xfId="0" applyNumberFormat="1" applyFont="1" applyBorder="1" applyAlignment="1">
      <alignment horizontal="center"/>
    </xf>
    <xf numFmtId="42" fontId="9" fillId="0" borderId="29" xfId="0" applyNumberFormat="1" applyFont="1" applyFill="1" applyBorder="1" applyAlignment="1">
      <alignment horizontal="center"/>
    </xf>
    <xf numFmtId="42" fontId="9" fillId="0" borderId="53" xfId="0" applyNumberFormat="1" applyFont="1" applyBorder="1" applyAlignment="1">
      <alignment horizontal="center"/>
    </xf>
    <xf numFmtId="42" fontId="9" fillId="0" borderId="29" xfId="69" applyNumberFormat="1" applyFont="1" applyFill="1" applyBorder="1" applyAlignment="1">
      <alignment horizontal="center"/>
    </xf>
    <xf numFmtId="42" fontId="9" fillId="0" borderId="59" xfId="69" applyNumberFormat="1" applyFont="1" applyFill="1" applyBorder="1" applyAlignment="1">
      <alignment horizontal="center"/>
    </xf>
    <xf numFmtId="42" fontId="9" fillId="0" borderId="59" xfId="0" applyNumberFormat="1" applyFont="1" applyFill="1" applyBorder="1" applyAlignment="1">
      <alignment horizontal="center"/>
    </xf>
    <xf numFmtId="42" fontId="9" fillId="0" borderId="76" xfId="0" applyNumberFormat="1" applyFont="1" applyBorder="1" applyAlignment="1">
      <alignment horizontal="center"/>
    </xf>
    <xf numFmtId="165" fontId="48" fillId="0" borderId="16" xfId="93" applyNumberFormat="1" applyFont="1" applyFill="1" applyBorder="1" applyAlignment="1">
      <alignment horizontal="center"/>
    </xf>
    <xf numFmtId="165" fontId="48" fillId="0" borderId="77" xfId="93" applyNumberFormat="1" applyFont="1" applyFill="1" applyBorder="1" applyAlignment="1">
      <alignment horizontal="center"/>
    </xf>
    <xf numFmtId="165" fontId="48" fillId="0" borderId="78" xfId="93" applyNumberFormat="1" applyFont="1" applyFill="1" applyBorder="1" applyAlignment="1">
      <alignment horizontal="center"/>
    </xf>
    <xf numFmtId="165" fontId="15" fillId="0" borderId="54" xfId="93" applyNumberFormat="1" applyFont="1" applyFill="1" applyBorder="1" applyAlignment="1">
      <alignment horizontal="center"/>
    </xf>
    <xf numFmtId="165" fontId="15" fillId="0" borderId="44" xfId="93" applyNumberFormat="1" applyFont="1" applyFill="1" applyBorder="1" applyAlignment="1">
      <alignment horizontal="center"/>
    </xf>
    <xf numFmtId="165" fontId="15" fillId="0" borderId="45" xfId="93" applyNumberFormat="1" applyFont="1" applyFill="1" applyBorder="1" applyAlignment="1">
      <alignment horizontal="center"/>
    </xf>
    <xf numFmtId="37" fontId="5" fillId="0" borderId="0" xfId="0" applyNumberFormat="1" applyFont="1" applyFill="1" applyBorder="1" applyAlignment="1">
      <alignment horizontal="center"/>
    </xf>
    <xf numFmtId="42" fontId="9" fillId="0" borderId="15" xfId="149" applyNumberFormat="1" applyFont="1" applyFill="1" applyBorder="1" applyAlignment="1">
      <alignment horizontal="left"/>
    </xf>
    <xf numFmtId="42" fontId="17" fillId="0" borderId="43" xfId="0" applyNumberFormat="1" applyFont="1" applyFill="1" applyBorder="1" applyAlignment="1">
      <alignment horizontal="center" wrapText="1"/>
    </xf>
    <xf numFmtId="42" fontId="40" fillId="0" borderId="62" xfId="0" applyNumberFormat="1" applyFont="1" applyFill="1" applyBorder="1" applyAlignment="1">
      <alignment horizontal="center" wrapText="1"/>
    </xf>
    <xf numFmtId="42" fontId="40" fillId="0" borderId="49" xfId="0" applyNumberFormat="1" applyFont="1" applyFill="1" applyBorder="1"/>
    <xf numFmtId="42" fontId="17" fillId="0" borderId="18" xfId="0" applyNumberFormat="1" applyFont="1" applyFill="1" applyBorder="1"/>
    <xf numFmtId="42" fontId="17" fillId="0" borderId="22" xfId="0" applyNumberFormat="1" applyFont="1" applyFill="1" applyBorder="1"/>
    <xf numFmtId="42" fontId="17" fillId="0" borderId="61" xfId="0" applyNumberFormat="1" applyFont="1" applyFill="1" applyBorder="1"/>
    <xf numFmtId="42" fontId="15" fillId="0" borderId="54" xfId="149" applyNumberFormat="1" applyFont="1" applyFill="1" applyBorder="1" applyAlignment="1">
      <alignment horizontal="left"/>
    </xf>
    <xf numFmtId="0" fontId="9" fillId="0" borderId="11" xfId="0" applyFont="1" applyFill="1" applyBorder="1" applyAlignment="1">
      <alignment horizontal="left" indent="1"/>
    </xf>
    <xf numFmtId="42" fontId="9" fillId="0" borderId="35" xfId="149" applyNumberFormat="1" applyFont="1" applyFill="1" applyBorder="1" applyAlignment="1">
      <alignment horizontal="left"/>
    </xf>
    <xf numFmtId="0" fontId="15" fillId="0" borderId="23" xfId="0" applyFont="1" applyFill="1" applyBorder="1" applyAlignment="1">
      <alignment horizontal="left" vertical="center"/>
    </xf>
    <xf numFmtId="0" fontId="9" fillId="0" borderId="34" xfId="0" applyFont="1" applyFill="1" applyBorder="1" applyAlignment="1">
      <alignment horizontal="left" vertical="center"/>
    </xf>
    <xf numFmtId="0" fontId="15" fillId="0" borderId="58" xfId="0" applyFont="1" applyFill="1" applyBorder="1" applyAlignment="1">
      <alignment horizontal="left" vertical="center"/>
    </xf>
    <xf numFmtId="0" fontId="9" fillId="0" borderId="18" xfId="0" applyFont="1" applyFill="1" applyBorder="1" applyAlignment="1">
      <alignment horizontal="left"/>
    </xf>
    <xf numFmtId="42" fontId="9" fillId="0" borderId="11" xfId="149" applyNumberFormat="1" applyFont="1" applyFill="1" applyBorder="1" applyAlignment="1">
      <alignment horizontal="left"/>
    </xf>
    <xf numFmtId="167" fontId="15" fillId="0" borderId="25" xfId="93" applyNumberFormat="1" applyFont="1" applyFill="1" applyBorder="1" applyAlignment="1">
      <alignment horizontal="left"/>
    </xf>
    <xf numFmtId="167" fontId="15" fillId="0" borderId="25" xfId="93" applyNumberFormat="1" applyFont="1" applyFill="1" applyBorder="1" applyAlignment="1"/>
    <xf numFmtId="42" fontId="9" fillId="0" borderId="19" xfId="149" applyNumberFormat="1" applyFont="1" applyFill="1" applyBorder="1" applyAlignment="1">
      <alignment horizontal="left"/>
    </xf>
    <xf numFmtId="0" fontId="40" fillId="33" borderId="11" xfId="0" applyFont="1" applyFill="1" applyBorder="1" applyAlignment="1">
      <alignment horizontal="center" wrapText="1"/>
    </xf>
    <xf numFmtId="3" fontId="40" fillId="33" borderId="11" xfId="0" applyNumberFormat="1" applyFont="1" applyFill="1" applyBorder="1" applyAlignment="1">
      <alignment horizontal="center" wrapText="1"/>
    </xf>
    <xf numFmtId="41" fontId="40" fillId="33" borderId="11" xfId="0" applyNumberFormat="1" applyFont="1" applyFill="1" applyBorder="1" applyAlignment="1">
      <alignment horizontal="center" wrapText="1"/>
    </xf>
    <xf numFmtId="42" fontId="9" fillId="0" borderId="11" xfId="0" applyNumberFormat="1" applyFont="1" applyFill="1" applyBorder="1" applyAlignment="1">
      <alignment horizontal="center"/>
    </xf>
    <xf numFmtId="0" fontId="3" fillId="0" borderId="0" xfId="0" applyFont="1" applyFill="1"/>
    <xf numFmtId="165" fontId="3" fillId="0" borderId="0" xfId="0" applyNumberFormat="1" applyFont="1" applyFill="1"/>
    <xf numFmtId="42" fontId="3" fillId="0" borderId="0" xfId="0" applyNumberFormat="1" applyFont="1" applyFill="1"/>
    <xf numFmtId="0" fontId="20" fillId="0" borderId="0" xfId="0" applyFont="1" applyAlignment="1">
      <alignment horizontal="center"/>
    </xf>
    <xf numFmtId="0" fontId="15" fillId="0" borderId="0" xfId="0" applyFont="1" applyAlignment="1">
      <alignment horizontal="center"/>
    </xf>
    <xf numFmtId="37" fontId="15" fillId="0" borderId="0" xfId="0" applyNumberFormat="1" applyFont="1" applyAlignment="1">
      <alignment horizontal="center"/>
    </xf>
    <xf numFmtId="37" fontId="20" fillId="0" borderId="0" xfId="0" applyNumberFormat="1" applyFont="1" applyAlignment="1">
      <alignment horizontal="center"/>
    </xf>
    <xf numFmtId="37" fontId="20" fillId="0" borderId="0" xfId="0" quotePrefix="1" applyNumberFormat="1" applyFont="1" applyAlignment="1">
      <alignment horizontal="center"/>
    </xf>
    <xf numFmtId="37" fontId="20" fillId="0" borderId="0" xfId="0" applyNumberFormat="1" applyFont="1" applyBorder="1" applyAlignment="1">
      <alignment horizontal="center"/>
    </xf>
    <xf numFmtId="0" fontId="9" fillId="0" borderId="21" xfId="0" applyFont="1" applyBorder="1"/>
    <xf numFmtId="37" fontId="20" fillId="0" borderId="21" xfId="0" quotePrefix="1" applyNumberFormat="1" applyFont="1" applyBorder="1" applyAlignment="1">
      <alignment horizontal="center"/>
    </xf>
    <xf numFmtId="37" fontId="20" fillId="0" borderId="21" xfId="0" applyNumberFormat="1" applyFont="1" applyBorder="1" applyAlignment="1">
      <alignment horizontal="center"/>
    </xf>
    <xf numFmtId="0" fontId="15" fillId="0" borderId="0" xfId="0" applyFont="1" applyBorder="1" applyAlignment="1">
      <alignment horizontal="left"/>
    </xf>
    <xf numFmtId="37" fontId="20" fillId="0" borderId="0" xfId="0" quotePrefix="1" applyNumberFormat="1" applyFont="1" applyBorder="1" applyAlignment="1">
      <alignment horizontal="center"/>
    </xf>
    <xf numFmtId="0" fontId="68" fillId="0" borderId="21" xfId="0" applyFont="1" applyBorder="1"/>
    <xf numFmtId="5" fontId="5" fillId="0" borderId="0" xfId="0" applyNumberFormat="1" applyFont="1" applyBorder="1"/>
    <xf numFmtId="37" fontId="5" fillId="0" borderId="0" xfId="0" applyNumberFormat="1" applyFont="1" applyBorder="1"/>
    <xf numFmtId="37" fontId="5" fillId="0" borderId="0" xfId="0" applyNumberFormat="1" applyFont="1" applyFill="1" applyBorder="1"/>
    <xf numFmtId="5" fontId="4" fillId="0" borderId="0" xfId="0" applyNumberFormat="1" applyFont="1" applyFill="1" applyBorder="1"/>
    <xf numFmtId="37" fontId="9" fillId="0" borderId="0" xfId="0" applyNumberFormat="1" applyFont="1"/>
    <xf numFmtId="0" fontId="68" fillId="0" borderId="21" xfId="0" applyFont="1" applyBorder="1" applyAlignment="1">
      <alignment horizontal="left"/>
    </xf>
    <xf numFmtId="37" fontId="9" fillId="0" borderId="21" xfId="0" applyNumberFormat="1" applyFont="1" applyBorder="1"/>
    <xf numFmtId="37" fontId="9" fillId="0" borderId="21" xfId="0" applyNumberFormat="1" applyFont="1" applyFill="1" applyBorder="1"/>
    <xf numFmtId="5" fontId="5" fillId="0" borderId="0" xfId="0" applyNumberFormat="1" applyFont="1" applyFill="1" applyBorder="1"/>
    <xf numFmtId="0" fontId="4" fillId="0" borderId="0" xfId="0" applyFont="1" applyBorder="1" applyAlignment="1">
      <alignment horizontal="left"/>
    </xf>
    <xf numFmtId="0" fontId="15" fillId="0" borderId="0" xfId="0" applyFont="1" applyBorder="1"/>
    <xf numFmtId="0" fontId="69" fillId="0" borderId="0" xfId="0" applyFont="1" applyBorder="1"/>
    <xf numFmtId="37" fontId="5" fillId="0" borderId="21" xfId="0" applyNumberFormat="1" applyFont="1" applyBorder="1"/>
    <xf numFmtId="37" fontId="5" fillId="0" borderId="21" xfId="0" applyNumberFormat="1" applyFont="1" applyFill="1" applyBorder="1"/>
    <xf numFmtId="5" fontId="4" fillId="0" borderId="0" xfId="0" applyNumberFormat="1" applyFont="1" applyBorder="1"/>
    <xf numFmtId="0" fontId="68" fillId="0" borderId="0" xfId="0" applyFont="1" applyBorder="1"/>
    <xf numFmtId="0" fontId="69" fillId="0" borderId="21" xfId="0" applyFont="1" applyBorder="1"/>
    <xf numFmtId="0" fontId="15" fillId="0" borderId="21" xfId="0" applyFont="1" applyBorder="1"/>
    <xf numFmtId="5" fontId="15" fillId="0" borderId="21" xfId="0" applyNumberFormat="1" applyFont="1" applyBorder="1"/>
    <xf numFmtId="37" fontId="9" fillId="0" borderId="0" xfId="0" applyNumberFormat="1" applyFont="1" applyBorder="1"/>
    <xf numFmtId="0" fontId="5" fillId="0" borderId="0" xfId="0" applyFont="1" applyFill="1" applyBorder="1" applyAlignment="1"/>
    <xf numFmtId="174" fontId="5" fillId="0" borderId="0" xfId="149" applyNumberFormat="1" applyFont="1" applyFill="1"/>
    <xf numFmtId="173" fontId="5" fillId="0" borderId="0" xfId="149" applyNumberFormat="1" applyFont="1"/>
    <xf numFmtId="174" fontId="5" fillId="0" borderId="0" xfId="149" applyNumberFormat="1" applyFont="1" applyFill="1" applyBorder="1"/>
    <xf numFmtId="174" fontId="4" fillId="0" borderId="0" xfId="149" applyNumberFormat="1" applyFont="1" applyFill="1" applyBorder="1" applyAlignment="1">
      <alignment horizontal="left"/>
    </xf>
    <xf numFmtId="174" fontId="5" fillId="0" borderId="0" xfId="149" applyNumberFormat="1" applyFont="1"/>
    <xf numFmtId="10" fontId="18" fillId="0" borderId="0" xfId="149" applyNumberFormat="1" applyFont="1" applyFill="1" applyBorder="1" applyAlignment="1">
      <alignment horizontal="center"/>
    </xf>
    <xf numFmtId="10" fontId="6" fillId="0" borderId="0" xfId="149" applyNumberFormat="1" applyFont="1" applyFill="1" applyBorder="1" applyAlignment="1">
      <alignment horizontal="center"/>
    </xf>
    <xf numFmtId="42" fontId="5" fillId="0" borderId="0" xfId="93" applyNumberFormat="1" applyFont="1" applyFill="1"/>
    <xf numFmtId="43" fontId="18" fillId="0" borderId="0" xfId="69" applyFont="1" applyFill="1"/>
    <xf numFmtId="43" fontId="9" fillId="0" borderId="0" xfId="69" applyFont="1" applyFill="1" applyBorder="1" applyAlignment="1">
      <alignment horizontal="left"/>
    </xf>
    <xf numFmtId="165" fontId="40" fillId="0" borderId="11" xfId="0" applyNumberFormat="1" applyFont="1" applyFill="1" applyBorder="1"/>
    <xf numFmtId="43" fontId="41" fillId="0" borderId="0" xfId="69" applyFont="1" applyFill="1"/>
    <xf numFmtId="0" fontId="45" fillId="0" borderId="0" xfId="0" applyFont="1" applyAlignment="1">
      <alignment horizontal="center"/>
    </xf>
    <xf numFmtId="0" fontId="9" fillId="27" borderId="15" xfId="0" applyFont="1" applyFill="1" applyBorder="1"/>
    <xf numFmtId="0" fontId="47" fillId="0" borderId="0" xfId="0" applyFont="1" applyBorder="1"/>
    <xf numFmtId="0" fontId="48" fillId="0" borderId="23" xfId="0" applyFont="1" applyFill="1" applyBorder="1"/>
    <xf numFmtId="0" fontId="47" fillId="0" borderId="0" xfId="0" applyFont="1"/>
    <xf numFmtId="0" fontId="48" fillId="0" borderId="34" xfId="0" applyFont="1" applyFill="1" applyBorder="1"/>
    <xf numFmtId="0" fontId="48" fillId="0" borderId="67" xfId="0" applyFont="1" applyFill="1" applyBorder="1"/>
    <xf numFmtId="42" fontId="9" fillId="0" borderId="33" xfId="149" applyNumberFormat="1" applyFont="1" applyFill="1" applyBorder="1" applyAlignment="1">
      <alignment horizontal="left"/>
    </xf>
    <xf numFmtId="42" fontId="9" fillId="0" borderId="29" xfId="149" applyNumberFormat="1" applyFont="1" applyFill="1" applyBorder="1" applyAlignment="1">
      <alignment horizontal="left"/>
    </xf>
    <xf numFmtId="42" fontId="9" fillId="0" borderId="61" xfId="149" applyNumberFormat="1" applyFont="1" applyFill="1" applyBorder="1" applyAlignment="1">
      <alignment horizontal="left"/>
    </xf>
    <xf numFmtId="42" fontId="9" fillId="0" borderId="48" xfId="149" applyNumberFormat="1" applyFont="1" applyFill="1" applyBorder="1" applyAlignment="1">
      <alignment horizontal="left"/>
    </xf>
    <xf numFmtId="42" fontId="9" fillId="0" borderId="43" xfId="149" applyNumberFormat="1" applyFont="1" applyFill="1" applyBorder="1" applyAlignment="1">
      <alignment horizontal="left"/>
    </xf>
    <xf numFmtId="42" fontId="15" fillId="0" borderId="27" xfId="149" applyNumberFormat="1" applyFont="1" applyFill="1" applyBorder="1" applyAlignment="1">
      <alignment horizontal="right"/>
    </xf>
    <xf numFmtId="42" fontId="9" fillId="0" borderId="79" xfId="149" applyNumberFormat="1" applyFont="1" applyFill="1" applyBorder="1" applyAlignment="1">
      <alignment horizontal="left"/>
    </xf>
    <xf numFmtId="42" fontId="9" fillId="0" borderId="77" xfId="149" applyNumberFormat="1" applyFont="1" applyFill="1" applyBorder="1" applyAlignment="1">
      <alignment horizontal="left"/>
    </xf>
    <xf numFmtId="42" fontId="9" fillId="0" borderId="14" xfId="149" applyNumberFormat="1" applyFont="1" applyFill="1" applyBorder="1" applyAlignment="1">
      <alignment horizontal="left"/>
    </xf>
    <xf numFmtId="42" fontId="15" fillId="27" borderId="60" xfId="93" applyNumberFormat="1" applyFont="1" applyFill="1" applyBorder="1" applyAlignment="1">
      <alignment horizontal="left"/>
    </xf>
    <xf numFmtId="42" fontId="15" fillId="27" borderId="20" xfId="93" applyNumberFormat="1" applyFont="1" applyFill="1" applyBorder="1" applyAlignment="1">
      <alignment horizontal="left"/>
    </xf>
    <xf numFmtId="42" fontId="9" fillId="0" borderId="50" xfId="149" applyNumberFormat="1" applyFont="1" applyFill="1" applyBorder="1" applyAlignment="1">
      <alignment horizontal="left"/>
    </xf>
    <xf numFmtId="42" fontId="9" fillId="0" borderId="52" xfId="149" applyNumberFormat="1" applyFont="1" applyFill="1" applyBorder="1" applyAlignment="1">
      <alignment horizontal="left"/>
    </xf>
    <xf numFmtId="42" fontId="9" fillId="0" borderId="53" xfId="149" applyNumberFormat="1" applyFont="1" applyFill="1" applyBorder="1" applyAlignment="1">
      <alignment horizontal="left"/>
    </xf>
    <xf numFmtId="42" fontId="9" fillId="0" borderId="59" xfId="149" applyNumberFormat="1" applyFont="1" applyFill="1" applyBorder="1" applyAlignment="1">
      <alignment horizontal="left"/>
    </xf>
    <xf numFmtId="42" fontId="9" fillId="0" borderId="76" xfId="149" applyNumberFormat="1" applyFont="1" applyFill="1" applyBorder="1" applyAlignment="1">
      <alignment horizontal="left"/>
    </xf>
    <xf numFmtId="42" fontId="9" fillId="0" borderId="67" xfId="149" applyNumberFormat="1" applyFont="1" applyFill="1" applyBorder="1" applyAlignment="1">
      <alignment horizontal="left"/>
    </xf>
    <xf numFmtId="42" fontId="9" fillId="0" borderId="47" xfId="149" applyNumberFormat="1" applyFont="1" applyFill="1" applyBorder="1" applyAlignment="1">
      <alignment horizontal="left"/>
    </xf>
    <xf numFmtId="42" fontId="9" fillId="0" borderId="57" xfId="149" applyNumberFormat="1" applyFont="1" applyFill="1" applyBorder="1" applyAlignment="1">
      <alignment horizontal="left"/>
    </xf>
    <xf numFmtId="42" fontId="15" fillId="0" borderId="49" xfId="149" applyNumberFormat="1" applyFont="1" applyFill="1" applyBorder="1" applyAlignment="1">
      <alignment horizontal="right"/>
    </xf>
    <xf numFmtId="42" fontId="15" fillId="0" borderId="24" xfId="149" applyNumberFormat="1" applyFont="1" applyFill="1" applyBorder="1" applyAlignment="1">
      <alignment horizontal="left"/>
    </xf>
    <xf numFmtId="42" fontId="9" fillId="0" borderId="36" xfId="149" applyNumberFormat="1" applyFont="1" applyFill="1" applyBorder="1" applyAlignment="1">
      <alignment horizontal="left"/>
    </xf>
    <xf numFmtId="42" fontId="9" fillId="0" borderId="60" xfId="149" applyNumberFormat="1" applyFont="1" applyFill="1" applyBorder="1" applyAlignment="1">
      <alignment horizontal="left"/>
    </xf>
    <xf numFmtId="42" fontId="9" fillId="0" borderId="80" xfId="149" applyNumberFormat="1" applyFont="1" applyFill="1" applyBorder="1" applyAlignment="1">
      <alignment horizontal="left"/>
    </xf>
    <xf numFmtId="42" fontId="15" fillId="0" borderId="49" xfId="149" applyNumberFormat="1" applyFont="1" applyFill="1" applyBorder="1" applyAlignment="1">
      <alignment horizontal="left"/>
    </xf>
    <xf numFmtId="42" fontId="15" fillId="0" borderId="27" xfId="149" applyNumberFormat="1" applyFont="1" applyFill="1" applyBorder="1" applyAlignment="1">
      <alignment horizontal="left"/>
    </xf>
    <xf numFmtId="42" fontId="15" fillId="0" borderId="28" xfId="149" applyNumberFormat="1" applyFont="1" applyFill="1" applyBorder="1" applyAlignment="1">
      <alignment horizontal="left"/>
    </xf>
    <xf numFmtId="42" fontId="9" fillId="0" borderId="81" xfId="149" applyNumberFormat="1" applyFont="1" applyFill="1" applyBorder="1" applyAlignment="1">
      <alignment horizontal="left"/>
    </xf>
    <xf numFmtId="9" fontId="0" fillId="0" borderId="0" xfId="149" applyFont="1"/>
    <xf numFmtId="42" fontId="41" fillId="0" borderId="0" xfId="0" applyNumberFormat="1" applyFont="1" applyFill="1"/>
    <xf numFmtId="165" fontId="9" fillId="0" borderId="47" xfId="93" applyNumberFormat="1" applyFont="1" applyBorder="1" applyAlignment="1">
      <alignment horizontal="center"/>
    </xf>
    <xf numFmtId="10" fontId="5" fillId="0" borderId="0" xfId="149" applyNumberFormat="1" applyFont="1" applyFill="1" applyBorder="1"/>
    <xf numFmtId="0" fontId="15" fillId="0" borderId="35" xfId="0" applyFont="1" applyFill="1" applyBorder="1" applyAlignment="1"/>
    <xf numFmtId="165" fontId="15" fillId="0" borderId="49" xfId="93" applyNumberFormat="1" applyFont="1" applyFill="1" applyBorder="1" applyAlignment="1">
      <alignment horizontal="center"/>
    </xf>
    <xf numFmtId="0" fontId="25" fillId="0" borderId="0" xfId="0" applyFont="1" applyFill="1" applyAlignment="1">
      <alignment horizontal="center"/>
    </xf>
    <xf numFmtId="0" fontId="25" fillId="0" borderId="0" xfId="0" applyFont="1" applyFill="1" applyAlignment="1">
      <alignment wrapText="1"/>
    </xf>
    <xf numFmtId="44" fontId="5" fillId="0" borderId="0" xfId="0" applyNumberFormat="1" applyFont="1" applyBorder="1" applyAlignment="1">
      <alignment horizontal="center"/>
    </xf>
    <xf numFmtId="188" fontId="18" fillId="0" borderId="0" xfId="69" applyNumberFormat="1" applyFont="1" applyFill="1"/>
    <xf numFmtId="1" fontId="37" fillId="0" borderId="0" xfId="0" applyNumberFormat="1" applyFont="1" applyFill="1" applyAlignment="1">
      <alignment horizontal="center"/>
    </xf>
    <xf numFmtId="0" fontId="41" fillId="0" borderId="0" xfId="0" applyFont="1" applyFill="1" applyAlignment="1">
      <alignment horizontal="center"/>
    </xf>
    <xf numFmtId="164" fontId="3" fillId="0" borderId="0" xfId="69" applyNumberFormat="1" applyFont="1" applyFill="1"/>
    <xf numFmtId="169" fontId="0" fillId="0" borderId="0" xfId="69" applyNumberFormat="1" applyFont="1"/>
    <xf numFmtId="1" fontId="0" fillId="0" borderId="0" xfId="0" applyNumberFormat="1"/>
    <xf numFmtId="3" fontId="37" fillId="0" borderId="0" xfId="0" applyNumberFormat="1" applyFont="1" applyFill="1"/>
    <xf numFmtId="3" fontId="17" fillId="0" borderId="43" xfId="0" applyNumberFormat="1" applyFont="1" applyFill="1" applyBorder="1" applyAlignment="1">
      <alignment horizontal="center" wrapText="1"/>
    </xf>
    <xf numFmtId="3" fontId="17" fillId="0" borderId="29" xfId="69" applyNumberFormat="1" applyFont="1" applyFill="1" applyBorder="1" applyAlignment="1">
      <alignment horizontal="center"/>
    </xf>
    <xf numFmtId="3" fontId="40" fillId="0" borderId="11" xfId="69" applyNumberFormat="1" applyFont="1" applyFill="1" applyBorder="1"/>
    <xf numFmtId="3" fontId="17" fillId="0" borderId="0" xfId="0" applyNumberFormat="1" applyFont="1" applyFill="1" applyBorder="1"/>
    <xf numFmtId="3" fontId="17" fillId="0" borderId="50" xfId="0" applyNumberFormat="1" applyFont="1" applyFill="1" applyBorder="1" applyAlignment="1">
      <alignment horizontal="center"/>
    </xf>
    <xf numFmtId="3" fontId="17" fillId="0" borderId="27" xfId="0" applyNumberFormat="1" applyFont="1" applyFill="1" applyBorder="1"/>
    <xf numFmtId="3" fontId="17" fillId="0" borderId="62" xfId="0" applyNumberFormat="1" applyFont="1" applyFill="1" applyBorder="1"/>
    <xf numFmtId="3" fontId="17" fillId="0" borderId="44" xfId="0" applyNumberFormat="1" applyFont="1" applyFill="1" applyBorder="1" applyAlignment="1">
      <alignment horizontal="center" wrapText="1"/>
    </xf>
    <xf numFmtId="3" fontId="17" fillId="0" borderId="29" xfId="0" applyNumberFormat="1" applyFont="1" applyFill="1" applyBorder="1" applyAlignment="1">
      <alignment horizontal="center" wrapText="1"/>
    </xf>
    <xf numFmtId="3" fontId="17" fillId="0" borderId="48" xfId="0" applyNumberFormat="1" applyFont="1" applyFill="1" applyBorder="1" applyAlignment="1">
      <alignment horizontal="center" wrapText="1"/>
    </xf>
    <xf numFmtId="3" fontId="17" fillId="0" borderId="43" xfId="69" applyNumberFormat="1" applyFont="1" applyFill="1" applyBorder="1" applyAlignment="1">
      <alignment horizontal="right"/>
    </xf>
    <xf numFmtId="3" fontId="17" fillId="0" borderId="29" xfId="69" applyNumberFormat="1" applyFont="1" applyFill="1" applyBorder="1" applyAlignment="1">
      <alignment horizontal="right"/>
    </xf>
    <xf numFmtId="3" fontId="17" fillId="0" borderId="44" xfId="69" applyNumberFormat="1" applyFont="1" applyFill="1" applyBorder="1" applyAlignment="1">
      <alignment horizontal="right"/>
    </xf>
    <xf numFmtId="3" fontId="17" fillId="0" borderId="27" xfId="0" applyNumberFormat="1" applyFont="1" applyFill="1" applyBorder="1" applyAlignment="1">
      <alignment horizontal="center" wrapText="1"/>
    </xf>
    <xf numFmtId="3" fontId="17" fillId="0" borderId="48" xfId="69" applyNumberFormat="1" applyFont="1" applyFill="1" applyBorder="1" applyAlignment="1">
      <alignment horizontal="right"/>
    </xf>
    <xf numFmtId="3" fontId="40" fillId="0" borderId="11" xfId="69" applyNumberFormat="1" applyFont="1" applyFill="1" applyBorder="1" applyAlignment="1">
      <alignment horizontal="right"/>
    </xf>
    <xf numFmtId="3" fontId="41" fillId="0" borderId="0" xfId="0" applyNumberFormat="1" applyFont="1" applyFill="1"/>
    <xf numFmtId="3" fontId="3" fillId="0" borderId="0" xfId="0" applyNumberFormat="1" applyFont="1" applyFill="1"/>
    <xf numFmtId="44" fontId="3" fillId="0" borderId="0" xfId="0" applyNumberFormat="1" applyFont="1" applyFill="1"/>
    <xf numFmtId="43" fontId="3" fillId="0" borderId="0" xfId="0" applyNumberFormat="1" applyFont="1" applyFill="1"/>
    <xf numFmtId="1" fontId="3" fillId="0" borderId="0" xfId="0" applyNumberFormat="1" applyFont="1" applyFill="1" applyAlignment="1">
      <alignment horizontal="center"/>
    </xf>
    <xf numFmtId="43" fontId="3" fillId="0" borderId="0" xfId="69" applyFont="1" applyFill="1"/>
    <xf numFmtId="9" fontId="18" fillId="0" borderId="0" xfId="149" applyFont="1" applyFill="1"/>
    <xf numFmtId="175" fontId="6" fillId="0" borderId="0" xfId="149" applyNumberFormat="1" applyFont="1" applyFill="1"/>
    <xf numFmtId="175" fontId="6" fillId="0" borderId="0" xfId="149" applyNumberFormat="1" applyFont="1"/>
    <xf numFmtId="177" fontId="6" fillId="0" borderId="0" xfId="149" applyNumberFormat="1" applyFont="1" applyFill="1"/>
    <xf numFmtId="177" fontId="6" fillId="0" borderId="0" xfId="149" applyNumberFormat="1" applyFont="1"/>
    <xf numFmtId="177" fontId="6" fillId="0" borderId="0" xfId="0" applyNumberFormat="1" applyFont="1"/>
    <xf numFmtId="10" fontId="6" fillId="0" borderId="0" xfId="0" applyNumberFormat="1" applyFont="1" applyBorder="1"/>
    <xf numFmtId="44" fontId="18" fillId="0" borderId="0" xfId="0" applyNumberFormat="1" applyFont="1" applyAlignment="1">
      <alignment horizontal="center"/>
    </xf>
    <xf numFmtId="10" fontId="9" fillId="0" borderId="0" xfId="149" applyNumberFormat="1" applyFont="1" applyFill="1" applyBorder="1" applyAlignment="1">
      <alignment horizontal="left"/>
    </xf>
    <xf numFmtId="166" fontId="18" fillId="0" borderId="0" xfId="69" applyNumberFormat="1" applyFont="1" applyFill="1" applyBorder="1" applyAlignment="1">
      <alignment horizontal="center"/>
    </xf>
    <xf numFmtId="166" fontId="6" fillId="0" borderId="0" xfId="0" applyNumberFormat="1" applyFont="1" applyFill="1"/>
    <xf numFmtId="166" fontId="6" fillId="0" borderId="0" xfId="0" applyNumberFormat="1" applyFont="1"/>
    <xf numFmtId="166" fontId="6" fillId="0" borderId="0" xfId="0" applyNumberFormat="1" applyFont="1" applyFill="1" applyBorder="1"/>
    <xf numFmtId="166" fontId="6" fillId="0" borderId="0" xfId="0" applyNumberFormat="1" applyFont="1" applyBorder="1"/>
    <xf numFmtId="173" fontId="6" fillId="0" borderId="0" xfId="149" applyNumberFormat="1" applyFont="1" applyFill="1" applyBorder="1" applyAlignment="1">
      <alignment horizontal="center"/>
    </xf>
    <xf numFmtId="0" fontId="15" fillId="0" borderId="0" xfId="0" applyFont="1" applyAlignment="1"/>
    <xf numFmtId="192" fontId="0" fillId="0" borderId="0" xfId="0" applyNumberFormat="1"/>
    <xf numFmtId="165" fontId="15" fillId="0" borderId="28" xfId="93" applyNumberFormat="1" applyFont="1" applyFill="1" applyBorder="1" applyAlignment="1">
      <alignment horizontal="center"/>
    </xf>
    <xf numFmtId="165" fontId="9" fillId="0" borderId="33" xfId="93" applyNumberFormat="1" applyFont="1" applyFill="1" applyBorder="1" applyAlignment="1">
      <alignment horizontal="center"/>
    </xf>
    <xf numFmtId="165" fontId="9" fillId="0" borderId="56" xfId="93" applyNumberFormat="1" applyFont="1" applyFill="1" applyBorder="1" applyAlignment="1">
      <alignment horizontal="center"/>
    </xf>
    <xf numFmtId="165" fontId="9" fillId="0" borderId="82" xfId="93" applyNumberFormat="1" applyFont="1" applyFill="1" applyBorder="1" applyAlignment="1">
      <alignment horizontal="center"/>
    </xf>
    <xf numFmtId="10" fontId="6" fillId="0" borderId="83" xfId="149" applyNumberFormat="1" applyFont="1" applyBorder="1"/>
    <xf numFmtId="0" fontId="6" fillId="0" borderId="83" xfId="0" applyFont="1" applyBorder="1"/>
    <xf numFmtId="42" fontId="14" fillId="0" borderId="0" xfId="0" applyNumberFormat="1" applyFont="1" applyFill="1"/>
    <xf numFmtId="42" fontId="14" fillId="0" borderId="0" xfId="0" applyNumberFormat="1" applyFont="1" applyBorder="1"/>
    <xf numFmtId="186" fontId="6" fillId="0" borderId="0" xfId="149" applyNumberFormat="1" applyFont="1"/>
    <xf numFmtId="42" fontId="6" fillId="0" borderId="0" xfId="149" applyNumberFormat="1" applyFont="1"/>
    <xf numFmtId="42" fontId="14" fillId="0" borderId="0" xfId="0" applyNumberFormat="1" applyFont="1" applyFill="1" applyBorder="1"/>
    <xf numFmtId="165" fontId="14" fillId="0" borderId="0" xfId="0" applyNumberFormat="1" applyFont="1" applyFill="1" applyBorder="1" applyAlignment="1">
      <alignment horizontal="right"/>
    </xf>
    <xf numFmtId="37" fontId="6" fillId="0" borderId="0" xfId="0" applyNumberFormat="1" applyFont="1"/>
    <xf numFmtId="42" fontId="6" fillId="0" borderId="0" xfId="0" applyNumberFormat="1" applyFont="1" applyBorder="1"/>
    <xf numFmtId="44" fontId="6" fillId="0" borderId="0" xfId="0" applyNumberFormat="1" applyFont="1" applyBorder="1"/>
    <xf numFmtId="1" fontId="6" fillId="0" borderId="0" xfId="149" applyNumberFormat="1" applyFont="1" applyFill="1" applyAlignment="1">
      <alignment horizontal="center"/>
    </xf>
    <xf numFmtId="2" fontId="6" fillId="0" borderId="0" xfId="149" applyNumberFormat="1" applyFont="1" applyFill="1"/>
    <xf numFmtId="1" fontId="6" fillId="0" borderId="0" xfId="149" applyNumberFormat="1" applyFont="1" applyFill="1"/>
    <xf numFmtId="1" fontId="18" fillId="0" borderId="0" xfId="69" applyNumberFormat="1" applyFont="1" applyFill="1" applyBorder="1" applyAlignment="1">
      <alignment horizontal="center"/>
    </xf>
    <xf numFmtId="1" fontId="6" fillId="0" borderId="0" xfId="0" applyNumberFormat="1" applyFont="1"/>
    <xf numFmtId="1" fontId="6" fillId="0" borderId="0" xfId="0" applyNumberFormat="1" applyFont="1" applyFill="1" applyBorder="1" applyAlignment="1">
      <alignment horizontal="center"/>
    </xf>
    <xf numFmtId="1" fontId="6" fillId="0" borderId="0" xfId="0" applyNumberFormat="1" applyFont="1" applyBorder="1"/>
    <xf numFmtId="1" fontId="6" fillId="0" borderId="0" xfId="0" applyNumberFormat="1" applyFont="1" applyFill="1" applyAlignment="1">
      <alignment horizontal="center"/>
    </xf>
    <xf numFmtId="1" fontId="6" fillId="0" borderId="0" xfId="149" applyNumberFormat="1" applyFont="1" applyFill="1" applyBorder="1" applyAlignment="1">
      <alignment horizontal="center"/>
    </xf>
    <xf numFmtId="42" fontId="9" fillId="0" borderId="23" xfId="0" applyNumberFormat="1" applyFont="1" applyFill="1" applyBorder="1" applyAlignment="1">
      <alignment horizontal="center"/>
    </xf>
    <xf numFmtId="42" fontId="9" fillId="0" borderId="34" xfId="0" applyNumberFormat="1" applyFont="1" applyFill="1" applyBorder="1" applyAlignment="1">
      <alignment horizontal="center"/>
    </xf>
    <xf numFmtId="42" fontId="9" fillId="0" borderId="34" xfId="69" applyNumberFormat="1" applyFont="1" applyFill="1" applyBorder="1" applyAlignment="1">
      <alignment horizontal="center"/>
    </xf>
    <xf numFmtId="0" fontId="9" fillId="0" borderId="72" xfId="0" applyFont="1" applyFill="1" applyBorder="1" applyAlignment="1">
      <alignment horizontal="left"/>
    </xf>
    <xf numFmtId="42" fontId="9" fillId="0" borderId="58" xfId="69" applyNumberFormat="1" applyFont="1" applyFill="1" applyBorder="1" applyAlignment="1">
      <alignment horizontal="center"/>
    </xf>
    <xf numFmtId="0" fontId="9" fillId="0" borderId="17" xfId="0" applyFont="1" applyFill="1" applyBorder="1" applyAlignment="1"/>
    <xf numFmtId="0" fontId="9" fillId="0" borderId="35" xfId="0" applyFont="1" applyFill="1" applyBorder="1" applyAlignment="1">
      <alignment horizontal="left" indent="1"/>
    </xf>
    <xf numFmtId="42" fontId="15" fillId="27" borderId="19" xfId="93" applyNumberFormat="1" applyFont="1" applyFill="1" applyBorder="1" applyAlignment="1">
      <alignment horizontal="left"/>
    </xf>
    <xf numFmtId="42" fontId="9" fillId="0" borderId="29" xfId="0" applyNumberFormat="1" applyFont="1" applyFill="1" applyBorder="1"/>
    <xf numFmtId="176" fontId="0" fillId="0" borderId="0" xfId="0" applyNumberFormat="1" applyFill="1" applyBorder="1"/>
    <xf numFmtId="0" fontId="14" fillId="0" borderId="0" xfId="0" applyFont="1" applyFill="1" applyBorder="1" applyAlignment="1">
      <alignment horizontal="center"/>
    </xf>
    <xf numFmtId="44" fontId="18" fillId="0" borderId="0" xfId="0" applyNumberFormat="1" applyFont="1" applyFill="1" applyAlignment="1">
      <alignment horizontal="center"/>
    </xf>
    <xf numFmtId="1" fontId="17" fillId="0" borderId="50" xfId="0" applyNumberFormat="1" applyFont="1" applyFill="1" applyBorder="1" applyAlignment="1">
      <alignment horizontal="center" wrapText="1"/>
    </xf>
    <xf numFmtId="1" fontId="5" fillId="0" borderId="0" xfId="0" applyNumberFormat="1" applyFont="1" applyBorder="1"/>
    <xf numFmtId="1" fontId="9" fillId="0" borderId="21" xfId="0" applyNumberFormat="1" applyFont="1" applyBorder="1"/>
    <xf numFmtId="1" fontId="5" fillId="0" borderId="21" xfId="0" applyNumberFormat="1" applyFont="1" applyBorder="1"/>
    <xf numFmtId="169" fontId="5" fillId="0" borderId="0" xfId="0" applyNumberFormat="1" applyFont="1" applyFill="1" applyBorder="1"/>
    <xf numFmtId="169" fontId="4" fillId="0" borderId="0" xfId="0" applyNumberFormat="1" applyFont="1" applyFill="1" applyBorder="1"/>
    <xf numFmtId="3" fontId="0" fillId="0" borderId="0" xfId="69" applyNumberFormat="1" applyFont="1"/>
    <xf numFmtId="3" fontId="5" fillId="0" borderId="0" xfId="0" applyNumberFormat="1" applyFont="1" applyBorder="1"/>
    <xf numFmtId="3" fontId="9" fillId="0" borderId="21" xfId="0" applyNumberFormat="1" applyFont="1" applyBorder="1"/>
    <xf numFmtId="3" fontId="9" fillId="0" borderId="21" xfId="0" applyNumberFormat="1" applyFont="1" applyFill="1" applyBorder="1"/>
    <xf numFmtId="3" fontId="5" fillId="0" borderId="21" xfId="0" applyNumberFormat="1" applyFont="1" applyBorder="1"/>
    <xf numFmtId="3" fontId="5" fillId="0" borderId="21" xfId="0" applyNumberFormat="1" applyFont="1" applyFill="1" applyBorder="1"/>
    <xf numFmtId="169" fontId="5" fillId="0" borderId="0" xfId="0" applyNumberFormat="1" applyFont="1" applyBorder="1"/>
    <xf numFmtId="169" fontId="4" fillId="0" borderId="0" xfId="0" applyNumberFormat="1" applyFont="1"/>
    <xf numFmtId="169" fontId="9" fillId="0" borderId="0" xfId="0" applyNumberFormat="1" applyFont="1"/>
    <xf numFmtId="169" fontId="5" fillId="0" borderId="21" xfId="0" applyNumberFormat="1" applyFont="1" applyBorder="1"/>
    <xf numFmtId="169" fontId="9" fillId="0" borderId="21" xfId="0" applyNumberFormat="1" applyFont="1" applyBorder="1"/>
    <xf numFmtId="42" fontId="37" fillId="0" borderId="0" xfId="0" applyNumberFormat="1" applyFont="1" applyFill="1" applyAlignment="1">
      <alignment horizontal="center"/>
    </xf>
    <xf numFmtId="42" fontId="9" fillId="0" borderId="20" xfId="149" applyNumberFormat="1" applyFont="1" applyFill="1" applyBorder="1" applyAlignment="1">
      <alignment horizontal="left"/>
    </xf>
    <xf numFmtId="42" fontId="15" fillId="0" borderId="13" xfId="149" applyNumberFormat="1" applyFont="1" applyFill="1" applyBorder="1" applyAlignment="1">
      <alignment horizontal="left"/>
    </xf>
    <xf numFmtId="41" fontId="17" fillId="0" borderId="51" xfId="0" applyNumberFormat="1" applyFont="1" applyFill="1" applyBorder="1" applyAlignment="1">
      <alignment horizontal="right" wrapText="1"/>
    </xf>
    <xf numFmtId="41" fontId="17" fillId="0" borderId="44" xfId="0" applyNumberFormat="1" applyFont="1" applyFill="1" applyBorder="1" applyAlignment="1">
      <alignment horizontal="right" wrapText="1"/>
    </xf>
    <xf numFmtId="3" fontId="9" fillId="0" borderId="29" xfId="0" applyNumberFormat="1" applyFont="1" applyFill="1" applyBorder="1" applyAlignment="1">
      <alignment horizontal="center"/>
    </xf>
    <xf numFmtId="3" fontId="9" fillId="0" borderId="29" xfId="0" applyNumberFormat="1" applyFont="1" applyFill="1" applyBorder="1" applyAlignment="1">
      <alignment horizontal="right"/>
    </xf>
    <xf numFmtId="42" fontId="40" fillId="0" borderId="27" xfId="69" applyNumberFormat="1" applyFont="1" applyFill="1" applyBorder="1" applyAlignment="1">
      <alignment horizontal="center" wrapText="1"/>
    </xf>
    <xf numFmtId="3" fontId="17" fillId="0" borderId="51" xfId="0" applyNumberFormat="1" applyFont="1" applyFill="1" applyBorder="1" applyAlignment="1">
      <alignment horizontal="center" wrapText="1"/>
    </xf>
    <xf numFmtId="0" fontId="70" fillId="0" borderId="51" xfId="0" applyFont="1" applyFill="1" applyBorder="1" applyAlignment="1">
      <alignment horizontal="center" wrapText="1"/>
    </xf>
    <xf numFmtId="3" fontId="9" fillId="0" borderId="43" xfId="0" applyNumberFormat="1" applyFont="1" applyFill="1" applyBorder="1" applyAlignment="1">
      <alignment horizontal="center"/>
    </xf>
    <xf numFmtId="0" fontId="70" fillId="0" borderId="43" xfId="0" applyFont="1" applyFill="1" applyBorder="1" applyAlignment="1">
      <alignment horizontal="center" wrapText="1"/>
    </xf>
    <xf numFmtId="0" fontId="70" fillId="0" borderId="29" xfId="0" applyFont="1" applyFill="1" applyBorder="1" applyAlignment="1">
      <alignment horizontal="center" wrapText="1"/>
    </xf>
    <xf numFmtId="1" fontId="9" fillId="0" borderId="29" xfId="0" applyNumberFormat="1" applyFont="1" applyFill="1" applyBorder="1" applyAlignment="1">
      <alignment horizontal="center"/>
    </xf>
    <xf numFmtId="37" fontId="9" fillId="0" borderId="29" xfId="0" applyNumberFormat="1" applyFont="1" applyFill="1" applyBorder="1"/>
    <xf numFmtId="42" fontId="9" fillId="0" borderId="29" xfId="0" applyNumberFormat="1" applyFont="1" applyBorder="1" applyAlignment="1">
      <alignment horizontal="center"/>
    </xf>
    <xf numFmtId="0" fontId="9" fillId="0" borderId="48" xfId="0" applyFont="1" applyFill="1" applyBorder="1" applyAlignment="1">
      <alignment horizontal="left"/>
    </xf>
    <xf numFmtId="42" fontId="9" fillId="0" borderId="48" xfId="69" applyNumberFormat="1" applyFont="1" applyFill="1" applyBorder="1" applyAlignment="1">
      <alignment horizontal="center"/>
    </xf>
    <xf numFmtId="42" fontId="9" fillId="0" borderId="48" xfId="0" applyNumberFormat="1" applyFont="1" applyFill="1" applyBorder="1" applyAlignment="1">
      <alignment horizontal="center"/>
    </xf>
    <xf numFmtId="42" fontId="9" fillId="0" borderId="48" xfId="0" applyNumberFormat="1" applyFont="1" applyBorder="1" applyAlignment="1">
      <alignment horizontal="center"/>
    </xf>
    <xf numFmtId="165" fontId="21" fillId="0" borderId="29" xfId="93" applyNumberFormat="1" applyFont="1" applyFill="1" applyBorder="1" applyAlignment="1">
      <alignment horizontal="center"/>
    </xf>
    <xf numFmtId="165" fontId="21" fillId="0" borderId="50" xfId="93" applyNumberFormat="1" applyFont="1" applyFill="1" applyBorder="1" applyAlignment="1">
      <alignment horizontal="center"/>
    </xf>
    <xf numFmtId="165" fontId="48" fillId="0" borderId="52" xfId="93" applyNumberFormat="1" applyFont="1" applyFill="1" applyBorder="1" applyAlignment="1">
      <alignment horizontal="center"/>
    </xf>
    <xf numFmtId="165" fontId="48" fillId="0" borderId="53" xfId="93" applyNumberFormat="1" applyFont="1" applyFill="1" applyBorder="1" applyAlignment="1">
      <alignment horizontal="center"/>
    </xf>
    <xf numFmtId="165" fontId="21" fillId="0" borderId="48" xfId="93" applyNumberFormat="1" applyFont="1" applyFill="1" applyBorder="1" applyAlignment="1">
      <alignment horizontal="center"/>
    </xf>
    <xf numFmtId="165" fontId="48" fillId="0" borderId="47" xfId="93" applyNumberFormat="1" applyFont="1" applyFill="1" applyBorder="1" applyAlignment="1">
      <alignment horizontal="center"/>
    </xf>
    <xf numFmtId="0" fontId="15" fillId="27" borderId="49" xfId="0" applyFont="1" applyFill="1" applyBorder="1" applyAlignment="1">
      <alignment horizontal="left"/>
    </xf>
    <xf numFmtId="42" fontId="15" fillId="27" borderId="27" xfId="69" quotePrefix="1" applyNumberFormat="1" applyFont="1" applyFill="1" applyBorder="1" applyAlignment="1">
      <alignment horizontal="center"/>
    </xf>
    <xf numFmtId="42" fontId="15" fillId="27" borderId="28" xfId="69" quotePrefix="1" applyNumberFormat="1" applyFont="1" applyFill="1" applyBorder="1" applyAlignment="1">
      <alignment horizontal="center"/>
    </xf>
    <xf numFmtId="0" fontId="9" fillId="0" borderId="74" xfId="0" applyFont="1" applyFill="1" applyBorder="1" applyAlignment="1"/>
    <xf numFmtId="165" fontId="9" fillId="0" borderId="48" xfId="93" applyNumberFormat="1" applyFont="1" applyFill="1" applyBorder="1" applyAlignment="1">
      <alignment horizontal="center"/>
    </xf>
    <xf numFmtId="165" fontId="9" fillId="0" borderId="57" xfId="93" applyNumberFormat="1" applyFont="1" applyBorder="1" applyAlignment="1">
      <alignment horizontal="center"/>
    </xf>
    <xf numFmtId="42" fontId="15" fillId="27" borderId="49" xfId="93" applyNumberFormat="1" applyFont="1" applyFill="1" applyBorder="1" applyAlignment="1">
      <alignment horizontal="left"/>
    </xf>
    <xf numFmtId="42" fontId="15" fillId="27" borderId="27" xfId="93" applyNumberFormat="1" applyFont="1" applyFill="1" applyBorder="1" applyAlignment="1">
      <alignment horizontal="left"/>
    </xf>
    <xf numFmtId="42" fontId="15" fillId="27" borderId="28" xfId="93" applyNumberFormat="1" applyFont="1" applyFill="1" applyBorder="1" applyAlignment="1">
      <alignment horizontal="left"/>
    </xf>
    <xf numFmtId="0" fontId="9" fillId="0" borderId="15" xfId="0" applyFont="1" applyFill="1" applyBorder="1" applyAlignment="1">
      <alignment horizontal="left" indent="1"/>
    </xf>
    <xf numFmtId="42" fontId="9" fillId="0" borderId="15" xfId="0" applyNumberFormat="1" applyFont="1" applyFill="1" applyBorder="1" applyAlignment="1">
      <alignment horizontal="center"/>
    </xf>
    <xf numFmtId="165" fontId="15" fillId="27" borderId="28" xfId="93" applyNumberFormat="1" applyFont="1" applyFill="1" applyBorder="1" applyAlignment="1">
      <alignment horizontal="center"/>
    </xf>
    <xf numFmtId="42" fontId="43" fillId="0" borderId="0" xfId="0" applyNumberFormat="1" applyFont="1"/>
    <xf numFmtId="166" fontId="43" fillId="0" borderId="0" xfId="0" applyNumberFormat="1" applyFont="1" applyAlignment="1">
      <alignment horizontal="right"/>
    </xf>
    <xf numFmtId="165" fontId="15" fillId="0" borderId="0" xfId="93" applyNumberFormat="1" applyFont="1" applyFill="1" applyBorder="1" applyAlignment="1">
      <alignment horizontal="left"/>
    </xf>
    <xf numFmtId="42" fontId="9" fillId="0" borderId="82" xfId="149" applyNumberFormat="1" applyFont="1" applyFill="1" applyBorder="1" applyAlignment="1">
      <alignment horizontal="left"/>
    </xf>
    <xf numFmtId="42" fontId="15" fillId="0" borderId="43" xfId="149" applyNumberFormat="1" applyFont="1" applyFill="1" applyBorder="1" applyAlignment="1">
      <alignment horizontal="left"/>
    </xf>
    <xf numFmtId="0" fontId="24" fillId="29" borderId="12" xfId="0" applyFont="1" applyFill="1" applyBorder="1" applyAlignment="1">
      <alignment horizontal="center"/>
    </xf>
    <xf numFmtId="0" fontId="15" fillId="29" borderId="13" xfId="0" applyFont="1" applyFill="1" applyBorder="1" applyAlignment="1">
      <alignment horizontal="center" wrapText="1"/>
    </xf>
    <xf numFmtId="49" fontId="15" fillId="29" borderId="15" xfId="93" applyNumberFormat="1" applyFont="1" applyFill="1" applyBorder="1" applyAlignment="1">
      <alignment horizontal="center" wrapText="1"/>
    </xf>
    <xf numFmtId="0" fontId="15" fillId="0" borderId="11" xfId="0" applyFont="1" applyFill="1" applyBorder="1" applyAlignment="1">
      <alignment horizontal="center" wrapText="1"/>
    </xf>
    <xf numFmtId="0" fontId="15" fillId="33" borderId="11" xfId="0" applyFont="1" applyFill="1" applyBorder="1" applyAlignment="1">
      <alignment horizontal="center" wrapText="1"/>
    </xf>
    <xf numFmtId="166" fontId="15" fillId="0" borderId="11" xfId="0" applyNumberFormat="1" applyFont="1" applyFill="1" applyBorder="1" applyAlignment="1">
      <alignment horizontal="center" wrapText="1"/>
    </xf>
    <xf numFmtId="165" fontId="37" fillId="0" borderId="0" xfId="0" applyNumberFormat="1" applyFont="1" applyFill="1" applyAlignment="1">
      <alignment horizontal="right"/>
    </xf>
    <xf numFmtId="44" fontId="3" fillId="0" borderId="0" xfId="93" applyNumberFormat="1" applyFont="1" applyFill="1"/>
    <xf numFmtId="189" fontId="3" fillId="0" borderId="0" xfId="93" applyNumberFormat="1" applyFont="1" applyFill="1"/>
    <xf numFmtId="3" fontId="3" fillId="0" borderId="0" xfId="0" applyNumberFormat="1" applyFont="1" applyFill="1" applyBorder="1" applyAlignment="1">
      <alignment horizontal="center"/>
    </xf>
    <xf numFmtId="1" fontId="9" fillId="0" borderId="21" xfId="0" applyNumberFormat="1" applyFont="1" applyFill="1" applyBorder="1"/>
    <xf numFmtId="0" fontId="7" fillId="0" borderId="0" xfId="0" applyFont="1" applyAlignment="1">
      <alignment horizontal="center"/>
    </xf>
    <xf numFmtId="42" fontId="72" fillId="0" borderId="0" xfId="0" applyNumberFormat="1" applyFont="1" applyBorder="1"/>
    <xf numFmtId="0" fontId="72" fillId="0" borderId="0" xfId="0" applyFont="1" applyBorder="1"/>
    <xf numFmtId="0" fontId="72" fillId="0" borderId="14" xfId="0" applyFont="1" applyBorder="1"/>
    <xf numFmtId="0" fontId="9" fillId="0" borderId="23" xfId="0" applyFont="1" applyFill="1" applyBorder="1" applyAlignment="1">
      <alignment horizontal="left" vertical="center"/>
    </xf>
    <xf numFmtId="0" fontId="15" fillId="27" borderId="58" xfId="0" applyFont="1" applyFill="1" applyBorder="1" applyAlignment="1">
      <alignment horizontal="left"/>
    </xf>
    <xf numFmtId="42" fontId="15" fillId="27" borderId="59" xfId="93" applyNumberFormat="1" applyFont="1" applyFill="1" applyBorder="1" applyAlignment="1">
      <alignment horizontal="left"/>
    </xf>
    <xf numFmtId="42" fontId="15" fillId="27" borderId="76" xfId="93" applyNumberFormat="1" applyFont="1" applyFill="1" applyBorder="1" applyAlignment="1">
      <alignment horizontal="left"/>
    </xf>
    <xf numFmtId="0" fontId="9" fillId="0" borderId="0" xfId="0" applyFont="1" applyFill="1" applyBorder="1" applyAlignment="1">
      <alignment horizontal="left" vertical="center"/>
    </xf>
    <xf numFmtId="0" fontId="9" fillId="0" borderId="26" xfId="0" applyFont="1" applyFill="1" applyBorder="1" applyAlignment="1">
      <alignment horizontal="left" vertical="center"/>
    </xf>
    <xf numFmtId="42" fontId="9" fillId="0" borderId="51" xfId="149" applyNumberFormat="1" applyFont="1" applyFill="1" applyBorder="1" applyAlignment="1">
      <alignment horizontal="left"/>
    </xf>
    <xf numFmtId="42" fontId="9" fillId="0" borderId="84" xfId="149" applyNumberFormat="1" applyFont="1" applyFill="1" applyBorder="1" applyAlignment="1">
      <alignment horizontal="left"/>
    </xf>
    <xf numFmtId="42" fontId="9" fillId="0" borderId="24" xfId="149" applyNumberFormat="1" applyFont="1" applyFill="1" applyBorder="1" applyAlignment="1">
      <alignment horizontal="left"/>
    </xf>
    <xf numFmtId="0" fontId="15" fillId="35" borderId="11" xfId="0" applyFont="1" applyFill="1" applyBorder="1" applyAlignment="1">
      <alignment horizontal="left"/>
    </xf>
    <xf numFmtId="42" fontId="9" fillId="35" borderId="49" xfId="149" applyNumberFormat="1" applyFont="1" applyFill="1" applyBorder="1" applyAlignment="1">
      <alignment horizontal="left"/>
    </xf>
    <xf numFmtId="42" fontId="9" fillId="35" borderId="36" xfId="149" applyNumberFormat="1" applyFont="1" applyFill="1" applyBorder="1" applyAlignment="1">
      <alignment horizontal="left"/>
    </xf>
    <xf numFmtId="42" fontId="9" fillId="0" borderId="30" xfId="149" applyNumberFormat="1" applyFont="1" applyFill="1" applyBorder="1" applyAlignment="1">
      <alignment horizontal="left"/>
    </xf>
    <xf numFmtId="0" fontId="9" fillId="0" borderId="22" xfId="0" applyFont="1" applyFill="1" applyBorder="1" applyAlignment="1">
      <alignment horizontal="left"/>
    </xf>
    <xf numFmtId="42" fontId="9" fillId="0" borderId="21" xfId="149" applyNumberFormat="1" applyFont="1" applyFill="1" applyBorder="1" applyAlignment="1">
      <alignment horizontal="left"/>
    </xf>
    <xf numFmtId="0" fontId="73" fillId="0" borderId="0" xfId="0" applyFont="1"/>
    <xf numFmtId="0" fontId="9" fillId="0" borderId="68" xfId="0" applyFont="1" applyFill="1" applyBorder="1" applyAlignment="1">
      <alignment horizontal="left"/>
    </xf>
    <xf numFmtId="42" fontId="9" fillId="0" borderId="65" xfId="149" applyNumberFormat="1" applyFont="1" applyFill="1" applyBorder="1" applyAlignment="1">
      <alignment horizontal="left"/>
    </xf>
    <xf numFmtId="42" fontId="9" fillId="0" borderId="85" xfId="149" applyNumberFormat="1" applyFont="1" applyFill="1" applyBorder="1" applyAlignment="1">
      <alignment horizontal="left"/>
    </xf>
    <xf numFmtId="0" fontId="9" fillId="0" borderId="42" xfId="0" applyFont="1" applyFill="1" applyBorder="1" applyAlignment="1"/>
    <xf numFmtId="42" fontId="9" fillId="0" borderId="69" xfId="149" applyNumberFormat="1" applyFont="1" applyFill="1" applyBorder="1" applyAlignment="1">
      <alignment horizontal="left"/>
    </xf>
    <xf numFmtId="42" fontId="9" fillId="0" borderId="70" xfId="149" applyNumberFormat="1" applyFont="1" applyFill="1" applyBorder="1" applyAlignment="1">
      <alignment horizontal="left"/>
    </xf>
    <xf numFmtId="42" fontId="9" fillId="0" borderId="41" xfId="149" applyNumberFormat="1" applyFont="1" applyFill="1" applyBorder="1" applyAlignment="1">
      <alignment horizontal="left"/>
    </xf>
    <xf numFmtId="42" fontId="15" fillId="27" borderId="36" xfId="93" applyNumberFormat="1" applyFont="1" applyFill="1" applyBorder="1" applyAlignment="1">
      <alignment horizontal="left"/>
    </xf>
    <xf numFmtId="42" fontId="15" fillId="27" borderId="21" xfId="93" applyNumberFormat="1" applyFont="1" applyFill="1" applyBorder="1" applyAlignment="1">
      <alignment horizontal="left"/>
    </xf>
    <xf numFmtId="0" fontId="15" fillId="0" borderId="11" xfId="0" applyFont="1" applyFill="1" applyBorder="1" applyAlignment="1">
      <alignment horizontal="left"/>
    </xf>
    <xf numFmtId="0" fontId="9" fillId="0" borderId="34" xfId="0" applyFont="1" applyFill="1" applyBorder="1"/>
    <xf numFmtId="0" fontId="74" fillId="0" borderId="0" xfId="0" applyFont="1" applyBorder="1" applyAlignment="1">
      <alignment horizontal="center"/>
    </xf>
    <xf numFmtId="0" fontId="0" fillId="0" borderId="0" xfId="0" applyFill="1" applyBorder="1" applyAlignment="1">
      <alignment horizontal="center"/>
    </xf>
    <xf numFmtId="0" fontId="3" fillId="0" borderId="0" xfId="0" applyFont="1" applyFill="1" applyBorder="1" applyAlignment="1">
      <alignment horizontal="center"/>
    </xf>
    <xf numFmtId="42" fontId="3" fillId="0" borderId="37" xfId="94" applyNumberFormat="1" applyFont="1" applyFill="1" applyBorder="1" applyAlignment="1"/>
    <xf numFmtId="42" fontId="3" fillId="0" borderId="18" xfId="94" applyNumberFormat="1" applyFont="1" applyFill="1" applyBorder="1" applyAlignment="1"/>
    <xf numFmtId="0" fontId="3" fillId="25" borderId="0" xfId="0" applyFont="1" applyFill="1" applyBorder="1" applyAlignment="1">
      <alignment horizontal="center"/>
    </xf>
    <xf numFmtId="164" fontId="3" fillId="0" borderId="85" xfId="81" applyNumberFormat="1" applyFont="1" applyFill="1" applyBorder="1" applyAlignment="1"/>
    <xf numFmtId="164" fontId="4" fillId="30" borderId="11" xfId="81" applyNumberFormat="1" applyFont="1" applyFill="1" applyBorder="1" applyAlignment="1"/>
    <xf numFmtId="164" fontId="3" fillId="0" borderId="37" xfId="81" applyNumberFormat="1" applyFont="1" applyFill="1" applyBorder="1" applyAlignment="1"/>
    <xf numFmtId="164" fontId="3" fillId="0" borderId="85" xfId="81" applyNumberFormat="1" applyFont="1" applyFill="1" applyBorder="1" applyAlignment="1">
      <alignment horizontal="right"/>
    </xf>
    <xf numFmtId="164" fontId="3" fillId="0" borderId="22" xfId="81" applyNumberFormat="1" applyFont="1" applyFill="1" applyBorder="1" applyAlignment="1">
      <alignment horizontal="right"/>
    </xf>
    <xf numFmtId="164" fontId="3" fillId="0" borderId="34" xfId="81" applyNumberFormat="1" applyFont="1" applyFill="1" applyBorder="1" applyAlignment="1"/>
    <xf numFmtId="164" fontId="3" fillId="0" borderId="29" xfId="81" applyNumberFormat="1" applyFont="1" applyFill="1" applyBorder="1" applyAlignment="1"/>
    <xf numFmtId="164" fontId="3" fillId="0" borderId="53" xfId="81" applyNumberFormat="1" applyFont="1" applyFill="1" applyBorder="1" applyAlignment="1"/>
    <xf numFmtId="0" fontId="0" fillId="25" borderId="0" xfId="0" applyFill="1" applyBorder="1" applyAlignment="1">
      <alignment horizontal="center"/>
    </xf>
    <xf numFmtId="164" fontId="3" fillId="0" borderId="15" xfId="81" applyNumberFormat="1" applyFont="1" applyFill="1" applyBorder="1" applyAlignment="1"/>
    <xf numFmtId="164" fontId="3" fillId="0" borderId="19" xfId="81" applyNumberFormat="1" applyFont="1" applyFill="1" applyBorder="1" applyAlignment="1"/>
    <xf numFmtId="164" fontId="3" fillId="0" borderId="58" xfId="81" applyNumberFormat="1" applyFont="1" applyFill="1" applyBorder="1" applyAlignment="1"/>
    <xf numFmtId="164" fontId="3" fillId="0" borderId="59" xfId="81" applyNumberFormat="1" applyFont="1" applyFill="1" applyBorder="1" applyAlignment="1"/>
    <xf numFmtId="164" fontId="3" fillId="0" borderId="76" xfId="81" applyNumberFormat="1" applyFont="1" applyFill="1" applyBorder="1" applyAlignment="1"/>
    <xf numFmtId="164" fontId="4" fillId="27" borderId="15" xfId="81" applyNumberFormat="1" applyFont="1" applyFill="1" applyBorder="1" applyAlignment="1"/>
    <xf numFmtId="164" fontId="75" fillId="0" borderId="0" xfId="81" applyNumberFormat="1"/>
    <xf numFmtId="164" fontId="75" fillId="0" borderId="0" xfId="81" applyNumberFormat="1" applyFill="1"/>
    <xf numFmtId="0" fontId="0" fillId="26" borderId="0" xfId="0" applyFill="1" applyBorder="1" applyAlignment="1">
      <alignment horizontal="center"/>
    </xf>
    <xf numFmtId="164" fontId="3" fillId="0" borderId="38" xfId="81" applyNumberFormat="1" applyFont="1" applyFill="1" applyBorder="1" applyAlignment="1"/>
    <xf numFmtId="164" fontId="3" fillId="0" borderId="12" xfId="81" applyNumberFormat="1" applyFont="1" applyFill="1" applyBorder="1" applyAlignment="1"/>
    <xf numFmtId="164" fontId="4" fillId="27" borderId="11" xfId="81" applyNumberFormat="1" applyFont="1" applyFill="1" applyBorder="1" applyAlignment="1"/>
    <xf numFmtId="0" fontId="4" fillId="0" borderId="37" xfId="0" applyFont="1" applyFill="1" applyBorder="1" applyAlignment="1">
      <alignment horizontal="left"/>
    </xf>
    <xf numFmtId="164" fontId="3" fillId="0" borderId="37" xfId="81" applyNumberFormat="1" applyFont="1" applyFill="1" applyBorder="1" applyAlignment="1">
      <alignment horizontal="right"/>
    </xf>
    <xf numFmtId="0" fontId="11" fillId="0" borderId="0" xfId="0" applyFont="1" applyBorder="1" applyAlignment="1">
      <alignment horizontal="center"/>
    </xf>
    <xf numFmtId="0" fontId="11" fillId="0" borderId="0" xfId="0" applyFont="1" applyFill="1" applyBorder="1" applyAlignment="1">
      <alignment horizontal="center"/>
    </xf>
    <xf numFmtId="0" fontId="46" fillId="0" borderId="38" xfId="0" applyFont="1" applyFill="1" applyBorder="1"/>
    <xf numFmtId="164" fontId="11" fillId="0" borderId="38" xfId="81" applyNumberFormat="1" applyFont="1" applyFill="1" applyBorder="1" applyAlignment="1"/>
    <xf numFmtId="0" fontId="46" fillId="0" borderId="72" xfId="0" applyFont="1" applyFill="1" applyBorder="1"/>
    <xf numFmtId="164" fontId="46" fillId="0" borderId="72" xfId="81" applyNumberFormat="1" applyFont="1" applyFill="1" applyBorder="1" applyAlignment="1"/>
    <xf numFmtId="164" fontId="4" fillId="0" borderId="0" xfId="0" applyNumberFormat="1" applyFont="1" applyAlignment="1">
      <alignment horizontal="center"/>
    </xf>
    <xf numFmtId="164" fontId="3" fillId="0" borderId="22" xfId="81" applyNumberFormat="1" applyFont="1" applyFill="1" applyBorder="1" applyAlignment="1"/>
    <xf numFmtId="0" fontId="15" fillId="0" borderId="12" xfId="0" applyFont="1" applyFill="1" applyBorder="1" applyAlignment="1">
      <alignment horizontal="left"/>
    </xf>
    <xf numFmtId="164" fontId="4" fillId="0" borderId="12" xfId="81" applyNumberFormat="1" applyFont="1" applyFill="1" applyBorder="1" applyAlignment="1"/>
    <xf numFmtId="0" fontId="15" fillId="0" borderId="0" xfId="0" applyFont="1" applyFill="1" applyBorder="1" applyAlignment="1">
      <alignment horizontal="left" vertical="center"/>
    </xf>
    <xf numFmtId="164" fontId="3" fillId="0" borderId="42" xfId="81" applyNumberFormat="1" applyFont="1" applyFill="1" applyBorder="1" applyAlignment="1"/>
    <xf numFmtId="164" fontId="3" fillId="0" borderId="43" xfId="81" applyNumberFormat="1" applyFont="1" applyFill="1" applyBorder="1" applyAlignment="1"/>
    <xf numFmtId="164" fontId="3" fillId="0" borderId="57" xfId="81" applyNumberFormat="1" applyFont="1" applyFill="1" applyBorder="1" applyAlignment="1"/>
    <xf numFmtId="0" fontId="0" fillId="0" borderId="0" xfId="0" applyFill="1" applyAlignment="1"/>
    <xf numFmtId="0" fontId="9" fillId="0" borderId="54" xfId="0" applyFont="1" applyFill="1" applyBorder="1" applyAlignment="1"/>
    <xf numFmtId="165" fontId="9" fillId="0" borderId="45" xfId="93" applyNumberFormat="1" applyFont="1" applyBorder="1" applyAlignment="1">
      <alignment horizontal="center"/>
    </xf>
    <xf numFmtId="167" fontId="15" fillId="0" borderId="35" xfId="93" applyNumberFormat="1" applyFont="1" applyFill="1" applyBorder="1" applyAlignment="1">
      <alignment horizontal="left"/>
    </xf>
    <xf numFmtId="0" fontId="15" fillId="0" borderId="26" xfId="0" applyFont="1" applyFill="1" applyBorder="1" applyAlignment="1"/>
    <xf numFmtId="164" fontId="75" fillId="0" borderId="25" xfId="81" applyNumberFormat="1" applyFill="1" applyBorder="1"/>
    <xf numFmtId="164" fontId="75" fillId="0" borderId="24" xfId="81" applyNumberFormat="1" applyFill="1" applyBorder="1"/>
    <xf numFmtId="164" fontId="75" fillId="0" borderId="32" xfId="81" applyNumberFormat="1" applyFill="1" applyBorder="1"/>
    <xf numFmtId="164" fontId="75" fillId="0" borderId="36" xfId="81" applyNumberFormat="1" applyFill="1" applyBorder="1"/>
    <xf numFmtId="0" fontId="32" fillId="0" borderId="18" xfId="0" applyFont="1" applyFill="1" applyBorder="1"/>
    <xf numFmtId="165" fontId="32" fillId="0" borderId="16" xfId="93" applyNumberFormat="1" applyFont="1" applyFill="1" applyBorder="1" applyAlignment="1">
      <alignment horizontal="center"/>
    </xf>
    <xf numFmtId="0" fontId="32" fillId="0" borderId="17" xfId="0" applyFont="1" applyFill="1" applyBorder="1"/>
    <xf numFmtId="165" fontId="32" fillId="0" borderId="77" xfId="93" applyNumberFormat="1" applyFont="1" applyFill="1" applyBorder="1" applyAlignment="1">
      <alignment horizontal="center"/>
    </xf>
    <xf numFmtId="0" fontId="32" fillId="0" borderId="74" xfId="0" applyFont="1" applyFill="1" applyBorder="1"/>
    <xf numFmtId="165" fontId="32" fillId="0" borderId="78" xfId="93" applyNumberFormat="1" applyFont="1" applyFill="1" applyBorder="1" applyAlignment="1">
      <alignment horizontal="center"/>
    </xf>
    <xf numFmtId="10" fontId="41" fillId="0" borderId="0" xfId="0" applyNumberFormat="1" applyFont="1" applyFill="1"/>
    <xf numFmtId="0" fontId="3" fillId="0" borderId="0" xfId="122"/>
    <xf numFmtId="0" fontId="8" fillId="0" borderId="0" xfId="122" applyFont="1"/>
    <xf numFmtId="0" fontId="76" fillId="0" borderId="0" xfId="122" applyFont="1"/>
    <xf numFmtId="0" fontId="73" fillId="0" borderId="0" xfId="122" applyFont="1"/>
    <xf numFmtId="0" fontId="77" fillId="0" borderId="0" xfId="122" applyFont="1"/>
    <xf numFmtId="0" fontId="78" fillId="0" borderId="0" xfId="122" applyFont="1"/>
    <xf numFmtId="193" fontId="77" fillId="0" borderId="0" xfId="122" applyNumberFormat="1" applyFont="1"/>
    <xf numFmtId="185" fontId="77" fillId="0" borderId="0" xfId="122" applyNumberFormat="1" applyFont="1"/>
    <xf numFmtId="6" fontId="78" fillId="0" borderId="11" xfId="122" applyNumberFormat="1" applyFont="1" applyBorder="1" applyAlignment="1">
      <alignment horizontal="center" vertical="center"/>
    </xf>
    <xf numFmtId="185" fontId="78" fillId="0" borderId="11" xfId="122" applyNumberFormat="1" applyFont="1" applyFill="1" applyBorder="1" applyAlignment="1">
      <alignment horizontal="center" vertical="center"/>
    </xf>
    <xf numFmtId="0" fontId="3" fillId="0" borderId="11" xfId="122" applyBorder="1"/>
    <xf numFmtId="0" fontId="78" fillId="0" borderId="11" xfId="122" applyFont="1" applyBorder="1" applyAlignment="1">
      <alignment horizontal="center" vertical="center" wrapText="1"/>
    </xf>
    <xf numFmtId="0" fontId="78" fillId="0" borderId="11" xfId="122" applyFont="1" applyBorder="1" applyAlignment="1">
      <alignment vertical="top" wrapText="1"/>
    </xf>
    <xf numFmtId="6" fontId="78" fillId="0" borderId="11" xfId="122" applyNumberFormat="1" applyFont="1" applyBorder="1" applyAlignment="1">
      <alignment horizontal="center" wrapText="1"/>
    </xf>
    <xf numFmtId="186" fontId="78" fillId="0" borderId="11" xfId="122" applyNumberFormat="1" applyFont="1" applyBorder="1" applyAlignment="1">
      <alignment horizontal="center" wrapText="1"/>
    </xf>
    <xf numFmtId="5" fontId="78" fillId="0" borderId="32" xfId="122" applyNumberFormat="1" applyFont="1" applyBorder="1" applyAlignment="1">
      <alignment horizontal="center"/>
    </xf>
    <xf numFmtId="0" fontId="78" fillId="0" borderId="36" xfId="122" applyFont="1" applyBorder="1" applyAlignment="1">
      <alignment vertical="top" wrapText="1"/>
    </xf>
    <xf numFmtId="0" fontId="78" fillId="0" borderId="35" xfId="122" applyFont="1" applyBorder="1" applyAlignment="1">
      <alignment vertical="top" wrapText="1"/>
    </xf>
    <xf numFmtId="6" fontId="78" fillId="0" borderId="13" xfId="122" applyNumberFormat="1" applyFont="1" applyBorder="1" applyAlignment="1">
      <alignment horizontal="center" vertical="top" wrapText="1"/>
    </xf>
    <xf numFmtId="0" fontId="78" fillId="0" borderId="13" xfId="122" applyFont="1" applyBorder="1" applyAlignment="1">
      <alignment horizontal="center" vertical="top" wrapText="1"/>
    </xf>
    <xf numFmtId="0" fontId="78" fillId="0" borderId="14" xfId="122" applyFont="1" applyBorder="1" applyAlignment="1">
      <alignment vertical="top" wrapText="1"/>
    </xf>
    <xf numFmtId="5" fontId="78" fillId="0" borderId="14" xfId="122" applyNumberFormat="1" applyFont="1" applyBorder="1" applyAlignment="1">
      <alignment horizontal="center" vertical="center" wrapText="1"/>
    </xf>
    <xf numFmtId="0" fontId="78" fillId="0" borderId="61" xfId="122" applyFont="1" applyBorder="1" applyAlignment="1">
      <alignment horizontal="right" vertical="center" wrapText="1"/>
    </xf>
    <xf numFmtId="0" fontId="78" fillId="0" borderId="13" xfId="122" applyFont="1" applyBorder="1" applyAlignment="1">
      <alignment vertical="top" wrapText="1"/>
    </xf>
    <xf numFmtId="7" fontId="78" fillId="0" borderId="14" xfId="122" applyNumberFormat="1" applyFont="1" applyBorder="1" applyAlignment="1">
      <alignment vertical="top" wrapText="1"/>
    </xf>
    <xf numFmtId="7" fontId="78" fillId="0" borderId="14" xfId="122" applyNumberFormat="1" applyFont="1" applyBorder="1" applyAlignment="1">
      <alignment horizontal="center" vertical="center" wrapText="1"/>
    </xf>
    <xf numFmtId="194" fontId="78" fillId="0" borderId="14" xfId="122" applyNumberFormat="1" applyFont="1" applyBorder="1" applyAlignment="1">
      <alignment horizontal="center" vertical="center" wrapText="1"/>
    </xf>
    <xf numFmtId="37" fontId="78" fillId="0" borderId="14" xfId="122" applyNumberFormat="1" applyFont="1" applyBorder="1" applyAlignment="1">
      <alignment horizontal="center" vertical="center" wrapText="1"/>
    </xf>
    <xf numFmtId="195" fontId="78" fillId="0" borderId="13" xfId="122" applyNumberFormat="1" applyFont="1" applyBorder="1" applyAlignment="1">
      <alignment horizontal="center" vertical="top" wrapText="1"/>
    </xf>
    <xf numFmtId="0" fontId="78" fillId="0" borderId="14" xfId="122" applyFont="1" applyBorder="1" applyAlignment="1">
      <alignment horizontal="center" vertical="top" wrapText="1"/>
    </xf>
    <xf numFmtId="0" fontId="78" fillId="0" borderId="14" xfId="122" applyFont="1" applyBorder="1"/>
    <xf numFmtId="0" fontId="78" fillId="0" borderId="0" xfId="122" applyFont="1" applyBorder="1" applyAlignment="1">
      <alignment vertical="top" wrapText="1"/>
    </xf>
    <xf numFmtId="3" fontId="78" fillId="0" borderId="14" xfId="122" applyNumberFormat="1" applyFont="1" applyBorder="1" applyAlignment="1">
      <alignment horizontal="center" vertical="center" wrapText="1"/>
    </xf>
    <xf numFmtId="5" fontId="78" fillId="0" borderId="14" xfId="122" applyNumberFormat="1" applyFont="1" applyBorder="1" applyAlignment="1">
      <alignment horizontal="center" vertical="top" wrapText="1"/>
    </xf>
    <xf numFmtId="169" fontId="78" fillId="0" borderId="14" xfId="122" applyNumberFormat="1" applyFont="1" applyBorder="1" applyAlignment="1">
      <alignment horizontal="center" vertical="center" wrapText="1"/>
    </xf>
    <xf numFmtId="0" fontId="78" fillId="0" borderId="0" xfId="122" applyFont="1" applyAlignment="1">
      <alignment horizontal="center" vertical="center" wrapText="1"/>
    </xf>
    <xf numFmtId="42" fontId="78" fillId="0" borderId="11" xfId="122" applyNumberFormat="1" applyFont="1" applyBorder="1" applyAlignment="1">
      <alignment horizontal="center" vertical="center" wrapText="1"/>
    </xf>
    <xf numFmtId="0" fontId="79" fillId="0" borderId="14" xfId="122" applyFont="1" applyBorder="1" applyAlignment="1">
      <alignment horizontal="center" vertical="center" wrapText="1"/>
    </xf>
    <xf numFmtId="9" fontId="14" fillId="0" borderId="0" xfId="122" applyNumberFormat="1" applyFont="1" applyAlignment="1">
      <alignment horizontal="center" vertical="top" wrapText="1"/>
    </xf>
    <xf numFmtId="169" fontId="3" fillId="0" borderId="0" xfId="122" applyNumberFormat="1" applyAlignment="1">
      <alignment horizontal="left"/>
    </xf>
    <xf numFmtId="0" fontId="70" fillId="0" borderId="0" xfId="122" applyFont="1"/>
    <xf numFmtId="169" fontId="73" fillId="0" borderId="0" xfId="122" applyNumberFormat="1" applyFont="1" applyAlignment="1">
      <alignment horizontal="left"/>
    </xf>
    <xf numFmtId="169" fontId="78" fillId="0" borderId="0" xfId="122" applyNumberFormat="1" applyFont="1" applyAlignment="1" applyProtection="1">
      <alignment horizontal="center" wrapText="1"/>
      <protection hidden="1"/>
    </xf>
    <xf numFmtId="0" fontId="78" fillId="0" borderId="0" xfId="122" applyFont="1" applyAlignment="1">
      <alignment horizontal="center" wrapText="1"/>
    </xf>
    <xf numFmtId="9" fontId="78" fillId="0" borderId="0" xfId="122" applyNumberFormat="1" applyFont="1" applyAlignment="1">
      <alignment horizontal="center" vertical="top" wrapText="1"/>
    </xf>
    <xf numFmtId="0" fontId="78" fillId="0" borderId="0" xfId="122" applyFont="1" applyAlignment="1">
      <alignment horizontal="center" vertical="top" wrapText="1"/>
    </xf>
    <xf numFmtId="169" fontId="78" fillId="0" borderId="0" xfId="122" applyNumberFormat="1" applyFont="1" applyAlignment="1">
      <alignment horizontal="left"/>
    </xf>
    <xf numFmtId="0" fontId="80" fillId="0" borderId="0" xfId="122" applyFont="1" applyAlignment="1">
      <alignment horizontal="center" vertical="top" wrapText="1"/>
    </xf>
    <xf numFmtId="0" fontId="81" fillId="0" borderId="0" xfId="122" applyFont="1" applyAlignment="1">
      <alignment horizontal="left" vertical="top" wrapText="1"/>
    </xf>
    <xf numFmtId="0" fontId="81" fillId="0" borderId="0" xfId="122" applyFont="1" applyAlignment="1">
      <alignment horizontal="center" vertical="top" wrapText="1"/>
    </xf>
    <xf numFmtId="0" fontId="3" fillId="0" borderId="0" xfId="122" applyAlignment="1">
      <alignment wrapText="1"/>
    </xf>
    <xf numFmtId="0" fontId="82" fillId="0" borderId="0" xfId="122" applyFont="1" applyAlignment="1">
      <alignment horizontal="left" wrapText="1"/>
    </xf>
    <xf numFmtId="0" fontId="14" fillId="0" borderId="0" xfId="122" applyFont="1" applyAlignment="1">
      <alignment horizontal="left" wrapText="1"/>
    </xf>
    <xf numFmtId="0" fontId="82" fillId="0" borderId="0" xfId="122" applyFont="1" applyAlignment="1">
      <alignment horizontal="left"/>
    </xf>
    <xf numFmtId="0" fontId="14" fillId="0" borderId="0" xfId="122" applyFont="1" applyAlignment="1">
      <alignment horizontal="left"/>
    </xf>
    <xf numFmtId="169" fontId="14" fillId="0" borderId="0" xfId="122" applyNumberFormat="1" applyFont="1" applyAlignment="1">
      <alignment horizontal="left"/>
    </xf>
    <xf numFmtId="0" fontId="6" fillId="0" borderId="0" xfId="122" applyFont="1"/>
    <xf numFmtId="0" fontId="83" fillId="0" borderId="0" xfId="122" applyFont="1"/>
    <xf numFmtId="0" fontId="78" fillId="0" borderId="61" xfId="122" applyFont="1" applyBorder="1" applyAlignment="1">
      <alignment horizontal="left" vertical="center" wrapText="1"/>
    </xf>
    <xf numFmtId="0" fontId="78" fillId="0" borderId="61" xfId="122" applyFont="1" applyBorder="1" applyAlignment="1">
      <alignment horizontal="left" vertical="center" wrapText="1" indent="2"/>
    </xf>
    <xf numFmtId="0" fontId="78" fillId="0" borderId="61" xfId="122" applyFont="1" applyBorder="1" applyAlignment="1">
      <alignment horizontal="left" vertical="center" wrapText="1" indent="4"/>
    </xf>
    <xf numFmtId="0" fontId="78" fillId="0" borderId="36" xfId="122" applyFont="1" applyBorder="1"/>
    <xf numFmtId="0" fontId="78" fillId="0" borderId="26" xfId="122" applyFont="1" applyBorder="1" applyAlignment="1">
      <alignment horizontal="right" vertical="center" wrapText="1"/>
    </xf>
    <xf numFmtId="5" fontId="78" fillId="0" borderId="24" xfId="122" applyNumberFormat="1" applyFont="1" applyBorder="1" applyAlignment="1">
      <alignment horizontal="center"/>
    </xf>
    <xf numFmtId="0" fontId="78" fillId="0" borderId="35" xfId="122" applyFont="1" applyBorder="1" applyAlignment="1">
      <alignment horizontal="center" vertical="center" wrapText="1"/>
    </xf>
    <xf numFmtId="0" fontId="78" fillId="0" borderId="36" xfId="122" applyFont="1" applyFill="1" applyBorder="1" applyAlignment="1">
      <alignment vertical="center" wrapText="1"/>
    </xf>
    <xf numFmtId="42" fontId="15" fillId="0" borderId="29" xfId="0" applyNumberFormat="1" applyFont="1" applyFill="1" applyBorder="1" applyAlignment="1">
      <alignment horizontal="center" wrapText="1"/>
    </xf>
    <xf numFmtId="42" fontId="9" fillId="0" borderId="43" xfId="0" applyNumberFormat="1" applyFont="1" applyFill="1" applyBorder="1"/>
    <xf numFmtId="0" fontId="9" fillId="0" borderId="23" xfId="0" applyFont="1" applyFill="1" applyBorder="1"/>
    <xf numFmtId="42" fontId="9" fillId="0" borderId="50" xfId="0" applyNumberFormat="1" applyFont="1" applyFill="1" applyBorder="1"/>
    <xf numFmtId="0" fontId="9" fillId="0" borderId="50" xfId="0" applyFont="1" applyFill="1" applyBorder="1"/>
    <xf numFmtId="166" fontId="9" fillId="0" borderId="50" xfId="0" applyNumberFormat="1" applyFont="1" applyFill="1" applyBorder="1" applyAlignment="1">
      <alignment horizontal="right" wrapText="1"/>
    </xf>
    <xf numFmtId="0" fontId="9" fillId="0" borderId="50" xfId="0" applyFont="1" applyFill="1" applyBorder="1" applyAlignment="1">
      <alignment horizontal="center"/>
    </xf>
    <xf numFmtId="3" fontId="9" fillId="0" borderId="50" xfId="0" applyNumberFormat="1" applyFont="1" applyFill="1" applyBorder="1" applyAlignment="1">
      <alignment horizontal="center"/>
    </xf>
    <xf numFmtId="0" fontId="9" fillId="0" borderId="52" xfId="0" applyFont="1" applyFill="1" applyBorder="1" applyAlignment="1">
      <alignment horizontal="center"/>
    </xf>
    <xf numFmtId="0" fontId="9" fillId="0" borderId="29" xfId="0" applyFont="1" applyFill="1" applyBorder="1"/>
    <xf numFmtId="166" fontId="9" fillId="0" borderId="29" xfId="0" applyNumberFormat="1" applyFont="1" applyFill="1" applyBorder="1" applyAlignment="1">
      <alignment horizontal="right" wrapText="1"/>
    </xf>
    <xf numFmtId="0" fontId="9" fillId="0" borderId="48" xfId="0" applyFont="1" applyFill="1" applyBorder="1"/>
    <xf numFmtId="0" fontId="15" fillId="0" borderId="26" xfId="0" applyFont="1" applyFill="1" applyBorder="1" applyAlignment="1">
      <alignment horizontal="right"/>
    </xf>
    <xf numFmtId="42" fontId="15" fillId="0" borderId="86" xfId="0" applyNumberFormat="1" applyFont="1" applyFill="1" applyBorder="1"/>
    <xf numFmtId="0" fontId="9" fillId="0" borderId="87" xfId="0" applyFont="1" applyFill="1" applyBorder="1"/>
    <xf numFmtId="42" fontId="15" fillId="0" borderId="51" xfId="0" applyNumberFormat="1" applyFont="1" applyFill="1" applyBorder="1"/>
    <xf numFmtId="0" fontId="9" fillId="0" borderId="51" xfId="0" applyFont="1" applyFill="1" applyBorder="1"/>
    <xf numFmtId="3" fontId="9" fillId="0" borderId="51" xfId="0" applyNumberFormat="1" applyFont="1" applyFill="1" applyBorder="1"/>
    <xf numFmtId="0" fontId="9" fillId="0" borderId="88" xfId="0" applyFont="1" applyFill="1" applyBorder="1"/>
    <xf numFmtId="0" fontId="15" fillId="0" borderId="35" xfId="0" applyFont="1" applyFill="1" applyBorder="1" applyAlignment="1">
      <alignment horizontal="right"/>
    </xf>
    <xf numFmtId="42" fontId="15" fillId="0" borderId="27" xfId="0" applyNumberFormat="1" applyFont="1" applyFill="1" applyBorder="1"/>
    <xf numFmtId="0" fontId="9" fillId="0" borderId="27" xfId="0" applyFont="1" applyFill="1" applyBorder="1"/>
    <xf numFmtId="0" fontId="9" fillId="0" borderId="28" xfId="0" applyFont="1" applyFill="1" applyBorder="1"/>
    <xf numFmtId="0" fontId="9" fillId="0" borderId="42" xfId="0" applyFont="1" applyFill="1" applyBorder="1"/>
    <xf numFmtId="0" fontId="9" fillId="0" borderId="43" xfId="0" applyFont="1" applyFill="1" applyBorder="1"/>
    <xf numFmtId="0" fontId="9" fillId="0" borderId="43" xfId="0" applyFont="1" applyFill="1" applyBorder="1" applyAlignment="1">
      <alignment horizontal="center"/>
    </xf>
    <xf numFmtId="0" fontId="9" fillId="0" borderId="57" xfId="0" applyFont="1" applyFill="1" applyBorder="1" applyAlignment="1">
      <alignment horizontal="center"/>
    </xf>
    <xf numFmtId="0" fontId="9" fillId="0" borderId="59" xfId="0" applyFont="1" applyFill="1" applyBorder="1"/>
    <xf numFmtId="42" fontId="15" fillId="0" borderId="49" xfId="0" applyNumberFormat="1" applyFont="1" applyFill="1" applyBorder="1"/>
    <xf numFmtId="0" fontId="9" fillId="0" borderId="62" xfId="0" applyFont="1" applyFill="1" applyBorder="1"/>
    <xf numFmtId="3" fontId="9" fillId="0" borderId="62" xfId="0" applyNumberFormat="1" applyFont="1" applyFill="1" applyBorder="1"/>
    <xf numFmtId="0" fontId="15" fillId="0" borderId="19" xfId="0" applyFont="1" applyFill="1" applyBorder="1" applyAlignment="1">
      <alignment horizontal="right"/>
    </xf>
    <xf numFmtId="42" fontId="15" fillId="0" borderId="15" xfId="0" applyNumberFormat="1" applyFont="1" applyFill="1" applyBorder="1"/>
    <xf numFmtId="166" fontId="15" fillId="0" borderId="15" xfId="0" applyNumberFormat="1" applyFont="1" applyFill="1" applyBorder="1"/>
    <xf numFmtId="43" fontId="15" fillId="0" borderId="15" xfId="0" applyNumberFormat="1" applyFont="1" applyFill="1" applyBorder="1" applyAlignment="1">
      <alignment horizontal="center" wrapText="1"/>
    </xf>
    <xf numFmtId="3" fontId="9" fillId="0" borderId="15" xfId="0" applyNumberFormat="1" applyFont="1" applyFill="1" applyBorder="1"/>
    <xf numFmtId="0" fontId="9" fillId="0" borderId="15" xfId="0" applyFont="1" applyFill="1" applyBorder="1" applyAlignment="1">
      <alignment wrapText="1"/>
    </xf>
    <xf numFmtId="41" fontId="9" fillId="0" borderId="15" xfId="69" applyNumberFormat="1" applyFont="1" applyFill="1" applyBorder="1" applyAlignment="1">
      <alignment horizontal="right"/>
    </xf>
    <xf numFmtId="5" fontId="9" fillId="0" borderId="15" xfId="69" applyNumberFormat="1" applyFont="1" applyFill="1" applyBorder="1"/>
    <xf numFmtId="168" fontId="9" fillId="0" borderId="15" xfId="69" applyNumberFormat="1" applyFont="1" applyFill="1" applyBorder="1"/>
    <xf numFmtId="3" fontId="84" fillId="0" borderId="0" xfId="93" applyNumberFormat="1" applyFont="1" applyFill="1" applyBorder="1" applyAlignment="1">
      <alignment horizontal="center"/>
    </xf>
    <xf numFmtId="42" fontId="14" fillId="0" borderId="0" xfId="0" applyNumberFormat="1" applyFont="1" applyBorder="1" applyAlignment="1">
      <alignment horizontal="center"/>
    </xf>
    <xf numFmtId="10" fontId="14" fillId="0" borderId="0" xfId="149" applyNumberFormat="1" applyFont="1" applyFill="1"/>
    <xf numFmtId="44" fontId="14" fillId="0" borderId="0" xfId="0" applyNumberFormat="1" applyFont="1"/>
    <xf numFmtId="10" fontId="14" fillId="0" borderId="0" xfId="0" applyNumberFormat="1" applyFont="1"/>
    <xf numFmtId="9" fontId="84" fillId="0" borderId="0" xfId="149" applyFont="1" applyFill="1" applyBorder="1" applyAlignment="1">
      <alignment horizontal="center"/>
    </xf>
    <xf numFmtId="0" fontId="9" fillId="0" borderId="37" xfId="0" applyFont="1" applyFill="1" applyBorder="1" applyAlignment="1">
      <alignment horizontal="left"/>
    </xf>
    <xf numFmtId="173" fontId="9" fillId="0" borderId="0" xfId="149" applyNumberFormat="1" applyFont="1" applyFill="1" applyBorder="1" applyAlignment="1">
      <alignment horizontal="right"/>
    </xf>
    <xf numFmtId="173" fontId="14" fillId="0" borderId="0" xfId="0" applyNumberFormat="1" applyFont="1"/>
    <xf numFmtId="173" fontId="14" fillId="0" borderId="0" xfId="149" applyNumberFormat="1" applyFont="1" applyFill="1"/>
    <xf numFmtId="173" fontId="14" fillId="0" borderId="0" xfId="149" applyNumberFormat="1" applyFont="1"/>
    <xf numFmtId="10" fontId="14" fillId="0" borderId="0" xfId="149" applyNumberFormat="1" applyFont="1"/>
    <xf numFmtId="42" fontId="9" fillId="0" borderId="47" xfId="0" applyNumberFormat="1" applyFont="1" applyBorder="1" applyAlignment="1">
      <alignment horizontal="center"/>
    </xf>
    <xf numFmtId="10" fontId="14" fillId="0" borderId="0" xfId="149" applyNumberFormat="1" applyFont="1" applyFill="1" applyBorder="1" applyAlignment="1">
      <alignment horizontal="right"/>
    </xf>
    <xf numFmtId="0" fontId="14" fillId="0" borderId="0" xfId="0" applyFont="1" applyFill="1"/>
    <xf numFmtId="0" fontId="13" fillId="36" borderId="35" xfId="0" applyFont="1" applyFill="1" applyBorder="1" applyAlignment="1">
      <alignment horizontal="left"/>
    </xf>
    <xf numFmtId="42" fontId="15" fillId="36" borderId="27" xfId="0" applyNumberFormat="1" applyFont="1" applyFill="1" applyBorder="1" applyAlignment="1">
      <alignment horizontal="center"/>
    </xf>
    <xf numFmtId="10" fontId="14" fillId="0" borderId="0" xfId="149" applyNumberFormat="1" applyFont="1" applyFill="1" applyBorder="1"/>
    <xf numFmtId="10" fontId="14" fillId="0" borderId="0" xfId="149" applyNumberFormat="1" applyFont="1" applyBorder="1"/>
    <xf numFmtId="0" fontId="14" fillId="0" borderId="0" xfId="0" applyFont="1" applyBorder="1"/>
    <xf numFmtId="0" fontId="14" fillId="0" borderId="0" xfId="0" applyFont="1" applyFill="1" applyBorder="1"/>
    <xf numFmtId="44" fontId="9" fillId="0" borderId="29" xfId="93" applyFont="1" applyFill="1" applyBorder="1" applyAlignment="1">
      <alignment horizontal="center"/>
    </xf>
    <xf numFmtId="0" fontId="9" fillId="0" borderId="67" xfId="0" applyFont="1" applyFill="1" applyBorder="1" applyAlignment="1">
      <alignment horizontal="left" vertical="center"/>
    </xf>
    <xf numFmtId="0" fontId="13" fillId="37" borderId="49" xfId="0" applyFont="1" applyFill="1" applyBorder="1" applyAlignment="1">
      <alignment horizontal="left"/>
    </xf>
    <xf numFmtId="42" fontId="15" fillId="37" borderId="27" xfId="0" applyNumberFormat="1" applyFont="1" applyFill="1" applyBorder="1" applyAlignment="1">
      <alignment horizontal="center"/>
    </xf>
    <xf numFmtId="10" fontId="14" fillId="0" borderId="0" xfId="0" applyNumberFormat="1" applyFont="1" applyBorder="1"/>
    <xf numFmtId="165" fontId="9" fillId="0" borderId="50" xfId="0" applyNumberFormat="1" applyFont="1" applyFill="1" applyBorder="1" applyAlignment="1">
      <alignment horizontal="center"/>
    </xf>
    <xf numFmtId="9" fontId="6" fillId="0" borderId="0" xfId="149" applyFont="1"/>
    <xf numFmtId="0" fontId="13" fillId="27" borderId="58" xfId="0" applyFont="1" applyFill="1" applyBorder="1" applyAlignment="1">
      <alignment horizontal="left"/>
    </xf>
    <xf numFmtId="42" fontId="15" fillId="37" borderId="59" xfId="0" applyNumberFormat="1" applyFont="1" applyFill="1" applyBorder="1" applyAlignment="1">
      <alignment horizontal="center"/>
    </xf>
    <xf numFmtId="42" fontId="19" fillId="0" borderId="0" xfId="0" applyNumberFormat="1" applyFont="1" applyFill="1" applyBorder="1" applyAlignment="1">
      <alignment horizontal="center" wrapText="1"/>
    </xf>
    <xf numFmtId="9" fontId="14" fillId="0" borderId="0" xfId="149" applyFont="1"/>
    <xf numFmtId="165" fontId="15" fillId="27" borderId="15" xfId="93" quotePrefix="1" applyNumberFormat="1" applyFont="1" applyFill="1" applyBorder="1" applyAlignment="1">
      <alignment horizontal="center"/>
    </xf>
    <xf numFmtId="43" fontId="6" fillId="0" borderId="0" xfId="69" applyFont="1" applyFill="1" applyBorder="1"/>
    <xf numFmtId="0" fontId="79" fillId="0" borderId="0" xfId="122" applyFont="1" applyBorder="1" applyAlignment="1">
      <alignment horizontal="center" vertical="top" wrapText="1"/>
    </xf>
    <xf numFmtId="0" fontId="79" fillId="0" borderId="26" xfId="122" applyFont="1" applyBorder="1" applyAlignment="1">
      <alignment horizontal="center" vertical="center" wrapText="1"/>
    </xf>
    <xf numFmtId="0" fontId="79" fillId="0" borderId="24" xfId="122" applyFont="1" applyBorder="1" applyAlignment="1">
      <alignment horizontal="center" vertical="center" wrapText="1"/>
    </xf>
    <xf numFmtId="0" fontId="79" fillId="0" borderId="19" xfId="122" applyFont="1" applyBorder="1" applyAlignment="1">
      <alignment horizontal="center" vertical="center" wrapText="1"/>
    </xf>
    <xf numFmtId="0" fontId="79" fillId="0" borderId="20" xfId="122" applyFont="1" applyBorder="1" applyAlignment="1">
      <alignment horizontal="center" vertical="center" wrapText="1"/>
    </xf>
    <xf numFmtId="0" fontId="79" fillId="0" borderId="32" xfId="122" applyFont="1" applyBorder="1" applyAlignment="1">
      <alignment horizontal="center" vertical="top" wrapText="1"/>
    </xf>
    <xf numFmtId="0" fontId="79" fillId="0" borderId="36" xfId="122" applyFont="1" applyBorder="1" applyAlignment="1">
      <alignment horizontal="center" vertical="top" wrapText="1"/>
    </xf>
    <xf numFmtId="0" fontId="20" fillId="0" borderId="0" xfId="122" applyFont="1" applyAlignment="1">
      <alignment horizontal="center"/>
    </xf>
    <xf numFmtId="15" fontId="3" fillId="0" borderId="0" xfId="122" quotePrefix="1" applyNumberFormat="1"/>
    <xf numFmtId="0" fontId="3" fillId="0" borderId="0" xfId="122" applyFill="1"/>
    <xf numFmtId="0" fontId="20" fillId="0" borderId="0" xfId="122" applyFont="1"/>
    <xf numFmtId="165" fontId="4" fillId="0" borderId="0" xfId="122" applyNumberFormat="1" applyFont="1" applyFill="1" applyBorder="1"/>
    <xf numFmtId="166" fontId="3" fillId="0" borderId="0" xfId="122" applyNumberFormat="1" applyFill="1" applyBorder="1"/>
    <xf numFmtId="0" fontId="3" fillId="0" borderId="0" xfId="122" applyFill="1" applyBorder="1"/>
    <xf numFmtId="165" fontId="3" fillId="0" borderId="0" xfId="122" applyNumberFormat="1" applyFill="1" applyBorder="1"/>
    <xf numFmtId="0" fontId="4" fillId="0" borderId="0" xfId="122" applyFont="1"/>
    <xf numFmtId="0" fontId="3" fillId="0" borderId="0" xfId="122" applyBorder="1" applyAlignment="1">
      <alignment horizontal="center"/>
    </xf>
    <xf numFmtId="3" fontId="4" fillId="0" borderId="0" xfId="122" applyNumberFormat="1" applyFont="1" applyAlignment="1">
      <alignment horizontal="center" vertical="center" wrapText="1"/>
    </xf>
    <xf numFmtId="3" fontId="3" fillId="0" borderId="0" xfId="122" applyNumberFormat="1" applyFill="1" applyAlignment="1">
      <alignment horizontal="center" vertical="center" wrapText="1"/>
    </xf>
    <xf numFmtId="3" fontId="6" fillId="0" borderId="0" xfId="122" applyNumberFormat="1" applyFont="1" applyFill="1" applyAlignment="1">
      <alignment horizontal="left" vertical="top"/>
    </xf>
    <xf numFmtId="0" fontId="3" fillId="0" borderId="0" xfId="122" applyBorder="1"/>
    <xf numFmtId="165" fontId="3" fillId="0" borderId="0" xfId="122" applyNumberFormat="1" applyBorder="1"/>
    <xf numFmtId="166" fontId="3" fillId="0" borderId="0" xfId="122" applyNumberFormat="1" applyBorder="1"/>
    <xf numFmtId="3" fontId="3" fillId="0" borderId="0" xfId="122" applyNumberFormat="1" applyAlignment="1">
      <alignment horizontal="left" vertical="center" wrapText="1"/>
    </xf>
    <xf numFmtId="3" fontId="6" fillId="0" borderId="0" xfId="122" applyNumberFormat="1" applyFont="1"/>
    <xf numFmtId="169" fontId="6" fillId="0" borderId="0" xfId="122" applyNumberFormat="1" applyFont="1" applyFill="1" applyAlignment="1">
      <alignment horizontal="right"/>
    </xf>
    <xf numFmtId="10" fontId="6" fillId="0" borderId="0" xfId="122" applyNumberFormat="1" applyFont="1" applyFill="1" applyAlignment="1">
      <alignment horizontal="center"/>
    </xf>
    <xf numFmtId="10" fontId="6" fillId="0" borderId="0" xfId="122" applyNumberFormat="1" applyFont="1" applyAlignment="1">
      <alignment horizontal="center"/>
    </xf>
    <xf numFmtId="169" fontId="6" fillId="0" borderId="0" xfId="122" applyNumberFormat="1" applyFont="1"/>
    <xf numFmtId="169" fontId="3" fillId="0" borderId="0" xfId="122" applyNumberFormat="1"/>
    <xf numFmtId="3" fontId="4" fillId="28" borderId="0" xfId="122" applyNumberFormat="1" applyFont="1" applyFill="1" applyAlignment="1">
      <alignment horizontal="right"/>
    </xf>
    <xf numFmtId="3" fontId="6" fillId="28" borderId="0" xfId="122" applyNumberFormat="1" applyFont="1" applyFill="1" applyAlignment="1">
      <alignment horizontal="right"/>
    </xf>
    <xf numFmtId="169" fontId="6" fillId="28" borderId="0" xfId="122" applyNumberFormat="1" applyFont="1" applyFill="1" applyAlignment="1">
      <alignment horizontal="right"/>
    </xf>
    <xf numFmtId="10" fontId="6" fillId="28" borderId="0" xfId="122" applyNumberFormat="1" applyFont="1" applyFill="1" applyAlignment="1">
      <alignment horizontal="center"/>
    </xf>
    <xf numFmtId="169" fontId="6" fillId="0" borderId="0" xfId="122" applyNumberFormat="1" applyFont="1" applyAlignment="1">
      <alignment horizontal="right"/>
    </xf>
    <xf numFmtId="10" fontId="6" fillId="0" borderId="0" xfId="122" applyNumberFormat="1" applyFont="1"/>
    <xf numFmtId="0" fontId="6" fillId="0" borderId="0" xfId="122" applyFont="1" applyFill="1"/>
    <xf numFmtId="0" fontId="6" fillId="0" borderId="0" xfId="122" applyFont="1" applyAlignment="1">
      <alignment horizontal="center"/>
    </xf>
    <xf numFmtId="0" fontId="6" fillId="0" borderId="0" xfId="122" applyFont="1" applyFill="1" applyAlignment="1">
      <alignment horizontal="center"/>
    </xf>
    <xf numFmtId="3" fontId="26" fillId="28" borderId="0" xfId="122" applyNumberFormat="1" applyFont="1" applyFill="1" applyAlignment="1">
      <alignment horizontal="right"/>
    </xf>
    <xf numFmtId="166" fontId="6" fillId="0" borderId="0" xfId="122" applyNumberFormat="1" applyFont="1" applyFill="1" applyAlignment="1">
      <alignment horizontal="center"/>
    </xf>
    <xf numFmtId="10" fontId="6" fillId="0" borderId="0" xfId="122" applyNumberFormat="1" applyFont="1" applyAlignment="1">
      <alignment horizontal="right"/>
    </xf>
    <xf numFmtId="10" fontId="6" fillId="0" borderId="0" xfId="122" applyNumberFormat="1" applyFont="1" applyFill="1" applyAlignment="1">
      <alignment horizontal="right"/>
    </xf>
    <xf numFmtId="10" fontId="6" fillId="0" borderId="0" xfId="122" applyNumberFormat="1" applyFont="1" applyFill="1"/>
    <xf numFmtId="0" fontId="33" fillId="0" borderId="0" xfId="122" applyFont="1" applyBorder="1"/>
    <xf numFmtId="0" fontId="27" fillId="0" borderId="0" xfId="122" applyFont="1" applyBorder="1"/>
    <xf numFmtId="0" fontId="6" fillId="0" borderId="0" xfId="122" applyFont="1" applyFill="1" applyBorder="1" applyAlignment="1">
      <alignment horizontal="right"/>
    </xf>
    <xf numFmtId="42" fontId="6" fillId="0" borderId="0" xfId="122" applyNumberFormat="1" applyFont="1" applyFill="1" applyBorder="1" applyAlignment="1">
      <alignment horizontal="center"/>
    </xf>
    <xf numFmtId="0" fontId="6" fillId="0" borderId="0" xfId="122" applyFont="1" applyBorder="1"/>
    <xf numFmtId="9" fontId="6" fillId="0" borderId="0" xfId="122" applyNumberFormat="1" applyFont="1" applyFill="1" applyBorder="1" applyAlignment="1">
      <alignment horizontal="right"/>
    </xf>
    <xf numFmtId="0" fontId="3" fillId="0" borderId="0" xfId="122" applyFont="1" applyBorder="1"/>
    <xf numFmtId="169" fontId="6" fillId="0" borderId="0" xfId="122" applyNumberFormat="1" applyFont="1" applyFill="1" applyBorder="1" applyAlignment="1">
      <alignment horizontal="right"/>
    </xf>
    <xf numFmtId="0" fontId="26" fillId="28" borderId="0" xfId="122" applyFont="1" applyFill="1" applyBorder="1" applyAlignment="1">
      <alignment horizontal="right"/>
    </xf>
    <xf numFmtId="169" fontId="6" fillId="28" borderId="0" xfId="122" applyNumberFormat="1" applyFont="1" applyFill="1" applyBorder="1" applyAlignment="1">
      <alignment horizontal="right"/>
    </xf>
    <xf numFmtId="10" fontId="6" fillId="28" borderId="0" xfId="122" applyNumberFormat="1" applyFont="1" applyFill="1" applyBorder="1" applyAlignment="1">
      <alignment horizontal="center"/>
    </xf>
    <xf numFmtId="0" fontId="6" fillId="28" borderId="0" xfId="122" applyFont="1" applyFill="1" applyBorder="1" applyAlignment="1">
      <alignment horizontal="right"/>
    </xf>
    <xf numFmtId="10" fontId="6" fillId="0" borderId="0" xfId="122" applyNumberFormat="1" applyFont="1" applyFill="1" applyBorder="1" applyAlignment="1">
      <alignment horizontal="right"/>
    </xf>
    <xf numFmtId="0" fontId="26" fillId="0" borderId="0" xfId="122" applyFont="1" applyBorder="1" applyAlignment="1">
      <alignment horizontal="left"/>
    </xf>
    <xf numFmtId="166" fontId="6" fillId="0" borderId="0" xfId="122" applyNumberFormat="1" applyFont="1" applyFill="1" applyBorder="1" applyAlignment="1">
      <alignment horizontal="right"/>
    </xf>
    <xf numFmtId="0" fontId="26" fillId="0" borderId="0" xfId="122" applyFont="1" applyBorder="1" applyAlignment="1">
      <alignment horizontal="right"/>
    </xf>
    <xf numFmtId="0" fontId="4" fillId="0" borderId="0" xfId="122" applyFont="1" applyBorder="1" applyAlignment="1">
      <alignment horizontal="left"/>
    </xf>
    <xf numFmtId="169" fontId="3" fillId="0" borderId="0" xfId="122" applyNumberFormat="1" applyAlignment="1">
      <alignment horizontal="right"/>
    </xf>
    <xf numFmtId="0" fontId="3" fillId="0" borderId="0" xfId="122" applyFont="1"/>
    <xf numFmtId="0" fontId="3" fillId="0" borderId="0" xfId="122" applyAlignment="1"/>
    <xf numFmtId="166" fontId="3" fillId="0" borderId="0" xfId="122" applyNumberFormat="1" applyFont="1" applyBorder="1" applyAlignment="1">
      <alignment horizontal="right"/>
    </xf>
    <xf numFmtId="166" fontId="3" fillId="0" borderId="0" xfId="122" applyNumberFormat="1" applyFont="1" applyBorder="1"/>
    <xf numFmtId="0" fontId="22" fillId="0" borderId="0" xfId="122" applyFont="1" applyBorder="1" applyAlignment="1">
      <alignment horizontal="left"/>
    </xf>
    <xf numFmtId="169" fontId="3" fillId="0" borderId="0" xfId="122" applyNumberFormat="1" applyBorder="1"/>
    <xf numFmtId="0" fontId="9" fillId="0" borderId="83" xfId="0" applyFont="1" applyFill="1" applyBorder="1"/>
    <xf numFmtId="42" fontId="15" fillId="0" borderId="44" xfId="0" applyNumberFormat="1" applyFont="1" applyFill="1" applyBorder="1"/>
    <xf numFmtId="0" fontId="9" fillId="0" borderId="44" xfId="0" applyFont="1" applyFill="1" applyBorder="1"/>
    <xf numFmtId="166" fontId="9" fillId="0" borderId="44" xfId="0" applyNumberFormat="1" applyFont="1" applyFill="1" applyBorder="1" applyAlignment="1">
      <alignment horizontal="right" vertical="center" wrapText="1"/>
    </xf>
    <xf numFmtId="3" fontId="9" fillId="0" borderId="44" xfId="0" applyNumberFormat="1" applyFont="1" applyFill="1" applyBorder="1"/>
    <xf numFmtId="0" fontId="9" fillId="0" borderId="45" xfId="0" applyFont="1" applyFill="1" applyBorder="1"/>
    <xf numFmtId="42" fontId="15" fillId="0" borderId="43" xfId="0" applyNumberFormat="1" applyFont="1" applyFill="1" applyBorder="1" applyAlignment="1">
      <alignment horizontal="center" wrapText="1"/>
    </xf>
    <xf numFmtId="0" fontId="9" fillId="0" borderId="49" xfId="0" applyFont="1" applyFill="1" applyBorder="1"/>
    <xf numFmtId="42" fontId="9" fillId="0" borderId="27" xfId="0" applyNumberFormat="1" applyFont="1" applyFill="1" applyBorder="1"/>
    <xf numFmtId="0" fontId="9" fillId="0" borderId="27" xfId="0" applyFont="1" applyFill="1" applyBorder="1" applyAlignment="1">
      <alignment horizontal="center"/>
    </xf>
    <xf numFmtId="3" fontId="9" fillId="0" borderId="27" xfId="0" applyNumberFormat="1" applyFont="1" applyFill="1" applyBorder="1" applyAlignment="1">
      <alignment horizontal="center"/>
    </xf>
    <xf numFmtId="0" fontId="9" fillId="0" borderId="28" xfId="0" applyFont="1" applyFill="1" applyBorder="1" applyAlignment="1">
      <alignment horizontal="center"/>
    </xf>
    <xf numFmtId="166" fontId="17" fillId="0" borderId="50" xfId="0" applyNumberFormat="1" applyFont="1" applyFill="1" applyBorder="1"/>
    <xf numFmtId="0" fontId="9" fillId="0" borderId="58" xfId="0" applyFont="1" applyFill="1" applyBorder="1"/>
    <xf numFmtId="42" fontId="15" fillId="0" borderId="59" xfId="0" applyNumberFormat="1" applyFont="1" applyFill="1" applyBorder="1" applyAlignment="1">
      <alignment horizontal="center" wrapText="1"/>
    </xf>
    <xf numFmtId="166" fontId="17" fillId="0" borderId="59" xfId="0" applyNumberFormat="1" applyFont="1" applyFill="1" applyBorder="1"/>
    <xf numFmtId="42" fontId="15" fillId="0" borderId="39" xfId="0" applyNumberFormat="1" applyFont="1" applyFill="1" applyBorder="1"/>
    <xf numFmtId="0" fontId="9" fillId="0" borderId="65" xfId="0" applyFont="1" applyFill="1" applyBorder="1"/>
    <xf numFmtId="42" fontId="15" fillId="0" borderId="60" xfId="0" applyNumberFormat="1" applyFont="1" applyFill="1" applyBorder="1"/>
    <xf numFmtId="166" fontId="9" fillId="0" borderId="60" xfId="0" applyNumberFormat="1" applyFont="1" applyFill="1" applyBorder="1" applyAlignment="1">
      <alignment horizontal="right" vertical="center" wrapText="1"/>
    </xf>
    <xf numFmtId="0" fontId="9" fillId="0" borderId="80" xfId="0" applyFont="1" applyFill="1" applyBorder="1"/>
    <xf numFmtId="0" fontId="9" fillId="0" borderId="29" xfId="0" applyFont="1" applyFill="1" applyBorder="1" applyAlignment="1">
      <alignment horizontal="center"/>
    </xf>
    <xf numFmtId="0" fontId="9" fillId="0" borderId="53" xfId="0" applyFont="1" applyFill="1" applyBorder="1" applyAlignment="1">
      <alignment horizontal="center"/>
    </xf>
    <xf numFmtId="42" fontId="9" fillId="0" borderId="59" xfId="0" applyNumberFormat="1" applyFont="1" applyFill="1" applyBorder="1"/>
    <xf numFmtId="0" fontId="9" fillId="0" borderId="59" xfId="0" applyFont="1" applyFill="1" applyBorder="1" applyAlignment="1">
      <alignment horizontal="center"/>
    </xf>
    <xf numFmtId="3" fontId="9" fillId="0" borderId="59" xfId="0" applyNumberFormat="1" applyFont="1" applyFill="1" applyBorder="1" applyAlignment="1">
      <alignment horizontal="center"/>
    </xf>
    <xf numFmtId="0" fontId="9" fillId="0" borderId="76" xfId="0" applyFont="1" applyFill="1" applyBorder="1" applyAlignment="1">
      <alignment horizontal="center"/>
    </xf>
    <xf numFmtId="3" fontId="9" fillId="0" borderId="65" xfId="0" applyNumberFormat="1" applyFont="1" applyFill="1" applyBorder="1"/>
    <xf numFmtId="42" fontId="15" fillId="0" borderId="54" xfId="0" applyNumberFormat="1" applyFont="1" applyFill="1" applyBorder="1"/>
    <xf numFmtId="166" fontId="9" fillId="0" borderId="59" xfId="0" applyNumberFormat="1" applyFont="1" applyFill="1" applyBorder="1" applyAlignment="1">
      <alignment horizontal="right" wrapText="1"/>
    </xf>
    <xf numFmtId="42" fontId="9" fillId="0" borderId="29" xfId="0" applyNumberFormat="1" applyFont="1" applyFill="1" applyBorder="1" applyAlignment="1">
      <alignment horizontal="center" wrapText="1"/>
    </xf>
    <xf numFmtId="42" fontId="9" fillId="0" borderId="59" xfId="0" applyNumberFormat="1" applyFont="1" applyFill="1" applyBorder="1" applyAlignment="1">
      <alignment horizontal="center" wrapText="1"/>
    </xf>
    <xf numFmtId="0" fontId="31" fillId="0" borderId="0" xfId="122" applyFont="1" applyAlignment="1"/>
    <xf numFmtId="0" fontId="7" fillId="0" borderId="0" xfId="122" applyFont="1" applyBorder="1" applyAlignment="1">
      <alignment horizontal="center"/>
    </xf>
    <xf numFmtId="0" fontId="13" fillId="27" borderId="12" xfId="122" applyFont="1" applyFill="1" applyBorder="1"/>
    <xf numFmtId="0" fontId="14" fillId="27" borderId="13" xfId="122" applyFont="1" applyFill="1" applyBorder="1"/>
    <xf numFmtId="0" fontId="15" fillId="27" borderId="13" xfId="122" applyFont="1" applyFill="1" applyBorder="1" applyAlignment="1">
      <alignment horizontal="center" wrapText="1"/>
    </xf>
    <xf numFmtId="0" fontId="9" fillId="27" borderId="15" xfId="122" applyFont="1" applyFill="1" applyBorder="1"/>
    <xf numFmtId="0" fontId="3" fillId="25" borderId="0" xfId="122" applyFont="1" applyFill="1" applyBorder="1"/>
    <xf numFmtId="0" fontId="3" fillId="0" borderId="0" xfId="122" applyFont="1" applyFill="1" applyBorder="1"/>
    <xf numFmtId="0" fontId="3" fillId="25" borderId="0" xfId="122" applyFill="1" applyBorder="1"/>
    <xf numFmtId="0" fontId="9" fillId="0" borderId="34" xfId="122" applyFont="1" applyFill="1" applyBorder="1" applyAlignment="1"/>
    <xf numFmtId="0" fontId="15" fillId="0" borderId="61" xfId="122" applyFont="1" applyFill="1" applyBorder="1" applyAlignment="1">
      <alignment horizontal="left"/>
    </xf>
    <xf numFmtId="0" fontId="3" fillId="26" borderId="0" xfId="122" applyFill="1" applyBorder="1"/>
    <xf numFmtId="0" fontId="9" fillId="0" borderId="23" xfId="122" applyFont="1" applyFill="1" applyBorder="1" applyAlignment="1">
      <alignment horizontal="left"/>
    </xf>
    <xf numFmtId="0" fontId="8" fillId="0" borderId="0" xfId="122" applyFont="1" applyFill="1"/>
    <xf numFmtId="0" fontId="9" fillId="0" borderId="23" xfId="122" applyFont="1" applyFill="1" applyBorder="1" applyAlignment="1"/>
    <xf numFmtId="0" fontId="9" fillId="0" borderId="34" xfId="122" applyFont="1" applyFill="1" applyBorder="1" applyAlignment="1">
      <alignment horizontal="left"/>
    </xf>
    <xf numFmtId="0" fontId="9" fillId="0" borderId="23" xfId="122" applyFont="1" applyFill="1" applyBorder="1" applyAlignment="1">
      <alignment horizontal="left" vertical="center"/>
    </xf>
    <xf numFmtId="0" fontId="9" fillId="0" borderId="58" xfId="122" applyFont="1" applyFill="1" applyBorder="1" applyAlignment="1">
      <alignment horizontal="left" vertical="center"/>
    </xf>
    <xf numFmtId="0" fontId="8" fillId="0" borderId="0" xfId="122" applyFont="1" applyBorder="1"/>
    <xf numFmtId="0" fontId="15" fillId="27" borderId="39" xfId="122" applyFont="1" applyFill="1" applyBorder="1" applyAlignment="1">
      <alignment horizontal="left"/>
    </xf>
    <xf numFmtId="0" fontId="15" fillId="0" borderId="23" xfId="122" applyFont="1" applyFill="1" applyBorder="1" applyAlignment="1">
      <alignment horizontal="left" vertical="center"/>
    </xf>
    <xf numFmtId="0" fontId="9" fillId="0" borderId="34" xfId="122" applyFont="1" applyFill="1" applyBorder="1" applyAlignment="1">
      <alignment horizontal="left" vertical="center"/>
    </xf>
    <xf numFmtId="0" fontId="9" fillId="0" borderId="26" xfId="122" applyFont="1" applyFill="1" applyBorder="1" applyAlignment="1">
      <alignment horizontal="left" vertical="center"/>
    </xf>
    <xf numFmtId="0" fontId="9" fillId="0" borderId="18" xfId="122" applyFont="1" applyFill="1" applyBorder="1" applyAlignment="1">
      <alignment horizontal="left"/>
    </xf>
    <xf numFmtId="0" fontId="11" fillId="0" borderId="0" xfId="122" applyFont="1" applyBorder="1"/>
    <xf numFmtId="0" fontId="9" fillId="0" borderId="17" xfId="122" applyFont="1" applyFill="1" applyBorder="1" applyAlignment="1">
      <alignment horizontal="left"/>
    </xf>
    <xf numFmtId="0" fontId="11" fillId="0" borderId="0" xfId="122" applyFont="1"/>
    <xf numFmtId="0" fontId="9" fillId="0" borderId="74" xfId="122" applyFont="1" applyFill="1" applyBorder="1" applyAlignment="1">
      <alignment horizontal="left"/>
    </xf>
    <xf numFmtId="0" fontId="15" fillId="27" borderId="11" xfId="122" applyFont="1" applyFill="1" applyBorder="1" applyAlignment="1">
      <alignment horizontal="left"/>
    </xf>
    <xf numFmtId="0" fontId="15" fillId="0" borderId="13" xfId="122" applyFont="1" applyFill="1" applyBorder="1" applyAlignment="1">
      <alignment horizontal="left"/>
    </xf>
    <xf numFmtId="0" fontId="9" fillId="0" borderId="61" xfId="122" applyFont="1" applyBorder="1"/>
    <xf numFmtId="0" fontId="9" fillId="0" borderId="0" xfId="122" applyFont="1" applyBorder="1"/>
    <xf numFmtId="42" fontId="3" fillId="0" borderId="0" xfId="122" applyNumberFormat="1"/>
    <xf numFmtId="0" fontId="14" fillId="0" borderId="0" xfId="122" applyFont="1"/>
    <xf numFmtId="0" fontId="15" fillId="0" borderId="0" xfId="122" applyFont="1" applyAlignment="1">
      <alignment horizontal="center"/>
    </xf>
    <xf numFmtId="0" fontId="14" fillId="0" borderId="0" xfId="122" applyFont="1" applyFill="1"/>
    <xf numFmtId="0" fontId="14" fillId="0" borderId="0" xfId="122" applyFont="1" applyFill="1" applyBorder="1"/>
    <xf numFmtId="0" fontId="13" fillId="0" borderId="0" xfId="122" applyFont="1"/>
    <xf numFmtId="3" fontId="14" fillId="0" borderId="0" xfId="122" applyNumberFormat="1" applyFont="1" applyFill="1" applyAlignment="1">
      <alignment horizontal="center"/>
    </xf>
    <xf numFmtId="0" fontId="14" fillId="0" borderId="0" xfId="122" applyFont="1" applyBorder="1" applyAlignment="1">
      <alignment horizontal="center"/>
    </xf>
    <xf numFmtId="0" fontId="14" fillId="0" borderId="0" xfId="122" applyFont="1" applyFill="1" applyBorder="1" applyAlignment="1">
      <alignment horizontal="center"/>
    </xf>
    <xf numFmtId="0" fontId="15" fillId="27" borderId="11" xfId="122" applyFont="1" applyFill="1" applyBorder="1" applyAlignment="1">
      <alignment horizontal="center" wrapText="1"/>
    </xf>
    <xf numFmtId="42" fontId="15" fillId="0" borderId="11" xfId="122" applyNumberFormat="1" applyFont="1" applyFill="1" applyBorder="1" applyAlignment="1">
      <alignment horizontal="center" wrapText="1"/>
    </xf>
    <xf numFmtId="164" fontId="14" fillId="0" borderId="0" xfId="69" applyNumberFormat="1" applyFont="1" applyFill="1"/>
    <xf numFmtId="3" fontId="84" fillId="0" borderId="0" xfId="122" applyNumberFormat="1" applyFont="1" applyFill="1" applyBorder="1" applyAlignment="1">
      <alignment horizontal="center"/>
    </xf>
    <xf numFmtId="42" fontId="14" fillId="0" borderId="0" xfId="122" applyNumberFormat="1" applyFont="1" applyBorder="1" applyAlignment="1">
      <alignment horizontal="center"/>
    </xf>
    <xf numFmtId="44" fontId="14" fillId="0" borderId="0" xfId="122" applyNumberFormat="1" applyFont="1"/>
    <xf numFmtId="0" fontId="14" fillId="0" borderId="0" xfId="122" applyFont="1" applyBorder="1"/>
    <xf numFmtId="0" fontId="9" fillId="0" borderId="58" xfId="122" applyFont="1" applyFill="1" applyBorder="1" applyAlignment="1">
      <alignment horizontal="left"/>
    </xf>
    <xf numFmtId="0" fontId="15" fillId="27" borderId="35" xfId="122" applyFont="1" applyFill="1" applyBorder="1" applyAlignment="1">
      <alignment horizontal="left"/>
    </xf>
    <xf numFmtId="165" fontId="14" fillId="0" borderId="0" xfId="122" applyNumberFormat="1" applyFont="1" applyFill="1"/>
    <xf numFmtId="42" fontId="14" fillId="0" borderId="0" xfId="122" applyNumberFormat="1" applyFont="1" applyFill="1" applyBorder="1"/>
    <xf numFmtId="0" fontId="9" fillId="0" borderId="0" xfId="122" applyFont="1" applyFill="1" applyBorder="1" applyAlignment="1">
      <alignment horizontal="center"/>
    </xf>
    <xf numFmtId="173" fontId="9" fillId="0" borderId="0" xfId="149" applyNumberFormat="1" applyFont="1" applyBorder="1" applyAlignment="1">
      <alignment horizontal="center"/>
    </xf>
    <xf numFmtId="9" fontId="9" fillId="0" borderId="0" xfId="149" applyFont="1" applyBorder="1"/>
    <xf numFmtId="164" fontId="9" fillId="0" borderId="14" xfId="122" applyNumberFormat="1" applyFont="1" applyBorder="1"/>
    <xf numFmtId="165" fontId="14" fillId="0" borderId="0" xfId="122" applyNumberFormat="1" applyFont="1" applyFill="1" applyBorder="1"/>
    <xf numFmtId="42" fontId="14" fillId="0" borderId="0" xfId="122" applyNumberFormat="1" applyFont="1" applyFill="1"/>
    <xf numFmtId="0" fontId="9" fillId="0" borderId="18" xfId="122" applyFont="1" applyFill="1" applyBorder="1" applyAlignment="1"/>
    <xf numFmtId="10" fontId="14" fillId="0" borderId="0" xfId="122" applyNumberFormat="1" applyFont="1" applyBorder="1"/>
    <xf numFmtId="10" fontId="14" fillId="0" borderId="0" xfId="149" applyNumberFormat="1" applyFont="1" applyFill="1" applyBorder="1" applyAlignment="1">
      <alignment horizontal="center"/>
    </xf>
    <xf numFmtId="42" fontId="14" fillId="0" borderId="0" xfId="122" applyNumberFormat="1" applyFont="1" applyBorder="1"/>
    <xf numFmtId="186" fontId="14" fillId="0" borderId="0" xfId="149" applyNumberFormat="1" applyFont="1"/>
    <xf numFmtId="42" fontId="14" fillId="0" borderId="0" xfId="149" applyNumberFormat="1" applyFont="1"/>
    <xf numFmtId="173" fontId="14" fillId="0" borderId="0" xfId="149" applyNumberFormat="1" applyFont="1" applyFill="1" applyBorder="1"/>
    <xf numFmtId="10" fontId="14" fillId="0" borderId="0" xfId="122" applyNumberFormat="1" applyFont="1"/>
    <xf numFmtId="37" fontId="14" fillId="0" borderId="0" xfId="122" applyNumberFormat="1" applyFont="1"/>
    <xf numFmtId="0" fontId="9" fillId="0" borderId="11" xfId="122" applyFont="1" applyFill="1" applyBorder="1" applyAlignment="1">
      <alignment horizontal="left" indent="1"/>
    </xf>
    <xf numFmtId="42" fontId="9" fillId="0" borderId="11" xfId="122" applyNumberFormat="1" applyFont="1" applyFill="1" applyBorder="1" applyAlignment="1">
      <alignment horizontal="center"/>
    </xf>
    <xf numFmtId="0" fontId="13" fillId="0" borderId="0" xfId="122" applyFont="1" applyFill="1" applyBorder="1" applyAlignment="1"/>
    <xf numFmtId="42" fontId="9" fillId="0" borderId="50" xfId="122" applyNumberFormat="1" applyFont="1" applyFill="1" applyBorder="1" applyAlignment="1">
      <alignment horizontal="center"/>
    </xf>
    <xf numFmtId="42" fontId="9" fillId="0" borderId="52" xfId="122" applyNumberFormat="1" applyFont="1" applyBorder="1" applyAlignment="1">
      <alignment horizontal="center"/>
    </xf>
    <xf numFmtId="173" fontId="9" fillId="0" borderId="0" xfId="149" applyNumberFormat="1" applyFont="1" applyFill="1" applyBorder="1" applyAlignment="1">
      <alignment horizontal="left"/>
    </xf>
    <xf numFmtId="0" fontId="9" fillId="0" borderId="67" xfId="122" applyFont="1" applyFill="1" applyBorder="1" applyAlignment="1"/>
    <xf numFmtId="42" fontId="9" fillId="0" borderId="48" xfId="122" applyNumberFormat="1" applyFont="1" applyFill="1" applyBorder="1" applyAlignment="1">
      <alignment horizontal="center"/>
    </xf>
    <xf numFmtId="42" fontId="9" fillId="0" borderId="47" xfId="122" applyNumberFormat="1" applyFont="1" applyBorder="1" applyAlignment="1">
      <alignment horizontal="center"/>
    </xf>
    <xf numFmtId="0" fontId="13" fillId="36" borderId="49" xfId="122" applyFont="1" applyFill="1" applyBorder="1" applyAlignment="1">
      <alignment horizontal="left"/>
    </xf>
    <xf numFmtId="42" fontId="15" fillId="36" borderId="27" xfId="122" applyNumberFormat="1" applyFont="1" applyFill="1" applyBorder="1" applyAlignment="1">
      <alignment horizontal="center"/>
    </xf>
    <xf numFmtId="42" fontId="15" fillId="36" borderId="28" xfId="122" applyNumberFormat="1" applyFont="1" applyFill="1" applyBorder="1" applyAlignment="1">
      <alignment horizontal="center"/>
    </xf>
    <xf numFmtId="42" fontId="9" fillId="0" borderId="29" xfId="122" applyNumberFormat="1" applyFont="1" applyFill="1" applyBorder="1" applyAlignment="1">
      <alignment horizontal="center"/>
    </xf>
    <xf numFmtId="42" fontId="9" fillId="0" borderId="53" xfId="122" applyNumberFormat="1" applyFont="1" applyBorder="1" applyAlignment="1">
      <alignment horizontal="center"/>
    </xf>
    <xf numFmtId="0" fontId="9" fillId="0" borderId="67" xfId="122" applyFont="1" applyFill="1" applyBorder="1" applyAlignment="1">
      <alignment horizontal="left" vertical="center"/>
    </xf>
    <xf numFmtId="0" fontId="13" fillId="37" borderId="49" xfId="122" applyFont="1" applyFill="1" applyBorder="1" applyAlignment="1">
      <alignment horizontal="left"/>
    </xf>
    <xf numFmtId="42" fontId="15" fillId="37" borderId="27" xfId="122" applyNumberFormat="1" applyFont="1" applyFill="1" applyBorder="1" applyAlignment="1">
      <alignment horizontal="center"/>
    </xf>
    <xf numFmtId="0" fontId="13" fillId="27" borderId="58" xfId="122" applyFont="1" applyFill="1" applyBorder="1" applyAlignment="1">
      <alignment horizontal="left"/>
    </xf>
    <xf numFmtId="42" fontId="15" fillId="37" borderId="59" xfId="122" applyNumberFormat="1" applyFont="1" applyFill="1" applyBorder="1" applyAlignment="1">
      <alignment horizontal="center"/>
    </xf>
    <xf numFmtId="0" fontId="15" fillId="27" borderId="19" xfId="122" applyFont="1" applyFill="1" applyBorder="1" applyAlignment="1">
      <alignment horizontal="left"/>
    </xf>
    <xf numFmtId="0" fontId="32" fillId="0" borderId="18" xfId="122" applyFont="1" applyFill="1" applyBorder="1"/>
    <xf numFmtId="165" fontId="21" fillId="0" borderId="23" xfId="93" applyNumberFormat="1" applyFont="1" applyFill="1" applyBorder="1" applyAlignment="1">
      <alignment horizontal="center"/>
    </xf>
    <xf numFmtId="165" fontId="21" fillId="0" borderId="52" xfId="93" applyNumberFormat="1" applyFont="1" applyFill="1" applyBorder="1" applyAlignment="1">
      <alignment horizontal="center"/>
    </xf>
    <xf numFmtId="0" fontId="32" fillId="0" borderId="17" xfId="122" applyFont="1" applyFill="1" applyBorder="1"/>
    <xf numFmtId="165" fontId="21" fillId="0" borderId="34" xfId="93" applyNumberFormat="1" applyFont="1" applyFill="1" applyBorder="1" applyAlignment="1">
      <alignment horizontal="center"/>
    </xf>
    <xf numFmtId="165" fontId="21" fillId="0" borderId="53" xfId="93" applyNumberFormat="1" applyFont="1" applyFill="1" applyBorder="1" applyAlignment="1">
      <alignment horizontal="center"/>
    </xf>
    <xf numFmtId="174" fontId="14" fillId="0" borderId="0" xfId="149" applyNumberFormat="1" applyFont="1" applyFill="1"/>
    <xf numFmtId="3" fontId="85" fillId="0" borderId="0" xfId="93" applyNumberFormat="1" applyFont="1" applyFill="1" applyBorder="1" applyAlignment="1">
      <alignment horizontal="center"/>
    </xf>
    <xf numFmtId="0" fontId="32" fillId="0" borderId="74" xfId="122" applyFont="1" applyFill="1" applyBorder="1"/>
    <xf numFmtId="165" fontId="21" fillId="0" borderId="58" xfId="93" applyNumberFormat="1" applyFont="1" applyFill="1" applyBorder="1" applyAlignment="1">
      <alignment horizontal="center"/>
    </xf>
    <xf numFmtId="165" fontId="21" fillId="0" borderId="76" xfId="93" applyNumberFormat="1" applyFont="1" applyFill="1" applyBorder="1" applyAlignment="1">
      <alignment horizontal="center"/>
    </xf>
    <xf numFmtId="0" fontId="14" fillId="0" borderId="0" xfId="122" applyFont="1" applyFill="1" applyAlignment="1">
      <alignment horizontal="center"/>
    </xf>
    <xf numFmtId="0" fontId="14" fillId="0" borderId="0" xfId="122" quotePrefix="1" applyFont="1" applyAlignment="1">
      <alignment horizontal="center"/>
    </xf>
    <xf numFmtId="0" fontId="13" fillId="0" borderId="0" xfId="122" applyFont="1" applyFill="1"/>
    <xf numFmtId="0" fontId="14" fillId="0" borderId="0" xfId="122" applyFont="1" applyAlignment="1">
      <alignment horizontal="center"/>
    </xf>
    <xf numFmtId="42" fontId="14" fillId="0" borderId="0" xfId="122" applyNumberFormat="1" applyFont="1"/>
    <xf numFmtId="0" fontId="13" fillId="0" borderId="0" xfId="122" applyFont="1" applyAlignment="1">
      <alignment horizontal="left"/>
    </xf>
    <xf numFmtId="44" fontId="14" fillId="0" borderId="0" xfId="122" applyNumberFormat="1" applyFont="1" applyFill="1" applyAlignment="1">
      <alignment horizontal="center"/>
    </xf>
    <xf numFmtId="44" fontId="14" fillId="0" borderId="0" xfId="122" applyNumberFormat="1" applyFont="1" applyAlignment="1">
      <alignment horizontal="center"/>
    </xf>
    <xf numFmtId="42" fontId="14" fillId="0" borderId="0" xfId="122" applyNumberFormat="1" applyFont="1" applyFill="1" applyAlignment="1">
      <alignment horizontal="center"/>
    </xf>
    <xf numFmtId="0" fontId="14" fillId="0" borderId="0" xfId="122" applyFont="1" applyBorder="1" applyAlignment="1">
      <alignment horizontal="left" indent="5"/>
    </xf>
    <xf numFmtId="0" fontId="7" fillId="0" borderId="0" xfId="122" applyFont="1" applyAlignment="1"/>
    <xf numFmtId="42" fontId="4" fillId="0" borderId="0" xfId="122" applyNumberFormat="1" applyFont="1" applyAlignment="1">
      <alignment horizontal="center"/>
    </xf>
    <xf numFmtId="0" fontId="4" fillId="0" borderId="0" xfId="122" applyFont="1" applyAlignment="1">
      <alignment horizontal="center"/>
    </xf>
    <xf numFmtId="42" fontId="3" fillId="0" borderId="0" xfId="122" applyNumberFormat="1" applyAlignment="1"/>
    <xf numFmtId="0" fontId="3" fillId="0" borderId="0" xfId="122" applyAlignment="1">
      <alignment horizontal="center"/>
    </xf>
    <xf numFmtId="166" fontId="3" fillId="0" borderId="0" xfId="122" applyNumberFormat="1" applyAlignment="1">
      <alignment horizontal="right"/>
    </xf>
    <xf numFmtId="42" fontId="23" fillId="0" borderId="0" xfId="122" applyNumberFormat="1" applyFont="1"/>
    <xf numFmtId="166" fontId="23" fillId="0" borderId="0" xfId="122" applyNumberFormat="1" applyFont="1" applyAlignment="1">
      <alignment horizontal="right"/>
    </xf>
    <xf numFmtId="10" fontId="3" fillId="0" borderId="0" xfId="122" applyNumberFormat="1" applyAlignment="1">
      <alignment horizontal="center"/>
    </xf>
    <xf numFmtId="0" fontId="4" fillId="0" borderId="0" xfId="122" applyFont="1" applyAlignment="1">
      <alignment horizontal="left"/>
    </xf>
    <xf numFmtId="42" fontId="4" fillId="0" borderId="0" xfId="122" applyNumberFormat="1" applyFont="1"/>
    <xf numFmtId="166" fontId="4" fillId="0" borderId="0" xfId="122" applyNumberFormat="1" applyFont="1" applyAlignment="1">
      <alignment horizontal="right"/>
    </xf>
    <xf numFmtId="0" fontId="10" fillId="0" borderId="0" xfId="122" applyFont="1"/>
    <xf numFmtId="165" fontId="9" fillId="0" borderId="0" xfId="122" applyNumberFormat="1" applyFont="1" applyFill="1" applyBorder="1" applyAlignment="1">
      <alignment horizontal="center"/>
    </xf>
    <xf numFmtId="0" fontId="9" fillId="0" borderId="0" xfId="122" applyFont="1" applyBorder="1" applyAlignment="1">
      <alignment horizontal="center"/>
    </xf>
    <xf numFmtId="165" fontId="9" fillId="0" borderId="0" xfId="122" applyNumberFormat="1" applyFont="1" applyBorder="1"/>
    <xf numFmtId="10" fontId="14" fillId="0" borderId="83" xfId="149" applyNumberFormat="1" applyFont="1" applyBorder="1"/>
    <xf numFmtId="0" fontId="14" fillId="0" borderId="83" xfId="122" applyFont="1" applyBorder="1"/>
    <xf numFmtId="0" fontId="13" fillId="36" borderId="35" xfId="122" applyFont="1" applyFill="1" applyBorder="1" applyAlignment="1">
      <alignment horizontal="left"/>
    </xf>
    <xf numFmtId="42" fontId="78" fillId="0" borderId="14" xfId="122" applyNumberFormat="1" applyFont="1" applyBorder="1" applyAlignment="1">
      <alignment horizontal="center" vertical="center" wrapText="1"/>
    </xf>
    <xf numFmtId="0" fontId="78" fillId="0" borderId="19" xfId="122" applyFont="1" applyBorder="1" applyAlignment="1">
      <alignment horizontal="right" vertical="center" wrapText="1"/>
    </xf>
    <xf numFmtId="0" fontId="78" fillId="0" borderId="35" xfId="122" applyFont="1" applyBorder="1" applyAlignment="1">
      <alignment horizontal="right" vertical="center" wrapText="1"/>
    </xf>
    <xf numFmtId="42" fontId="78" fillId="0" borderId="36" xfId="122" applyNumberFormat="1" applyFont="1" applyBorder="1" applyAlignment="1">
      <alignment horizontal="center" vertical="center" wrapText="1"/>
    </xf>
    <xf numFmtId="0" fontId="78" fillId="0" borderId="19" xfId="122" applyFont="1" applyBorder="1" applyAlignment="1">
      <alignment horizontal="center" vertical="center" wrapText="1"/>
    </xf>
    <xf numFmtId="0" fontId="78" fillId="0" borderId="0" xfId="122" applyFont="1" applyBorder="1" applyAlignment="1">
      <alignment horizontal="center" vertical="center" wrapText="1"/>
    </xf>
    <xf numFmtId="0" fontId="78" fillId="0" borderId="0" xfId="122" applyFont="1" applyBorder="1"/>
    <xf numFmtId="0" fontId="31" fillId="0" borderId="0" xfId="122" applyFont="1" applyFill="1" applyAlignment="1"/>
    <xf numFmtId="0" fontId="7" fillId="0" borderId="0" xfId="122" applyFont="1" applyFill="1" applyBorder="1" applyAlignment="1">
      <alignment horizontal="center"/>
    </xf>
    <xf numFmtId="0" fontId="7" fillId="0" borderId="21" xfId="122" applyFont="1" applyBorder="1" applyAlignment="1"/>
    <xf numFmtId="0" fontId="24" fillId="38" borderId="24" xfId="122" applyFont="1" applyFill="1" applyBorder="1" applyAlignment="1">
      <alignment horizontal="center"/>
    </xf>
    <xf numFmtId="0" fontId="12" fillId="0" borderId="0" xfId="122" applyFont="1" applyAlignment="1">
      <alignment horizontal="center"/>
    </xf>
    <xf numFmtId="0" fontId="15" fillId="38" borderId="14" xfId="122" applyFont="1" applyFill="1" applyBorder="1" applyAlignment="1">
      <alignment horizontal="center"/>
    </xf>
    <xf numFmtId="0" fontId="15" fillId="38" borderId="14" xfId="122" applyFont="1" applyFill="1" applyBorder="1" applyAlignment="1">
      <alignment horizontal="center" wrapText="1"/>
    </xf>
    <xf numFmtId="0" fontId="15" fillId="38" borderId="20" xfId="122" applyFont="1" applyFill="1" applyBorder="1" applyAlignment="1">
      <alignment horizontal="center"/>
    </xf>
    <xf numFmtId="0" fontId="9" fillId="38" borderId="20" xfId="122" applyFont="1" applyFill="1" applyBorder="1"/>
    <xf numFmtId="49" fontId="15" fillId="38" borderId="20" xfId="93" applyNumberFormat="1" applyFont="1" applyFill="1" applyBorder="1" applyAlignment="1">
      <alignment horizontal="center" wrapText="1"/>
    </xf>
    <xf numFmtId="165" fontId="9" fillId="0" borderId="50" xfId="93" applyNumberFormat="1" applyFont="1" applyFill="1" applyBorder="1" applyAlignment="1"/>
    <xf numFmtId="176" fontId="3" fillId="0" borderId="0" xfId="122" applyNumberFormat="1" applyFill="1" applyBorder="1"/>
    <xf numFmtId="165" fontId="9" fillId="0" borderId="29" xfId="93" applyNumberFormat="1" applyFont="1" applyFill="1" applyBorder="1" applyAlignment="1"/>
    <xf numFmtId="42" fontId="3" fillId="0" borderId="0" xfId="122" applyNumberFormat="1" applyFill="1"/>
    <xf numFmtId="169" fontId="9" fillId="0" borderId="29" xfId="122" applyNumberFormat="1" applyFont="1" applyFill="1" applyBorder="1" applyAlignment="1">
      <alignment horizontal="right"/>
    </xf>
    <xf numFmtId="10" fontId="0" fillId="0" borderId="0" xfId="149" applyNumberFormat="1" applyFont="1" applyFill="1" applyBorder="1"/>
    <xf numFmtId="169" fontId="9" fillId="0" borderId="59" xfId="122" applyNumberFormat="1" applyFont="1" applyFill="1" applyBorder="1" applyAlignment="1">
      <alignment horizontal="right"/>
    </xf>
    <xf numFmtId="0" fontId="15" fillId="27" borderId="35" xfId="122" applyFont="1" applyFill="1" applyBorder="1" applyAlignment="1"/>
    <xf numFmtId="165" fontId="15" fillId="37" borderId="35" xfId="93" applyNumberFormat="1" applyFont="1" applyFill="1" applyBorder="1" applyAlignment="1"/>
    <xf numFmtId="165" fontId="15" fillId="37" borderId="11" xfId="93" applyNumberFormat="1" applyFont="1" applyFill="1" applyBorder="1" applyAlignment="1"/>
    <xf numFmtId="0" fontId="3" fillId="0" borderId="61" xfId="122" applyBorder="1"/>
    <xf numFmtId="0" fontId="15" fillId="0" borderId="0" xfId="122" applyFont="1" applyFill="1" applyBorder="1" applyAlignment="1"/>
    <xf numFmtId="175" fontId="15" fillId="0" borderId="0" xfId="149" applyNumberFormat="1" applyFont="1" applyFill="1" applyBorder="1" applyAlignment="1">
      <alignment horizontal="left"/>
    </xf>
    <xf numFmtId="0" fontId="9" fillId="0" borderId="26" xfId="122" applyFont="1" applyFill="1" applyBorder="1" applyAlignment="1">
      <alignment horizontal="left"/>
    </xf>
    <xf numFmtId="169" fontId="9" fillId="0" borderId="26" xfId="122" applyNumberFormat="1" applyFont="1" applyFill="1" applyBorder="1" applyAlignment="1">
      <alignment horizontal="right"/>
    </xf>
    <xf numFmtId="0" fontId="15" fillId="0" borderId="35" xfId="122" applyFont="1" applyFill="1" applyBorder="1" applyAlignment="1">
      <alignment horizontal="left"/>
    </xf>
    <xf numFmtId="0" fontId="15" fillId="0" borderId="0" xfId="122" applyFont="1" applyFill="1" applyBorder="1" applyAlignment="1">
      <alignment horizontal="left"/>
    </xf>
    <xf numFmtId="0" fontId="8" fillId="0" borderId="24" xfId="122" applyFont="1" applyFill="1" applyBorder="1"/>
    <xf numFmtId="0" fontId="8" fillId="0" borderId="26" xfId="122" applyFont="1" applyFill="1" applyBorder="1"/>
    <xf numFmtId="169" fontId="9" fillId="0" borderId="50" xfId="122" applyNumberFormat="1" applyFont="1" applyFill="1" applyBorder="1" applyAlignment="1">
      <alignment horizontal="right"/>
    </xf>
    <xf numFmtId="0" fontId="15" fillId="0" borderId="15" xfId="122" applyFont="1" applyFill="1" applyBorder="1" applyAlignment="1">
      <alignment horizontal="left"/>
    </xf>
    <xf numFmtId="42" fontId="15" fillId="0" borderId="15" xfId="149" applyNumberFormat="1" applyFont="1" applyFill="1" applyBorder="1" applyAlignment="1">
      <alignment horizontal="left"/>
    </xf>
    <xf numFmtId="42" fontId="15" fillId="0" borderId="39" xfId="149" applyNumberFormat="1" applyFont="1" applyFill="1" applyBorder="1" applyAlignment="1">
      <alignment horizontal="left"/>
    </xf>
    <xf numFmtId="0" fontId="9" fillId="0" borderId="19" xfId="122" applyFont="1" applyFill="1" applyBorder="1" applyAlignment="1">
      <alignment horizontal="left" indent="1"/>
    </xf>
    <xf numFmtId="42" fontId="15" fillId="37" borderId="11" xfId="93" applyNumberFormat="1" applyFont="1" applyFill="1" applyBorder="1" applyAlignment="1">
      <alignment horizontal="left"/>
    </xf>
    <xf numFmtId="42" fontId="8" fillId="0" borderId="0" xfId="122" applyNumberFormat="1" applyFont="1"/>
    <xf numFmtId="0" fontId="15" fillId="0" borderId="26" xfId="122" applyFont="1" applyFill="1" applyBorder="1" applyAlignment="1">
      <alignment horizontal="left"/>
    </xf>
    <xf numFmtId="0" fontId="15" fillId="0" borderId="25" xfId="122" applyFont="1" applyFill="1" applyBorder="1" applyAlignment="1">
      <alignment horizontal="left"/>
    </xf>
    <xf numFmtId="0" fontId="15" fillId="0" borderId="50" xfId="122" applyFont="1" applyFill="1" applyBorder="1" applyAlignment="1">
      <alignment horizontal="left"/>
    </xf>
    <xf numFmtId="0" fontId="15" fillId="0" borderId="27" xfId="122" applyFont="1" applyFill="1" applyBorder="1" applyAlignment="1">
      <alignment horizontal="left"/>
    </xf>
    <xf numFmtId="42" fontId="15" fillId="0" borderId="27" xfId="93" applyNumberFormat="1" applyFont="1" applyFill="1" applyBorder="1" applyAlignment="1">
      <alignment horizontal="left"/>
    </xf>
    <xf numFmtId="42" fontId="8" fillId="0" borderId="27" xfId="122" applyNumberFormat="1" applyFont="1" applyBorder="1"/>
    <xf numFmtId="42" fontId="8" fillId="0" borderId="28" xfId="122" applyNumberFormat="1" applyFont="1" applyBorder="1"/>
    <xf numFmtId="0" fontId="15" fillId="0" borderId="29" xfId="122" applyFont="1" applyFill="1" applyBorder="1" applyAlignment="1">
      <alignment horizontal="left"/>
    </xf>
    <xf numFmtId="0" fontId="15" fillId="0" borderId="43" xfId="122" applyFont="1" applyFill="1" applyBorder="1" applyAlignment="1">
      <alignment horizontal="left"/>
    </xf>
    <xf numFmtId="42" fontId="15" fillId="0" borderId="43" xfId="93" applyNumberFormat="1" applyFont="1" applyFill="1" applyBorder="1" applyAlignment="1">
      <alignment horizontal="left"/>
    </xf>
    <xf numFmtId="42" fontId="8" fillId="0" borderId="43" xfId="122" applyNumberFormat="1" applyFont="1" applyBorder="1"/>
    <xf numFmtId="42" fontId="9" fillId="0" borderId="43" xfId="122" applyNumberFormat="1" applyFont="1" applyBorder="1"/>
    <xf numFmtId="42" fontId="9" fillId="0" borderId="57" xfId="122" applyNumberFormat="1" applyFont="1" applyBorder="1"/>
    <xf numFmtId="0" fontId="15" fillId="0" borderId="48" xfId="122" applyFont="1" applyFill="1" applyBorder="1" applyAlignment="1">
      <alignment horizontal="left"/>
    </xf>
    <xf numFmtId="42" fontId="15" fillId="0" borderId="48" xfId="93" applyNumberFormat="1" applyFont="1" applyFill="1" applyBorder="1" applyAlignment="1">
      <alignment horizontal="left"/>
    </xf>
    <xf numFmtId="42" fontId="8" fillId="0" borderId="48" xfId="122" applyNumberFormat="1" applyFont="1" applyBorder="1"/>
    <xf numFmtId="42" fontId="9" fillId="0" borderId="48" xfId="122" applyNumberFormat="1" applyFont="1" applyBorder="1"/>
    <xf numFmtId="42" fontId="9" fillId="0" borderId="47" xfId="122" applyNumberFormat="1" applyFont="1" applyBorder="1"/>
    <xf numFmtId="165" fontId="15" fillId="0" borderId="59" xfId="93" applyNumberFormat="1" applyFont="1" applyFill="1" applyBorder="1" applyAlignment="1">
      <alignment horizontal="left"/>
    </xf>
    <xf numFmtId="169" fontId="15" fillId="0" borderId="50" xfId="122" applyNumberFormat="1" applyFont="1" applyFill="1" applyBorder="1" applyAlignment="1">
      <alignment horizontal="right" vertical="center"/>
    </xf>
    <xf numFmtId="165" fontId="15" fillId="0" borderId="50" xfId="93" applyNumberFormat="1" applyFont="1" applyFill="1" applyBorder="1" applyAlignment="1">
      <alignment horizontal="right" vertical="center"/>
    </xf>
    <xf numFmtId="169" fontId="9" fillId="0" borderId="29" xfId="122" applyNumberFormat="1" applyFont="1" applyFill="1" applyBorder="1" applyAlignment="1">
      <alignment horizontal="right" vertical="center"/>
    </xf>
    <xf numFmtId="165" fontId="9" fillId="0" borderId="29" xfId="93" applyNumberFormat="1" applyFont="1" applyFill="1" applyBorder="1" applyAlignment="1">
      <alignment horizontal="right" vertical="center"/>
    </xf>
    <xf numFmtId="0" fontId="15" fillId="0" borderId="67" xfId="122" applyFont="1" applyFill="1" applyBorder="1" applyAlignment="1">
      <alignment horizontal="left" vertical="center"/>
    </xf>
    <xf numFmtId="169" fontId="15" fillId="0" borderId="48" xfId="122" applyNumberFormat="1" applyFont="1" applyFill="1" applyBorder="1" applyAlignment="1">
      <alignment horizontal="right" vertical="center"/>
    </xf>
    <xf numFmtId="165" fontId="15" fillId="0" borderId="48" xfId="93" applyNumberFormat="1" applyFont="1" applyFill="1" applyBorder="1" applyAlignment="1">
      <alignment horizontal="right" vertical="center"/>
    </xf>
    <xf numFmtId="0" fontId="15" fillId="27" borderId="49" xfId="122" applyFont="1" applyFill="1" applyBorder="1" applyAlignment="1">
      <alignment horizontal="left"/>
    </xf>
    <xf numFmtId="42" fontId="15" fillId="37" borderId="27" xfId="93" applyNumberFormat="1" applyFont="1" applyFill="1" applyBorder="1" applyAlignment="1">
      <alignment horizontal="left"/>
    </xf>
    <xf numFmtId="0" fontId="15" fillId="0" borderId="51" xfId="122" applyFont="1" applyFill="1" applyBorder="1" applyAlignment="1">
      <alignment horizontal="left"/>
    </xf>
    <xf numFmtId="0" fontId="8" fillId="0" borderId="27" xfId="122" applyFont="1" applyBorder="1"/>
    <xf numFmtId="42" fontId="9" fillId="0" borderId="27" xfId="122" applyNumberFormat="1" applyFont="1" applyBorder="1"/>
    <xf numFmtId="42" fontId="9" fillId="0" borderId="28" xfId="122" applyNumberFormat="1" applyFont="1" applyBorder="1"/>
    <xf numFmtId="0" fontId="15" fillId="35" borderId="35" xfId="122" applyFont="1" applyFill="1" applyBorder="1" applyAlignment="1">
      <alignment horizontal="left"/>
    </xf>
    <xf numFmtId="0" fontId="15" fillId="0" borderId="59" xfId="122" applyFont="1" applyFill="1" applyBorder="1" applyAlignment="1">
      <alignment horizontal="left"/>
    </xf>
    <xf numFmtId="0" fontId="15" fillId="0" borderId="60" xfId="122" applyFont="1" applyFill="1" applyBorder="1" applyAlignment="1">
      <alignment horizontal="left"/>
    </xf>
    <xf numFmtId="0" fontId="8" fillId="0" borderId="60" xfId="122" applyFont="1" applyBorder="1"/>
    <xf numFmtId="42" fontId="15" fillId="0" borderId="60" xfId="122" applyNumberFormat="1" applyFont="1" applyBorder="1"/>
    <xf numFmtId="42" fontId="15" fillId="0" borderId="80" xfId="122" applyNumberFormat="1" applyFont="1" applyBorder="1"/>
    <xf numFmtId="0" fontId="15" fillId="0" borderId="21" xfId="122" applyFont="1" applyFill="1" applyBorder="1" applyAlignment="1">
      <alignment horizontal="left"/>
    </xf>
    <xf numFmtId="0" fontId="8" fillId="0" borderId="21" xfId="122" applyFont="1" applyFill="1" applyBorder="1"/>
    <xf numFmtId="0" fontId="8" fillId="0" borderId="43" xfId="122" applyFont="1" applyFill="1" applyBorder="1"/>
    <xf numFmtId="42" fontId="9" fillId="0" borderId="43" xfId="122" applyNumberFormat="1" applyFont="1" applyFill="1" applyBorder="1"/>
    <xf numFmtId="0" fontId="8" fillId="0" borderId="29" xfId="122" applyFont="1" applyFill="1" applyBorder="1"/>
    <xf numFmtId="42" fontId="9" fillId="0" borderId="29" xfId="122" applyNumberFormat="1" applyFont="1" applyFill="1" applyBorder="1"/>
    <xf numFmtId="165" fontId="9" fillId="0" borderId="22" xfId="93" applyNumberFormat="1" applyFont="1" applyFill="1" applyBorder="1" applyAlignment="1">
      <alignment horizontal="left"/>
    </xf>
    <xf numFmtId="165" fontId="9" fillId="0" borderId="17" xfId="93" applyNumberFormat="1" applyFont="1" applyFill="1" applyBorder="1" applyAlignment="1">
      <alignment horizontal="left"/>
    </xf>
    <xf numFmtId="165" fontId="9" fillId="0" borderId="74" xfId="93" applyNumberFormat="1" applyFont="1" applyFill="1" applyBorder="1" applyAlignment="1">
      <alignment horizontal="left"/>
    </xf>
    <xf numFmtId="0" fontId="9" fillId="0" borderId="68" xfId="122" applyFont="1" applyFill="1" applyBorder="1" applyAlignment="1">
      <alignment horizontal="left"/>
    </xf>
    <xf numFmtId="165" fontId="9" fillId="0" borderId="61" xfId="93" applyNumberFormat="1" applyFont="1" applyFill="1" applyBorder="1" applyAlignment="1">
      <alignment horizontal="left"/>
    </xf>
    <xf numFmtId="42" fontId="9" fillId="0" borderId="26" xfId="149" applyNumberFormat="1" applyFont="1" applyFill="1" applyBorder="1" applyAlignment="1">
      <alignment horizontal="left"/>
    </xf>
    <xf numFmtId="0" fontId="32" fillId="0" borderId="37" xfId="122" applyFont="1" applyFill="1" applyBorder="1"/>
    <xf numFmtId="42" fontId="21" fillId="0" borderId="18" xfId="93" applyNumberFormat="1" applyFont="1" applyFill="1" applyBorder="1" applyAlignment="1">
      <alignment horizontal="left"/>
    </xf>
    <xf numFmtId="42" fontId="21" fillId="0" borderId="23" xfId="93" applyNumberFormat="1" applyFont="1" applyFill="1" applyBorder="1" applyAlignment="1">
      <alignment horizontal="left"/>
    </xf>
    <xf numFmtId="0" fontId="11" fillId="0" borderId="61" xfId="122" applyFont="1" applyBorder="1"/>
    <xf numFmtId="42" fontId="11" fillId="0" borderId="0" xfId="122" applyNumberFormat="1" applyFont="1"/>
    <xf numFmtId="42" fontId="21" fillId="0" borderId="68" xfId="149" applyNumberFormat="1" applyFont="1" applyFill="1" applyBorder="1" applyAlignment="1">
      <alignment horizontal="left"/>
    </xf>
    <xf numFmtId="42" fontId="21" fillId="0" borderId="17" xfId="149" applyNumberFormat="1" applyFont="1" applyFill="1" applyBorder="1" applyAlignment="1">
      <alignment horizontal="left"/>
    </xf>
    <xf numFmtId="42" fontId="21" fillId="0" borderId="53" xfId="149" applyNumberFormat="1" applyFont="1" applyFill="1" applyBorder="1" applyAlignment="1">
      <alignment horizontal="left"/>
    </xf>
    <xf numFmtId="0" fontId="32" fillId="0" borderId="72" xfId="122" applyFont="1" applyFill="1" applyBorder="1"/>
    <xf numFmtId="42" fontId="21" fillId="0" borderId="11" xfId="149" applyNumberFormat="1" applyFont="1" applyFill="1" applyBorder="1" applyAlignment="1">
      <alignment horizontal="left"/>
    </xf>
    <xf numFmtId="42" fontId="21" fillId="0" borderId="89" xfId="149" applyNumberFormat="1" applyFont="1" applyFill="1" applyBorder="1" applyAlignment="1">
      <alignment horizontal="left"/>
    </xf>
    <xf numFmtId="42" fontId="21" fillId="0" borderId="58" xfId="149" applyNumberFormat="1" applyFont="1" applyFill="1" applyBorder="1" applyAlignment="1">
      <alignment horizontal="left"/>
    </xf>
    <xf numFmtId="42" fontId="15" fillId="39" borderId="39" xfId="93" applyNumberFormat="1" applyFont="1" applyFill="1" applyBorder="1" applyAlignment="1">
      <alignment horizontal="left"/>
    </xf>
    <xf numFmtId="176" fontId="3" fillId="0" borderId="0" xfId="122" applyNumberFormat="1"/>
    <xf numFmtId="0" fontId="9" fillId="0" borderId="0" xfId="122" applyFont="1"/>
    <xf numFmtId="3" fontId="9" fillId="0" borderId="23" xfId="93" applyNumberFormat="1" applyFont="1" applyFill="1" applyBorder="1" applyAlignment="1"/>
    <xf numFmtId="3" fontId="9" fillId="0" borderId="23" xfId="149" applyNumberFormat="1" applyFont="1" applyFill="1" applyBorder="1" applyAlignment="1">
      <alignment horizontal="right"/>
    </xf>
    <xf numFmtId="3" fontId="9" fillId="0" borderId="42" xfId="93" applyNumberFormat="1" applyFont="1" applyFill="1" applyBorder="1" applyAlignment="1"/>
    <xf numFmtId="43" fontId="9" fillId="0" borderId="38" xfId="69" applyFont="1" applyFill="1" applyBorder="1" applyAlignment="1">
      <alignment horizontal="left"/>
    </xf>
    <xf numFmtId="43" fontId="9" fillId="0" borderId="42" xfId="69" applyFont="1" applyFill="1" applyBorder="1" applyAlignment="1">
      <alignment horizontal="right"/>
    </xf>
    <xf numFmtId="0" fontId="9" fillId="0" borderId="58" xfId="122" applyFont="1" applyFill="1" applyBorder="1" applyAlignment="1"/>
    <xf numFmtId="43" fontId="9" fillId="0" borderId="54" xfId="69" applyFont="1" applyFill="1" applyBorder="1" applyAlignment="1">
      <alignment horizontal="right"/>
    </xf>
    <xf numFmtId="0" fontId="9" fillId="0" borderId="54" xfId="122" applyFont="1" applyFill="1" applyBorder="1" applyAlignment="1"/>
    <xf numFmtId="3" fontId="15" fillId="0" borderId="54" xfId="93" applyNumberFormat="1" applyFont="1" applyFill="1" applyBorder="1" applyAlignment="1"/>
    <xf numFmtId="3" fontId="15" fillId="0" borderId="11" xfId="93" applyNumberFormat="1" applyFont="1" applyFill="1" applyBorder="1" applyAlignment="1"/>
    <xf numFmtId="3" fontId="15" fillId="0" borderId="11" xfId="122" applyNumberFormat="1" applyFont="1" applyFill="1" applyBorder="1" applyAlignment="1"/>
    <xf numFmtId="3" fontId="15" fillId="0" borderId="12" xfId="122" applyNumberFormat="1" applyFont="1" applyFill="1" applyBorder="1" applyAlignment="1"/>
    <xf numFmtId="0" fontId="9" fillId="0" borderId="37" xfId="122" applyFont="1" applyFill="1" applyBorder="1" applyAlignment="1"/>
    <xf numFmtId="3" fontId="9" fillId="0" borderId="37" xfId="122" applyNumberFormat="1" applyFont="1" applyFill="1" applyBorder="1" applyAlignment="1">
      <alignment horizontal="right"/>
    </xf>
    <xf numFmtId="3" fontId="9" fillId="0" borderId="42" xfId="122" applyNumberFormat="1" applyFont="1" applyFill="1" applyBorder="1" applyAlignment="1">
      <alignment horizontal="right"/>
    </xf>
    <xf numFmtId="3" fontId="9" fillId="0" borderId="42" xfId="149" applyNumberFormat="1" applyFont="1" applyFill="1" applyBorder="1" applyAlignment="1">
      <alignment horizontal="right"/>
    </xf>
    <xf numFmtId="3" fontId="9" fillId="0" borderId="37" xfId="149" applyNumberFormat="1" applyFont="1" applyFill="1" applyBorder="1" applyAlignment="1">
      <alignment horizontal="right"/>
    </xf>
    <xf numFmtId="0" fontId="15" fillId="27" borderId="19" xfId="122" applyFont="1" applyFill="1" applyBorder="1" applyAlignment="1"/>
    <xf numFmtId="3" fontId="15" fillId="27" borderId="19" xfId="93" applyNumberFormat="1" applyFont="1" applyFill="1" applyBorder="1" applyAlignment="1"/>
    <xf numFmtId="3" fontId="9" fillId="0" borderId="26" xfId="122" applyNumberFormat="1" applyFont="1" applyFill="1" applyBorder="1" applyAlignment="1">
      <alignment horizontal="right"/>
    </xf>
    <xf numFmtId="3" fontId="15" fillId="0" borderId="11" xfId="93" applyNumberFormat="1" applyFont="1" applyFill="1" applyBorder="1" applyAlignment="1">
      <alignment horizontal="right"/>
    </xf>
    <xf numFmtId="3" fontId="15" fillId="0" borderId="0" xfId="122" applyNumberFormat="1" applyFont="1" applyFill="1" applyBorder="1" applyAlignment="1">
      <alignment horizontal="right"/>
    </xf>
    <xf numFmtId="3" fontId="8" fillId="0" borderId="0" xfId="122" applyNumberFormat="1" applyFont="1" applyFill="1" applyAlignment="1">
      <alignment horizontal="right"/>
    </xf>
    <xf numFmtId="3" fontId="8" fillId="0" borderId="36" xfId="122" applyNumberFormat="1" applyFont="1" applyFill="1" applyBorder="1" applyAlignment="1">
      <alignment horizontal="right"/>
    </xf>
    <xf numFmtId="3" fontId="8" fillId="0" borderId="35" xfId="122" applyNumberFormat="1" applyFont="1" applyFill="1" applyBorder="1" applyAlignment="1">
      <alignment horizontal="right"/>
    </xf>
    <xf numFmtId="3" fontId="9" fillId="0" borderId="18" xfId="122" applyNumberFormat="1" applyFont="1" applyFill="1" applyBorder="1" applyAlignment="1">
      <alignment horizontal="right"/>
    </xf>
    <xf numFmtId="3" fontId="9" fillId="0" borderId="74" xfId="122" applyNumberFormat="1" applyFont="1" applyFill="1" applyBorder="1" applyAlignment="1">
      <alignment horizontal="right"/>
    </xf>
    <xf numFmtId="3" fontId="9" fillId="0" borderId="72" xfId="122" applyNumberFormat="1" applyFont="1" applyFill="1" applyBorder="1" applyAlignment="1">
      <alignment horizontal="right"/>
    </xf>
    <xf numFmtId="3" fontId="9" fillId="0" borderId="58" xfId="149" applyNumberFormat="1" applyFont="1" applyFill="1" applyBorder="1" applyAlignment="1">
      <alignment horizontal="right"/>
    </xf>
    <xf numFmtId="3" fontId="15" fillId="0" borderId="11" xfId="149" applyNumberFormat="1" applyFont="1" applyFill="1" applyBorder="1" applyAlignment="1">
      <alignment horizontal="right"/>
    </xf>
    <xf numFmtId="3" fontId="15" fillId="0" borderId="39" xfId="149" applyNumberFormat="1" applyFont="1" applyFill="1" applyBorder="1" applyAlignment="1">
      <alignment horizontal="right"/>
    </xf>
    <xf numFmtId="3" fontId="9" fillId="0" borderId="19" xfId="122" applyNumberFormat="1" applyFont="1" applyFill="1" applyBorder="1" applyAlignment="1">
      <alignment horizontal="right"/>
    </xf>
    <xf numFmtId="3" fontId="9" fillId="0" borderId="19" xfId="149" applyNumberFormat="1" applyFont="1" applyFill="1" applyBorder="1" applyAlignment="1">
      <alignment horizontal="right"/>
    </xf>
    <xf numFmtId="3" fontId="15" fillId="37" borderId="11" xfId="93" applyNumberFormat="1" applyFont="1" applyFill="1" applyBorder="1" applyAlignment="1">
      <alignment horizontal="right"/>
    </xf>
    <xf numFmtId="3" fontId="15" fillId="27" borderId="11" xfId="93" applyNumberFormat="1" applyFont="1" applyFill="1" applyBorder="1" applyAlignment="1">
      <alignment horizontal="right"/>
    </xf>
    <xf numFmtId="3" fontId="15" fillId="0" borderId="0" xfId="122" applyNumberFormat="1" applyFont="1" applyFill="1" applyBorder="1" applyAlignment="1">
      <alignment horizontal="left"/>
    </xf>
    <xf numFmtId="3" fontId="15" fillId="0" borderId="0" xfId="93" applyNumberFormat="1" applyFont="1" applyFill="1" applyBorder="1" applyAlignment="1">
      <alignment horizontal="left"/>
    </xf>
    <xf numFmtId="3" fontId="8" fillId="0" borderId="32" xfId="122" applyNumberFormat="1" applyFont="1" applyBorder="1"/>
    <xf numFmtId="3" fontId="8" fillId="0" borderId="0" xfId="122" applyNumberFormat="1" applyFont="1"/>
    <xf numFmtId="0" fontId="15" fillId="0" borderId="11" xfId="122" applyFont="1" applyFill="1" applyBorder="1" applyAlignment="1">
      <alignment horizontal="left"/>
    </xf>
    <xf numFmtId="3" fontId="15" fillId="0" borderId="35" xfId="122" applyNumberFormat="1" applyFont="1" applyFill="1" applyBorder="1" applyAlignment="1">
      <alignment horizontal="left"/>
    </xf>
    <xf numFmtId="3" fontId="15" fillId="0" borderId="32" xfId="122" applyNumberFormat="1" applyFont="1" applyFill="1" applyBorder="1" applyAlignment="1">
      <alignment horizontal="left"/>
    </xf>
    <xf numFmtId="3" fontId="15" fillId="0" borderId="32" xfId="93" applyNumberFormat="1" applyFont="1" applyFill="1" applyBorder="1" applyAlignment="1">
      <alignment horizontal="left"/>
    </xf>
    <xf numFmtId="3" fontId="8" fillId="0" borderId="0" xfId="122" applyNumberFormat="1" applyFont="1" applyFill="1"/>
    <xf numFmtId="3" fontId="8" fillId="0" borderId="32" xfId="122" applyNumberFormat="1" applyFont="1" applyFill="1" applyBorder="1"/>
    <xf numFmtId="0" fontId="8" fillId="0" borderId="61" xfId="122" applyFont="1" applyFill="1" applyBorder="1"/>
    <xf numFmtId="3" fontId="21" fillId="0" borderId="37" xfId="93" applyNumberFormat="1" applyFont="1" applyFill="1" applyBorder="1" applyAlignment="1">
      <alignment horizontal="right"/>
    </xf>
    <xf numFmtId="3" fontId="21" fillId="0" borderId="68" xfId="149" applyNumberFormat="1" applyFont="1" applyFill="1" applyBorder="1" applyAlignment="1">
      <alignment horizontal="right"/>
    </xf>
    <xf numFmtId="3" fontId="21" fillId="0" borderId="11" xfId="149" applyNumberFormat="1" applyFont="1" applyFill="1" applyBorder="1" applyAlignment="1">
      <alignment horizontal="right"/>
    </xf>
    <xf numFmtId="3" fontId="21" fillId="0" borderId="89" xfId="149" applyNumberFormat="1" applyFont="1" applyFill="1" applyBorder="1" applyAlignment="1">
      <alignment horizontal="right"/>
    </xf>
    <xf numFmtId="3" fontId="21" fillId="0" borderId="58" xfId="149" applyNumberFormat="1" applyFont="1" applyFill="1" applyBorder="1" applyAlignment="1">
      <alignment horizontal="right"/>
    </xf>
    <xf numFmtId="3" fontId="21" fillId="0" borderId="72" xfId="149" applyNumberFormat="1" applyFont="1" applyFill="1" applyBorder="1" applyAlignment="1">
      <alignment horizontal="right"/>
    </xf>
    <xf numFmtId="3" fontId="15" fillId="39" borderId="39" xfId="93" applyNumberFormat="1" applyFont="1" applyFill="1" applyBorder="1" applyAlignment="1">
      <alignment horizontal="right"/>
    </xf>
    <xf numFmtId="3" fontId="15" fillId="32" borderId="15" xfId="93" applyNumberFormat="1" applyFont="1" applyFill="1" applyBorder="1" applyAlignment="1">
      <alignment horizontal="right"/>
    </xf>
    <xf numFmtId="0" fontId="3" fillId="0" borderId="0" xfId="122" applyFill="1" applyAlignment="1">
      <alignment horizontal="right"/>
    </xf>
    <xf numFmtId="0" fontId="3" fillId="0" borderId="0" xfId="122" applyAlignment="1">
      <alignment horizontal="right"/>
    </xf>
    <xf numFmtId="3" fontId="9" fillId="0" borderId="23" xfId="149" applyNumberFormat="1" applyFont="1" applyFill="1" applyBorder="1" applyAlignment="1"/>
    <xf numFmtId="43" fontId="9" fillId="0" borderId="38" xfId="69" applyFont="1" applyFill="1" applyBorder="1" applyAlignment="1"/>
    <xf numFmtId="3" fontId="9" fillId="0" borderId="37" xfId="122" applyNumberFormat="1" applyFont="1" applyFill="1" applyBorder="1" applyAlignment="1"/>
    <xf numFmtId="3" fontId="9" fillId="0" borderId="42" xfId="122" applyNumberFormat="1" applyFont="1" applyFill="1" applyBorder="1" applyAlignment="1"/>
    <xf numFmtId="3" fontId="9" fillId="0" borderId="42" xfId="149" applyNumberFormat="1" applyFont="1" applyFill="1" applyBorder="1" applyAlignment="1"/>
    <xf numFmtId="3" fontId="9" fillId="0" borderId="37" xfId="149" applyNumberFormat="1" applyFont="1" applyFill="1" applyBorder="1" applyAlignment="1"/>
    <xf numFmtId="3" fontId="15" fillId="37" borderId="19" xfId="93" applyNumberFormat="1" applyFont="1" applyFill="1" applyBorder="1" applyAlignment="1"/>
    <xf numFmtId="164" fontId="21" fillId="0" borderId="37" xfId="69" applyNumberFormat="1" applyFont="1" applyFill="1" applyBorder="1" applyAlignment="1">
      <alignment horizontal="right"/>
    </xf>
    <xf numFmtId="164" fontId="21" fillId="0" borderId="68" xfId="69" applyNumberFormat="1" applyFont="1" applyFill="1" applyBorder="1" applyAlignment="1">
      <alignment horizontal="right"/>
    </xf>
    <xf numFmtId="164" fontId="21" fillId="0" borderId="11" xfId="69" applyNumberFormat="1" applyFont="1" applyFill="1" applyBorder="1" applyAlignment="1">
      <alignment horizontal="right"/>
    </xf>
    <xf numFmtId="0" fontId="24" fillId="40" borderId="24" xfId="122" applyFont="1" applyFill="1" applyBorder="1" applyAlignment="1">
      <alignment horizontal="center"/>
    </xf>
    <xf numFmtId="0" fontId="15" fillId="40" borderId="14" xfId="122" applyFont="1" applyFill="1" applyBorder="1" applyAlignment="1">
      <alignment horizontal="center" wrapText="1"/>
    </xf>
    <xf numFmtId="49" fontId="15" fillId="40" borderId="20" xfId="93" applyNumberFormat="1" applyFont="1" applyFill="1" applyBorder="1" applyAlignment="1">
      <alignment horizontal="center" wrapText="1"/>
    </xf>
    <xf numFmtId="3" fontId="9" fillId="0" borderId="38" xfId="149" applyNumberFormat="1" applyFont="1" applyFill="1" applyBorder="1" applyAlignment="1">
      <alignment horizontal="left"/>
    </xf>
    <xf numFmtId="3" fontId="9" fillId="0" borderId="22" xfId="149" applyNumberFormat="1" applyFont="1" applyFill="1" applyBorder="1" applyAlignment="1">
      <alignment horizontal="left"/>
    </xf>
    <xf numFmtId="3" fontId="9" fillId="0" borderId="85" xfId="149" applyNumberFormat="1" applyFont="1" applyFill="1" applyBorder="1" applyAlignment="1">
      <alignment horizontal="left"/>
    </xf>
    <xf numFmtId="3" fontId="9" fillId="0" borderId="54" xfId="149" applyNumberFormat="1" applyFont="1" applyFill="1" applyBorder="1" applyAlignment="1">
      <alignment horizontal="left"/>
    </xf>
    <xf numFmtId="3" fontId="9" fillId="0" borderId="73" xfId="149" applyNumberFormat="1" applyFont="1" applyFill="1" applyBorder="1" applyAlignment="1">
      <alignment horizontal="left"/>
    </xf>
    <xf numFmtId="3" fontId="9" fillId="0" borderId="58" xfId="93" applyNumberFormat="1" applyFont="1" applyFill="1" applyBorder="1" applyAlignment="1"/>
    <xf numFmtId="3" fontId="9" fillId="0" borderId="72" xfId="93" applyNumberFormat="1" applyFont="1" applyFill="1" applyBorder="1" applyAlignment="1"/>
    <xf numFmtId="3" fontId="9" fillId="0" borderId="54" xfId="93" applyNumberFormat="1" applyFont="1" applyFill="1" applyBorder="1" applyAlignment="1"/>
    <xf numFmtId="3" fontId="9" fillId="0" borderId="54" xfId="149" applyNumberFormat="1" applyFont="1" applyFill="1" applyBorder="1" applyAlignment="1">
      <alignment horizontal="right"/>
    </xf>
    <xf numFmtId="3" fontId="9" fillId="0" borderId="72" xfId="149" applyNumberFormat="1" applyFont="1" applyFill="1" applyBorder="1" applyAlignment="1">
      <alignment horizontal="left"/>
    </xf>
    <xf numFmtId="3" fontId="9" fillId="0" borderId="61" xfId="149" applyNumberFormat="1" applyFont="1" applyFill="1" applyBorder="1" applyAlignment="1">
      <alignment horizontal="left"/>
    </xf>
    <xf numFmtId="3" fontId="9" fillId="0" borderId="13" xfId="149" applyNumberFormat="1" applyFont="1" applyFill="1" applyBorder="1" applyAlignment="1">
      <alignment horizontal="left"/>
    </xf>
    <xf numFmtId="3" fontId="9" fillId="0" borderId="86" xfId="149" applyNumberFormat="1" applyFont="1" applyFill="1" applyBorder="1" applyAlignment="1">
      <alignment horizontal="right"/>
    </xf>
    <xf numFmtId="3" fontId="9" fillId="0" borderId="38" xfId="149" applyNumberFormat="1" applyFont="1" applyFill="1" applyBorder="1" applyAlignment="1">
      <alignment horizontal="right"/>
    </xf>
    <xf numFmtId="0" fontId="9" fillId="0" borderId="72" xfId="122" applyFont="1" applyFill="1" applyBorder="1" applyAlignment="1">
      <alignment horizontal="left"/>
    </xf>
    <xf numFmtId="3" fontId="9" fillId="0" borderId="11" xfId="149" applyNumberFormat="1" applyFont="1" applyFill="1" applyBorder="1" applyAlignment="1">
      <alignment horizontal="right"/>
    </xf>
    <xf numFmtId="0" fontId="15" fillId="25" borderId="15" xfId="0" applyFont="1" applyFill="1" applyBorder="1" applyAlignment="1">
      <alignment horizontal="center" wrapText="1"/>
    </xf>
    <xf numFmtId="0" fontId="15" fillId="31" borderId="14" xfId="0" applyFont="1" applyFill="1" applyBorder="1" applyAlignment="1">
      <alignment horizontal="center" wrapText="1"/>
    </xf>
    <xf numFmtId="0" fontId="15" fillId="31" borderId="20" xfId="0" applyFont="1" applyFill="1" applyBorder="1" applyAlignment="1">
      <alignment horizontal="center" wrapText="1"/>
    </xf>
    <xf numFmtId="0" fontId="9" fillId="27" borderId="19" xfId="0" applyFont="1" applyFill="1" applyBorder="1"/>
    <xf numFmtId="0" fontId="15" fillId="41" borderId="15" xfId="0" applyFont="1" applyFill="1" applyBorder="1" applyAlignment="1">
      <alignment horizontal="center" wrapText="1"/>
    </xf>
    <xf numFmtId="3" fontId="4" fillId="0" borderId="0" xfId="122" applyNumberFormat="1" applyFont="1" applyFill="1" applyAlignment="1">
      <alignment horizontal="center" vertical="center" wrapText="1"/>
    </xf>
    <xf numFmtId="3" fontId="8" fillId="0" borderId="0" xfId="122" applyNumberFormat="1" applyFont="1" applyFill="1" applyAlignment="1">
      <alignment horizontal="center" vertical="center" wrapText="1"/>
    </xf>
    <xf numFmtId="3" fontId="3" fillId="0" borderId="0" xfId="122" applyNumberFormat="1" applyFill="1" applyAlignment="1">
      <alignment horizontal="left" vertical="top"/>
    </xf>
    <xf numFmtId="3" fontId="3" fillId="0" borderId="0" xfId="122" applyNumberFormat="1"/>
    <xf numFmtId="10" fontId="3" fillId="0" borderId="0" xfId="122" applyNumberFormat="1" applyFill="1" applyAlignment="1">
      <alignment horizontal="center"/>
    </xf>
    <xf numFmtId="169" fontId="3" fillId="0" borderId="0" xfId="122" applyNumberFormat="1" applyFill="1"/>
    <xf numFmtId="3" fontId="3" fillId="28" borderId="0" xfId="122" applyNumberFormat="1" applyFill="1" applyAlignment="1">
      <alignment horizontal="right"/>
    </xf>
    <xf numFmtId="169" fontId="3" fillId="28" borderId="0" xfId="122" applyNumberFormat="1" applyFill="1" applyAlignment="1">
      <alignment horizontal="right"/>
    </xf>
    <xf numFmtId="10" fontId="3" fillId="28" borderId="0" xfId="122" applyNumberFormat="1" applyFill="1" applyAlignment="1">
      <alignment horizontal="center"/>
    </xf>
    <xf numFmtId="10" fontId="3" fillId="0" borderId="0" xfId="122" applyNumberFormat="1" applyFill="1"/>
    <xf numFmtId="10" fontId="3" fillId="0" borderId="0" xfId="122" applyNumberFormat="1" applyFill="1" applyAlignment="1"/>
    <xf numFmtId="0" fontId="3" fillId="0" borderId="0" xfId="122" applyFill="1" applyAlignment="1">
      <alignment horizontal="center"/>
    </xf>
    <xf numFmtId="0" fontId="3" fillId="0" borderId="0" xfId="122" applyFont="1" applyFill="1" applyBorder="1" applyAlignment="1">
      <alignment horizontal="right"/>
    </xf>
    <xf numFmtId="42" fontId="3" fillId="0" borderId="0" xfId="122" applyNumberFormat="1" applyFont="1" applyFill="1" applyBorder="1" applyAlignment="1">
      <alignment horizontal="center"/>
    </xf>
    <xf numFmtId="9" fontId="3" fillId="0" borderId="0" xfId="122" applyNumberFormat="1" applyFont="1" applyFill="1" applyBorder="1" applyAlignment="1">
      <alignment horizontal="right"/>
    </xf>
    <xf numFmtId="10" fontId="3" fillId="0" borderId="0" xfId="122" applyNumberFormat="1" applyFont="1" applyBorder="1"/>
    <xf numFmtId="0" fontId="4" fillId="28" borderId="0" xfId="122" applyFont="1" applyFill="1" applyBorder="1" applyAlignment="1">
      <alignment horizontal="right"/>
    </xf>
    <xf numFmtId="169" fontId="3" fillId="28" borderId="0" xfId="122" applyNumberFormat="1" applyFont="1" applyFill="1" applyBorder="1" applyAlignment="1">
      <alignment horizontal="right"/>
    </xf>
    <xf numFmtId="10" fontId="3" fillId="28" borderId="0" xfId="122" applyNumberFormat="1" applyFont="1" applyFill="1" applyBorder="1" applyAlignment="1">
      <alignment horizontal="center"/>
    </xf>
    <xf numFmtId="0" fontId="3" fillId="28" borderId="0" xfId="122" applyFont="1" applyFill="1" applyBorder="1" applyAlignment="1">
      <alignment horizontal="right"/>
    </xf>
    <xf numFmtId="10" fontId="3" fillId="0" borderId="0" xfId="122" applyNumberFormat="1" applyFont="1" applyFill="1" applyBorder="1" applyAlignment="1">
      <alignment horizontal="right"/>
    </xf>
    <xf numFmtId="166" fontId="3" fillId="0" borderId="0" xfId="122" applyNumberFormat="1" applyFont="1" applyFill="1" applyBorder="1" applyAlignment="1">
      <alignment horizontal="right"/>
    </xf>
    <xf numFmtId="0" fontId="4" fillId="0" borderId="0" xfId="122" applyFont="1" applyBorder="1" applyAlignment="1">
      <alignment horizontal="right"/>
    </xf>
    <xf numFmtId="10" fontId="4" fillId="0" borderId="0" xfId="122" applyNumberFormat="1" applyFont="1" applyAlignment="1">
      <alignment horizontal="center"/>
    </xf>
    <xf numFmtId="0" fontId="3" fillId="0" borderId="0" xfId="122" applyFont="1" applyBorder="1" applyAlignment="1">
      <alignment horizontal="right"/>
    </xf>
    <xf numFmtId="10" fontId="3" fillId="0" borderId="0" xfId="122" applyNumberFormat="1" applyFont="1" applyAlignment="1">
      <alignment horizontal="center"/>
    </xf>
    <xf numFmtId="0" fontId="3" fillId="0" borderId="0" xfId="122" applyFont="1" applyBorder="1" applyAlignment="1">
      <alignment horizontal="left"/>
    </xf>
    <xf numFmtId="164" fontId="3" fillId="0" borderId="0" xfId="69" applyNumberFormat="1" applyFont="1"/>
    <xf numFmtId="164" fontId="3" fillId="0" borderId="0" xfId="122" applyNumberFormat="1" applyFont="1"/>
    <xf numFmtId="169" fontId="3" fillId="0" borderId="0" xfId="122" applyNumberFormat="1" applyFont="1"/>
    <xf numFmtId="0" fontId="86" fillId="0" borderId="0" xfId="122" applyFont="1" applyFill="1" applyAlignment="1">
      <alignment horizontal="center"/>
    </xf>
    <xf numFmtId="0" fontId="10" fillId="0" borderId="0" xfId="122" applyFont="1" applyFill="1"/>
    <xf numFmtId="0" fontId="86" fillId="0" borderId="0" xfId="122" applyFont="1" applyFill="1"/>
    <xf numFmtId="0" fontId="70" fillId="0" borderId="0" xfId="122" applyFont="1" applyFill="1" applyBorder="1"/>
    <xf numFmtId="0" fontId="70" fillId="0" borderId="0" xfId="122" applyFont="1" applyFill="1"/>
    <xf numFmtId="0" fontId="70" fillId="0" borderId="0" xfId="122" applyFont="1" applyFill="1" applyAlignment="1">
      <alignment horizontal="center"/>
    </xf>
    <xf numFmtId="0" fontId="87" fillId="0" borderId="0" xfId="122" applyFont="1" applyFill="1"/>
    <xf numFmtId="0" fontId="88" fillId="0" borderId="0" xfId="114" applyFont="1" applyFill="1" applyAlignment="1" applyProtection="1"/>
    <xf numFmtId="0" fontId="70" fillId="0" borderId="0" xfId="122" applyFont="1" applyFill="1" applyAlignment="1">
      <alignment horizontal="left"/>
    </xf>
    <xf numFmtId="0" fontId="70" fillId="0" borderId="0" xfId="122" applyFont="1" applyFill="1" applyAlignment="1">
      <alignment wrapText="1"/>
    </xf>
    <xf numFmtId="0" fontId="3" fillId="0" borderId="0" xfId="122" applyFont="1" applyFill="1"/>
    <xf numFmtId="0" fontId="87" fillId="0" borderId="0" xfId="122" applyFont="1" applyFill="1" applyAlignment="1">
      <alignment horizontal="center"/>
    </xf>
    <xf numFmtId="165" fontId="70" fillId="0" borderId="0" xfId="95" applyNumberFormat="1" applyFont="1" applyFill="1"/>
    <xf numFmtId="165" fontId="70" fillId="0" borderId="0" xfId="95" applyNumberFormat="1" applyFont="1" applyFill="1" applyAlignment="1">
      <alignment wrapText="1"/>
    </xf>
    <xf numFmtId="42" fontId="70" fillId="0" borderId="0" xfId="122" applyNumberFormat="1" applyFont="1" applyFill="1"/>
    <xf numFmtId="165" fontId="70" fillId="0" borderId="0" xfId="95" applyNumberFormat="1" applyFont="1" applyFill="1" applyBorder="1"/>
    <xf numFmtId="165" fontId="90" fillId="0" borderId="0" xfId="95" applyNumberFormat="1" applyFont="1" applyFill="1"/>
    <xf numFmtId="165" fontId="90" fillId="0" borderId="0" xfId="95" applyNumberFormat="1" applyFont="1" applyFill="1" applyAlignment="1">
      <alignment wrapText="1"/>
    </xf>
    <xf numFmtId="165" fontId="90" fillId="0" borderId="0" xfId="95" applyNumberFormat="1" applyFont="1" applyFill="1" applyBorder="1"/>
    <xf numFmtId="42" fontId="70" fillId="0" borderId="0" xfId="95" applyNumberFormat="1" applyFont="1" applyFill="1" applyBorder="1"/>
    <xf numFmtId="42" fontId="86" fillId="0" borderId="0" xfId="122" applyNumberFormat="1" applyFont="1" applyFill="1" applyBorder="1"/>
    <xf numFmtId="165" fontId="86" fillId="0" borderId="0" xfId="122" applyNumberFormat="1" applyFont="1" applyFill="1"/>
    <xf numFmtId="43" fontId="70" fillId="0" borderId="0" xfId="122" applyNumberFormat="1" applyFont="1" applyFill="1"/>
    <xf numFmtId="43" fontId="3" fillId="0" borderId="0" xfId="122" applyNumberFormat="1" applyFont="1" applyFill="1" applyBorder="1"/>
    <xf numFmtId="0" fontId="86" fillId="0" borderId="41" xfId="122" applyFont="1" applyFill="1" applyBorder="1" applyAlignment="1">
      <alignment horizontal="center" wrapText="1"/>
    </xf>
    <xf numFmtId="2" fontId="70" fillId="0" borderId="0" xfId="82" applyNumberFormat="1" applyFont="1" applyFill="1" applyBorder="1"/>
    <xf numFmtId="0" fontId="86" fillId="0" borderId="0" xfId="122" applyFont="1" applyFill="1" applyAlignment="1">
      <alignment horizontal="right"/>
    </xf>
    <xf numFmtId="164" fontId="70" fillId="0" borderId="0" xfId="82" applyNumberFormat="1" applyFont="1" applyFill="1" applyBorder="1"/>
    <xf numFmtId="164" fontId="70" fillId="0" borderId="0" xfId="82" applyNumberFormat="1" applyFont="1" applyFill="1"/>
    <xf numFmtId="38" fontId="70" fillId="0" borderId="0" xfId="122" applyNumberFormat="1" applyFont="1" applyFill="1"/>
    <xf numFmtId="41" fontId="70" fillId="0" borderId="0" xfId="122" applyNumberFormat="1" applyFont="1" applyFill="1"/>
    <xf numFmtId="164" fontId="70" fillId="0" borderId="0" xfId="122" applyNumberFormat="1" applyFont="1" applyFill="1" applyAlignment="1">
      <alignment horizontal="right"/>
    </xf>
    <xf numFmtId="2" fontId="70" fillId="0" borderId="0" xfId="82" applyNumberFormat="1" applyFont="1" applyFill="1"/>
    <xf numFmtId="0" fontId="70" fillId="0" borderId="0" xfId="122" applyFont="1" applyFill="1" applyAlignment="1">
      <alignment horizontal="right"/>
    </xf>
    <xf numFmtId="44" fontId="70" fillId="0" borderId="0" xfId="95" applyNumberFormat="1" applyFont="1" applyFill="1"/>
    <xf numFmtId="44" fontId="70" fillId="0" borderId="0" xfId="95" applyFont="1" applyFill="1"/>
    <xf numFmtId="44" fontId="70" fillId="0" borderId="0" xfId="95" applyNumberFormat="1" applyFont="1" applyFill="1" applyAlignment="1">
      <alignment horizontal="right"/>
    </xf>
    <xf numFmtId="165" fontId="70" fillId="0" borderId="0" xfId="95" applyNumberFormat="1" applyFont="1" applyFill="1" applyBorder="1" applyAlignment="1">
      <alignment horizontal="right"/>
    </xf>
    <xf numFmtId="44" fontId="70" fillId="0" borderId="0" xfId="122" applyNumberFormat="1" applyFont="1" applyFill="1"/>
    <xf numFmtId="44" fontId="70" fillId="0" borderId="0" xfId="122" applyNumberFormat="1" applyFont="1" applyFill="1" applyAlignment="1">
      <alignment horizontal="right"/>
    </xf>
    <xf numFmtId="0" fontId="3" fillId="0" borderId="0" xfId="122" applyFont="1" applyBorder="1" applyAlignment="1">
      <alignment horizontal="center"/>
    </xf>
    <xf numFmtId="6" fontId="3" fillId="0" borderId="0" xfId="122" applyNumberFormat="1" applyFont="1" applyBorder="1" applyAlignment="1">
      <alignment horizontal="center"/>
    </xf>
    <xf numFmtId="3" fontId="70" fillId="0" borderId="0" xfId="122" applyNumberFormat="1" applyFont="1" applyFill="1"/>
    <xf numFmtId="164" fontId="70" fillId="0" borderId="0" xfId="82" applyNumberFormat="1" applyFont="1" applyFill="1" applyAlignment="1">
      <alignment horizontal="right"/>
    </xf>
    <xf numFmtId="3" fontId="3" fillId="0" borderId="0" xfId="122" applyNumberFormat="1" applyFont="1" applyBorder="1" applyAlignment="1">
      <alignment horizontal="center"/>
    </xf>
    <xf numFmtId="3" fontId="70" fillId="0" borderId="0" xfId="82" applyNumberFormat="1" applyFont="1" applyFill="1"/>
    <xf numFmtId="42" fontId="70" fillId="0" borderId="0" xfId="122" applyNumberFormat="1" applyFont="1" applyFill="1" applyAlignment="1">
      <alignment horizontal="right"/>
    </xf>
    <xf numFmtId="165" fontId="70" fillId="0" borderId="0" xfId="95" applyNumberFormat="1" applyFont="1" applyFill="1" applyAlignment="1">
      <alignment horizontal="right"/>
    </xf>
    <xf numFmtId="8" fontId="3" fillId="0" borderId="0" xfId="122" applyNumberFormat="1" applyFont="1" applyBorder="1" applyAlignment="1">
      <alignment horizontal="center"/>
    </xf>
    <xf numFmtId="187" fontId="70" fillId="0" borderId="0" xfId="82" applyNumberFormat="1" applyFont="1" applyFill="1" applyBorder="1"/>
    <xf numFmtId="0" fontId="86" fillId="0" borderId="0" xfId="122" applyFont="1" applyFill="1" applyBorder="1" applyAlignment="1">
      <alignment horizontal="center" wrapText="1"/>
    </xf>
    <xf numFmtId="168" fontId="70" fillId="0" borderId="0" xfId="95" applyNumberFormat="1" applyFont="1" applyFill="1" applyBorder="1"/>
    <xf numFmtId="168" fontId="70" fillId="0" borderId="0" xfId="95" applyNumberFormat="1" applyFont="1" applyFill="1"/>
    <xf numFmtId="0" fontId="70" fillId="0" borderId="0" xfId="122" applyFont="1" applyFill="1" applyBorder="1" applyAlignment="1">
      <alignment horizontal="left"/>
    </xf>
    <xf numFmtId="0" fontId="86" fillId="0" borderId="0" xfId="122" applyFont="1" applyFill="1" applyBorder="1" applyAlignment="1">
      <alignment horizontal="center"/>
    </xf>
    <xf numFmtId="165" fontId="70" fillId="0" borderId="0" xfId="95" applyNumberFormat="1" applyFont="1" applyFill="1" applyBorder="1" applyAlignment="1">
      <alignment horizontal="center"/>
    </xf>
    <xf numFmtId="9" fontId="70" fillId="0" borderId="0" xfId="122" applyNumberFormat="1" applyFont="1" applyFill="1" applyBorder="1" applyAlignment="1">
      <alignment horizontal="center"/>
    </xf>
    <xf numFmtId="0" fontId="87" fillId="0" borderId="0" xfId="122" applyFont="1" applyFill="1" applyBorder="1" applyAlignment="1">
      <alignment horizontal="center"/>
    </xf>
    <xf numFmtId="0" fontId="87" fillId="0" borderId="0" xfId="122" applyFont="1" applyFill="1" applyBorder="1" applyAlignment="1"/>
    <xf numFmtId="3" fontId="70" fillId="0" borderId="0" xfId="122" applyNumberFormat="1" applyFont="1" applyFill="1" applyBorder="1" applyAlignment="1">
      <alignment horizontal="center"/>
    </xf>
    <xf numFmtId="3" fontId="70" fillId="0" borderId="0" xfId="82" applyNumberFormat="1" applyFont="1" applyFill="1" applyBorder="1" applyAlignment="1">
      <alignment horizontal="center"/>
    </xf>
    <xf numFmtId="3" fontId="70" fillId="0" borderId="0" xfId="95" applyNumberFormat="1" applyFont="1" applyFill="1" applyBorder="1" applyAlignment="1">
      <alignment horizontal="center"/>
    </xf>
    <xf numFmtId="0" fontId="70" fillId="0" borderId="0" xfId="122" applyFont="1" applyFill="1" applyBorder="1" applyAlignment="1">
      <alignment horizontal="center"/>
    </xf>
    <xf numFmtId="0" fontId="10" fillId="0" borderId="0" xfId="122" applyFont="1" applyFill="1" applyBorder="1"/>
    <xf numFmtId="0" fontId="10" fillId="0" borderId="0" xfId="122" applyFont="1" applyFill="1" applyAlignment="1">
      <alignment horizontal="center"/>
    </xf>
    <xf numFmtId="0" fontId="22" fillId="0" borderId="0" xfId="122" applyFont="1" applyFill="1"/>
    <xf numFmtId="0" fontId="24" fillId="0" borderId="0" xfId="122" applyFont="1" applyFill="1"/>
    <xf numFmtId="0" fontId="3" fillId="0" borderId="0" xfId="122" applyFont="1" applyFill="1" applyAlignment="1">
      <alignment horizontal="left"/>
    </xf>
    <xf numFmtId="0" fontId="10" fillId="0" borderId="0" xfId="122" applyFont="1" applyFill="1" applyAlignment="1">
      <alignment wrapText="1"/>
    </xf>
    <xf numFmtId="0" fontId="3" fillId="0" borderId="0" xfId="122" applyFont="1" applyFill="1" applyAlignment="1">
      <alignment horizontal="center"/>
    </xf>
    <xf numFmtId="0" fontId="35" fillId="0" borderId="0" xfId="122" applyFont="1" applyFill="1"/>
    <xf numFmtId="0" fontId="4" fillId="0" borderId="0" xfId="122" applyFont="1" applyFill="1" applyBorder="1" applyAlignment="1">
      <alignment wrapText="1"/>
    </xf>
    <xf numFmtId="165" fontId="3" fillId="0" borderId="0" xfId="95" applyNumberFormat="1" applyFont="1" applyFill="1" applyAlignment="1">
      <alignment horizontal="center"/>
    </xf>
    <xf numFmtId="165" fontId="3" fillId="0" borderId="0" xfId="95" applyNumberFormat="1" applyFont="1" applyFill="1"/>
    <xf numFmtId="165" fontId="3" fillId="0" borderId="0" xfId="95" applyNumberFormat="1" applyFont="1" applyFill="1" applyBorder="1" applyAlignment="1">
      <alignment wrapText="1"/>
    </xf>
    <xf numFmtId="9" fontId="3" fillId="0" borderId="0" xfId="150" applyFont="1" applyFill="1"/>
    <xf numFmtId="9" fontId="3" fillId="0" borderId="0" xfId="150" applyFont="1" applyFill="1" applyAlignment="1">
      <alignment horizontal="center"/>
    </xf>
    <xf numFmtId="165" fontId="36" fillId="0" borderId="0" xfId="95" applyNumberFormat="1" applyFont="1" applyFill="1" applyAlignment="1">
      <alignment horizontal="center"/>
    </xf>
    <xf numFmtId="165" fontId="36" fillId="0" borderId="0" xfId="95" applyNumberFormat="1" applyFont="1" applyFill="1"/>
    <xf numFmtId="165" fontId="36" fillId="0" borderId="0" xfId="95" applyNumberFormat="1" applyFont="1" applyFill="1" applyBorder="1" applyAlignment="1">
      <alignment wrapText="1"/>
    </xf>
    <xf numFmtId="42" fontId="3" fillId="0" borderId="0" xfId="122" applyNumberFormat="1" applyFont="1" applyFill="1"/>
    <xf numFmtId="165" fontId="3" fillId="0" borderId="0" xfId="95" applyNumberFormat="1" applyFont="1" applyFill="1" applyAlignment="1">
      <alignment wrapText="1"/>
    </xf>
    <xf numFmtId="165" fontId="3" fillId="0" borderId="0" xfId="122" applyNumberFormat="1" applyFont="1" applyFill="1" applyAlignment="1">
      <alignment wrapText="1"/>
    </xf>
    <xf numFmtId="165" fontId="3" fillId="0" borderId="0" xfId="122" applyNumberFormat="1" applyFont="1" applyFill="1"/>
    <xf numFmtId="42" fontId="3" fillId="0" borderId="0" xfId="95" applyNumberFormat="1" applyFont="1" applyFill="1" applyBorder="1"/>
    <xf numFmtId="42" fontId="4" fillId="0" borderId="0" xfId="122" applyNumberFormat="1" applyFont="1" applyFill="1" applyBorder="1"/>
    <xf numFmtId="165" fontId="4" fillId="0" borderId="0" xfId="122" applyNumberFormat="1" applyFont="1" applyFill="1"/>
    <xf numFmtId="0" fontId="3" fillId="0" borderId="0" xfId="122" applyFont="1" applyFill="1" applyAlignment="1">
      <alignment wrapText="1"/>
    </xf>
    <xf numFmtId="3" fontId="3" fillId="0" borderId="0" xfId="122" applyNumberFormat="1" applyFont="1" applyFill="1" applyAlignment="1"/>
    <xf numFmtId="42" fontId="3" fillId="0" borderId="0" xfId="122" applyNumberFormat="1" applyFont="1" applyFill="1" applyBorder="1"/>
    <xf numFmtId="165" fontId="36" fillId="0" borderId="0" xfId="95" applyNumberFormat="1" applyFont="1" applyFill="1" applyBorder="1"/>
    <xf numFmtId="0" fontId="4" fillId="0" borderId="0" xfId="122" applyFont="1" applyBorder="1"/>
    <xf numFmtId="164" fontId="3" fillId="0" borderId="0" xfId="82" applyNumberFormat="1" applyFont="1" applyFill="1"/>
    <xf numFmtId="38" fontId="3" fillId="0" borderId="0" xfId="122" applyNumberFormat="1" applyFont="1" applyFill="1"/>
    <xf numFmtId="0" fontId="4" fillId="0" borderId="0" xfId="122" applyFont="1" applyBorder="1" applyAlignment="1">
      <alignment horizontal="center"/>
    </xf>
    <xf numFmtId="2" fontId="3" fillId="0" borderId="0" xfId="82" applyNumberFormat="1" applyFont="1" applyFill="1"/>
    <xf numFmtId="43" fontId="3" fillId="0" borderId="0" xfId="122" applyNumberFormat="1" applyFont="1" applyFill="1"/>
    <xf numFmtId="44" fontId="3" fillId="0" borderId="0" xfId="95" applyNumberFormat="1" applyFont="1" applyFill="1"/>
    <xf numFmtId="44" fontId="3" fillId="0" borderId="0" xfId="122" applyNumberFormat="1" applyFont="1" applyFill="1"/>
    <xf numFmtId="38" fontId="3" fillId="0" borderId="0" xfId="122" applyNumberFormat="1" applyFont="1" applyFill="1" applyAlignment="1">
      <alignment horizontal="right"/>
    </xf>
    <xf numFmtId="164" fontId="3" fillId="0" borderId="0" xfId="82" applyNumberFormat="1" applyFont="1" applyFill="1" applyAlignment="1">
      <alignment horizontal="right"/>
    </xf>
    <xf numFmtId="2" fontId="3" fillId="0" borderId="0" xfId="82" applyNumberFormat="1" applyFont="1" applyFill="1" applyBorder="1"/>
    <xf numFmtId="0" fontId="4" fillId="0" borderId="0" xfId="122" applyFont="1" applyFill="1" applyBorder="1" applyAlignment="1">
      <alignment horizontal="center"/>
    </xf>
    <xf numFmtId="0" fontId="4" fillId="0" borderId="0" xfId="122" applyFont="1" applyFill="1" applyBorder="1" applyAlignment="1">
      <alignment horizontal="center" wrapText="1"/>
    </xf>
    <xf numFmtId="0" fontId="35" fillId="0" borderId="0" xfId="122" applyFont="1" applyFill="1" applyAlignment="1">
      <alignment horizontal="center"/>
    </xf>
    <xf numFmtId="168" fontId="3" fillId="0" borderId="0" xfId="95" applyNumberFormat="1" applyFont="1" applyFill="1" applyBorder="1"/>
    <xf numFmtId="165" fontId="3" fillId="0" borderId="0" xfId="95" applyNumberFormat="1" applyFont="1" applyFill="1" applyBorder="1" applyAlignment="1">
      <alignment horizontal="center"/>
    </xf>
    <xf numFmtId="9" fontId="3" fillId="0" borderId="0" xfId="122" applyNumberFormat="1" applyFont="1" applyFill="1" applyBorder="1" applyAlignment="1">
      <alignment horizontal="center"/>
    </xf>
    <xf numFmtId="0" fontId="3" fillId="0" borderId="0" xfId="122" applyFont="1" applyFill="1" applyBorder="1" applyAlignment="1">
      <alignment horizontal="left"/>
    </xf>
    <xf numFmtId="0" fontId="35" fillId="0" borderId="0" xfId="122" applyFont="1" applyFill="1" applyBorder="1" applyAlignment="1">
      <alignment horizontal="center"/>
    </xf>
    <xf numFmtId="0" fontId="35" fillId="0" borderId="0" xfId="122" applyFont="1" applyFill="1" applyBorder="1" applyAlignment="1"/>
    <xf numFmtId="3" fontId="3" fillId="0" borderId="0" xfId="122" applyNumberFormat="1" applyFont="1" applyFill="1" applyBorder="1" applyAlignment="1">
      <alignment horizontal="center"/>
    </xf>
    <xf numFmtId="3" fontId="3" fillId="0" borderId="0" xfId="95" applyNumberFormat="1" applyFont="1" applyFill="1" applyBorder="1" applyAlignment="1">
      <alignment horizontal="center"/>
    </xf>
    <xf numFmtId="3" fontId="35" fillId="0" borderId="0" xfId="122" applyNumberFormat="1" applyFont="1" applyFill="1" applyBorder="1" applyAlignment="1">
      <alignment horizontal="center"/>
    </xf>
    <xf numFmtId="3" fontId="4" fillId="0" borderId="0" xfId="122" applyNumberFormat="1" applyFont="1" applyFill="1" applyBorder="1" applyAlignment="1">
      <alignment horizontal="center"/>
    </xf>
    <xf numFmtId="0" fontId="10" fillId="0" borderId="0" xfId="122" applyFont="1" applyFill="1" applyAlignment="1">
      <alignment horizontal="left"/>
    </xf>
    <xf numFmtId="188" fontId="3" fillId="0" borderId="0" xfId="122" applyNumberFormat="1" applyFont="1" applyFill="1" applyAlignment="1">
      <alignment wrapText="1"/>
    </xf>
    <xf numFmtId="3" fontId="3" fillId="0" borderId="0" xfId="82" applyNumberFormat="1" applyFont="1" applyFill="1" applyAlignment="1">
      <alignment horizontal="right"/>
    </xf>
    <xf numFmtId="164" fontId="3" fillId="0" borderId="0" xfId="122" applyNumberFormat="1" applyFont="1" applyFill="1" applyAlignment="1">
      <alignment horizontal="right"/>
    </xf>
    <xf numFmtId="3" fontId="3" fillId="0" borderId="0" xfId="122" applyNumberFormat="1" applyFont="1" applyFill="1" applyAlignment="1">
      <alignment horizontal="right"/>
    </xf>
    <xf numFmtId="44" fontId="3" fillId="0" borderId="0" xfId="95" applyFont="1" applyFill="1" applyAlignment="1">
      <alignment horizontal="right"/>
    </xf>
    <xf numFmtId="165" fontId="3" fillId="0" borderId="0" xfId="95" applyNumberFormat="1" applyFont="1" applyFill="1" applyAlignment="1">
      <alignment horizontal="right"/>
    </xf>
    <xf numFmtId="4" fontId="3" fillId="0" borderId="0" xfId="122" applyNumberFormat="1" applyFont="1" applyFill="1" applyAlignment="1">
      <alignment horizontal="right"/>
    </xf>
    <xf numFmtId="164" fontId="3" fillId="0" borderId="0" xfId="82" applyNumberFormat="1" applyFont="1" applyFill="1" applyAlignment="1">
      <alignment horizontal="center"/>
    </xf>
    <xf numFmtId="187" fontId="3" fillId="0" borderId="0" xfId="82" applyNumberFormat="1" applyFont="1" applyFill="1" applyBorder="1"/>
    <xf numFmtId="165" fontId="3" fillId="0" borderId="0" xfId="95" applyNumberFormat="1" applyFont="1" applyFill="1" applyBorder="1" applyAlignment="1"/>
    <xf numFmtId="165" fontId="3" fillId="0" borderId="0" xfId="122" applyNumberFormat="1" applyFont="1" applyFill="1" applyAlignment="1">
      <alignment horizontal="center"/>
    </xf>
    <xf numFmtId="3" fontId="3" fillId="0" borderId="0" xfId="122" applyNumberFormat="1" applyFont="1" applyFill="1" applyAlignment="1">
      <alignment horizontal="center"/>
    </xf>
    <xf numFmtId="3" fontId="3" fillId="0" borderId="0" xfId="82" applyNumberFormat="1" applyFont="1" applyFill="1" applyBorder="1" applyAlignment="1">
      <alignment horizontal="center"/>
    </xf>
    <xf numFmtId="3" fontId="3" fillId="0" borderId="0" xfId="82" applyNumberFormat="1" applyFont="1" applyFill="1" applyAlignment="1">
      <alignment horizontal="center"/>
    </xf>
    <xf numFmtId="3" fontId="3" fillId="0" borderId="0" xfId="122" applyNumberFormat="1" applyFont="1" applyFill="1"/>
    <xf numFmtId="0" fontId="3" fillId="0" borderId="0" xfId="122" applyFont="1" applyFill="1" applyBorder="1" applyAlignment="1">
      <alignment horizontal="center"/>
    </xf>
    <xf numFmtId="164" fontId="3" fillId="0" borderId="0" xfId="122" applyNumberFormat="1" applyFont="1" applyFill="1" applyAlignment="1">
      <alignment horizontal="center"/>
    </xf>
    <xf numFmtId="0" fontId="4" fillId="0" borderId="0" xfId="122" applyFont="1" applyFill="1" applyBorder="1"/>
    <xf numFmtId="6" fontId="3" fillId="0" borderId="0" xfId="122" applyNumberFormat="1" applyFont="1" applyFill="1" applyBorder="1" applyAlignment="1">
      <alignment horizontal="center"/>
    </xf>
    <xf numFmtId="44" fontId="3" fillId="0" borderId="0" xfId="95" applyFont="1" applyFill="1"/>
    <xf numFmtId="2" fontId="3" fillId="0" borderId="0" xfId="122" applyNumberFormat="1" applyFont="1" applyFill="1"/>
    <xf numFmtId="8" fontId="3" fillId="0" borderId="0" xfId="122" applyNumberFormat="1" applyFont="1" applyFill="1" applyBorder="1" applyAlignment="1">
      <alignment horizontal="center"/>
    </xf>
    <xf numFmtId="176" fontId="3" fillId="0" borderId="0" xfId="122" applyNumberFormat="1" applyFont="1" applyFill="1"/>
    <xf numFmtId="44" fontId="3" fillId="0" borderId="0" xfId="93" applyFont="1" applyFill="1"/>
    <xf numFmtId="44" fontId="3" fillId="0" borderId="0" xfId="93" applyFont="1" applyFill="1" applyAlignment="1"/>
    <xf numFmtId="1" fontId="3" fillId="0" borderId="0" xfId="122" applyNumberFormat="1" applyFont="1" applyFill="1"/>
    <xf numFmtId="43" fontId="3" fillId="0" borderId="0" xfId="69" applyNumberFormat="1" applyFont="1" applyFill="1" applyBorder="1"/>
    <xf numFmtId="38" fontId="3" fillId="0" borderId="0" xfId="122" applyNumberFormat="1" applyFont="1" applyFill="1" applyAlignment="1">
      <alignment horizontal="center"/>
    </xf>
    <xf numFmtId="0" fontId="4" fillId="0" borderId="0" xfId="122" applyFont="1" applyFill="1"/>
    <xf numFmtId="165" fontId="3" fillId="0" borderId="0" xfId="82" applyNumberFormat="1" applyFont="1" applyFill="1"/>
    <xf numFmtId="165" fontId="36" fillId="0" borderId="0" xfId="82" applyNumberFormat="1" applyFont="1" applyFill="1"/>
    <xf numFmtId="165" fontId="3" fillId="0" borderId="0" xfId="82" applyNumberFormat="1" applyFont="1" applyFill="1" applyAlignment="1">
      <alignment horizontal="center"/>
    </xf>
    <xf numFmtId="0" fontId="3" fillId="0" borderId="0" xfId="122" applyFont="1" applyFill="1" applyAlignment="1">
      <alignment horizontal="right"/>
    </xf>
    <xf numFmtId="44" fontId="3" fillId="0" borderId="0" xfId="95" applyNumberFormat="1" applyFont="1" applyFill="1" applyAlignment="1">
      <alignment horizontal="right"/>
    </xf>
    <xf numFmtId="42" fontId="3" fillId="0" borderId="0" xfId="122" applyNumberFormat="1" applyFont="1" applyFill="1" applyAlignment="1">
      <alignment horizontal="right"/>
    </xf>
    <xf numFmtId="43" fontId="3" fillId="0" borderId="0" xfId="82" applyFont="1" applyBorder="1" applyAlignment="1">
      <alignment horizontal="center"/>
    </xf>
    <xf numFmtId="44" fontId="3" fillId="0" borderId="0" xfId="122" applyNumberFormat="1" applyFont="1" applyFill="1" applyAlignment="1">
      <alignment horizontal="right"/>
    </xf>
    <xf numFmtId="3" fontId="3" fillId="0" borderId="0" xfId="95" applyNumberFormat="1" applyFont="1" applyFill="1" applyAlignment="1">
      <alignment horizontal="center"/>
    </xf>
    <xf numFmtId="9" fontId="3" fillId="0" borderId="0" xfId="150" applyNumberFormat="1" applyFont="1" applyFill="1" applyBorder="1" applyAlignment="1">
      <alignment horizontal="center"/>
    </xf>
    <xf numFmtId="3" fontId="10" fillId="0" borderId="0" xfId="122" applyNumberFormat="1" applyFont="1" applyFill="1"/>
    <xf numFmtId="0" fontId="4" fillId="0" borderId="0" xfId="122" applyFont="1" applyFill="1" applyAlignment="1">
      <alignment horizontal="center"/>
    </xf>
    <xf numFmtId="0" fontId="4" fillId="0" borderId="41" xfId="122" applyFont="1" applyFill="1" applyBorder="1" applyAlignment="1">
      <alignment horizontal="center" wrapText="1"/>
    </xf>
    <xf numFmtId="0" fontId="3" fillId="0" borderId="0" xfId="122" applyFont="1" applyFill="1" applyAlignment="1"/>
    <xf numFmtId="9" fontId="3" fillId="0" borderId="0" xfId="150" applyFont="1" applyFill="1" applyBorder="1" applyAlignment="1">
      <alignment horizontal="center"/>
    </xf>
    <xf numFmtId="1" fontId="3" fillId="0" borderId="0" xfId="122" applyNumberFormat="1" applyFont="1" applyFill="1" applyAlignment="1">
      <alignment horizontal="center"/>
    </xf>
    <xf numFmtId="38" fontId="3" fillId="0" borderId="0" xfId="122" applyNumberFormat="1" applyFont="1" applyFill="1" applyBorder="1" applyAlignment="1">
      <alignment horizontal="center"/>
    </xf>
    <xf numFmtId="164" fontId="3" fillId="0" borderId="0" xfId="69" applyNumberFormat="1" applyFont="1" applyFill="1" applyAlignment="1">
      <alignment horizontal="center"/>
    </xf>
    <xf numFmtId="9" fontId="3" fillId="0" borderId="0" xfId="149" applyFont="1" applyFill="1" applyBorder="1" applyAlignment="1">
      <alignment horizontal="center"/>
    </xf>
    <xf numFmtId="42" fontId="3" fillId="0" borderId="0" xfId="122" applyNumberFormat="1" applyFont="1" applyFill="1" applyAlignment="1">
      <alignment horizontal="center"/>
    </xf>
    <xf numFmtId="0" fontId="23" fillId="0" borderId="0" xfId="122" applyFont="1" applyFill="1" applyAlignment="1">
      <alignment horizontal="center"/>
    </xf>
    <xf numFmtId="37" fontId="15" fillId="0" borderId="0" xfId="122" applyNumberFormat="1" applyFont="1" applyAlignment="1">
      <alignment horizontal="center"/>
    </xf>
    <xf numFmtId="37" fontId="20" fillId="0" borderId="0" xfId="122" applyNumberFormat="1" applyFont="1" applyAlignment="1">
      <alignment horizontal="center"/>
    </xf>
    <xf numFmtId="37" fontId="20" fillId="0" borderId="0" xfId="122" quotePrefix="1" applyNumberFormat="1" applyFont="1" applyAlignment="1">
      <alignment horizontal="center"/>
    </xf>
    <xf numFmtId="37" fontId="20" fillId="0" borderId="0" xfId="122" applyNumberFormat="1" applyFont="1" applyBorder="1" applyAlignment="1">
      <alignment horizontal="center"/>
    </xf>
    <xf numFmtId="0" fontId="9" fillId="0" borderId="21" xfId="122" applyFont="1" applyBorder="1"/>
    <xf numFmtId="37" fontId="20" fillId="0" borderId="21" xfId="122" quotePrefix="1" applyNumberFormat="1" applyFont="1" applyBorder="1" applyAlignment="1">
      <alignment horizontal="center"/>
    </xf>
    <xf numFmtId="37" fontId="20" fillId="0" borderId="21" xfId="122" applyNumberFormat="1" applyFont="1" applyBorder="1" applyAlignment="1">
      <alignment horizontal="center"/>
    </xf>
    <xf numFmtId="0" fontId="15" fillId="0" borderId="0" xfId="122" applyFont="1" applyBorder="1" applyAlignment="1">
      <alignment horizontal="left"/>
    </xf>
    <xf numFmtId="37" fontId="20" fillId="0" borderId="0" xfId="122" quotePrefix="1" applyNumberFormat="1" applyFont="1" applyBorder="1" applyAlignment="1">
      <alignment horizontal="center"/>
    </xf>
    <xf numFmtId="0" fontId="68" fillId="0" borderId="21" xfId="122" applyFont="1" applyBorder="1"/>
    <xf numFmtId="5" fontId="3" fillId="0" borderId="0" xfId="122" applyNumberFormat="1" applyFont="1" applyBorder="1"/>
    <xf numFmtId="164" fontId="0" fillId="0" borderId="0" xfId="69" applyNumberFormat="1" applyFont="1"/>
    <xf numFmtId="37" fontId="3" fillId="0" borderId="0" xfId="122" applyNumberFormat="1" applyFont="1" applyBorder="1"/>
    <xf numFmtId="37" fontId="3" fillId="0" borderId="0" xfId="122" applyNumberFormat="1" applyFont="1" applyFill="1" applyBorder="1"/>
    <xf numFmtId="5" fontId="4" fillId="0" borderId="0" xfId="122" applyNumberFormat="1" applyFont="1" applyFill="1" applyBorder="1"/>
    <xf numFmtId="37" fontId="9" fillId="0" borderId="0" xfId="122" applyNumberFormat="1" applyFont="1"/>
    <xf numFmtId="0" fontId="68" fillId="0" borderId="21" xfId="122" applyFont="1" applyBorder="1" applyAlignment="1">
      <alignment horizontal="left"/>
    </xf>
    <xf numFmtId="37" fontId="9" fillId="0" borderId="21" xfId="122" applyNumberFormat="1" applyFont="1" applyBorder="1"/>
    <xf numFmtId="37" fontId="9" fillId="0" borderId="21" xfId="122" applyNumberFormat="1" applyFont="1" applyFill="1" applyBorder="1"/>
    <xf numFmtId="0" fontId="3" fillId="0" borderId="0" xfId="122" applyFont="1" applyFill="1" applyBorder="1" applyAlignment="1"/>
    <xf numFmtId="0" fontId="15" fillId="0" borderId="0" xfId="122" applyFont="1" applyBorder="1"/>
    <xf numFmtId="169" fontId="4" fillId="0" borderId="0" xfId="69" applyNumberFormat="1" applyFont="1"/>
    <xf numFmtId="164" fontId="4" fillId="0" borderId="0" xfId="69" applyNumberFormat="1" applyFont="1"/>
    <xf numFmtId="0" fontId="69" fillId="0" borderId="0" xfId="122" applyFont="1" applyBorder="1"/>
    <xf numFmtId="37" fontId="3" fillId="0" borderId="21" xfId="122" applyNumberFormat="1" applyFont="1" applyBorder="1"/>
    <xf numFmtId="37" fontId="3" fillId="0" borderId="21" xfId="122" applyNumberFormat="1" applyFont="1" applyFill="1" applyBorder="1"/>
    <xf numFmtId="169" fontId="3" fillId="0" borderId="0" xfId="122" applyNumberFormat="1" applyFont="1" applyFill="1" applyBorder="1"/>
    <xf numFmtId="5" fontId="3" fillId="0" borderId="0" xfId="122" applyNumberFormat="1" applyFont="1" applyFill="1" applyBorder="1"/>
    <xf numFmtId="169" fontId="4" fillId="0" borderId="0" xfId="122" applyNumberFormat="1" applyFont="1" applyBorder="1"/>
    <xf numFmtId="5" fontId="4" fillId="0" borderId="0" xfId="122" applyNumberFormat="1" applyFont="1" applyBorder="1"/>
    <xf numFmtId="0" fontId="68" fillId="0" borderId="0" xfId="122" applyFont="1" applyBorder="1"/>
    <xf numFmtId="37" fontId="9" fillId="0" borderId="0" xfId="122" applyNumberFormat="1" applyFont="1" applyBorder="1"/>
    <xf numFmtId="0" fontId="69" fillId="0" borderId="21" xfId="122" applyFont="1" applyBorder="1"/>
    <xf numFmtId="0" fontId="15" fillId="0" borderId="21" xfId="122" applyFont="1" applyBorder="1"/>
    <xf numFmtId="5" fontId="15" fillId="0" borderId="21" xfId="122" applyNumberFormat="1" applyFont="1" applyBorder="1"/>
    <xf numFmtId="42" fontId="15" fillId="27" borderId="29" xfId="93" applyNumberFormat="1" applyFont="1" applyFill="1" applyBorder="1" applyAlignment="1">
      <alignment horizontal="left"/>
    </xf>
    <xf numFmtId="41" fontId="15" fillId="33" borderId="11" xfId="0" applyNumberFormat="1" applyFont="1" applyFill="1" applyBorder="1" applyAlignment="1">
      <alignment horizontal="center" wrapText="1"/>
    </xf>
    <xf numFmtId="42" fontId="36" fillId="0" borderId="0" xfId="122" applyNumberFormat="1" applyFont="1"/>
    <xf numFmtId="165" fontId="3" fillId="0" borderId="85" xfId="93" applyNumberFormat="1" applyFont="1" applyFill="1" applyBorder="1" applyAlignment="1"/>
    <xf numFmtId="165" fontId="3" fillId="0" borderId="42" xfId="93" applyNumberFormat="1" applyFont="1" applyFill="1" applyBorder="1" applyAlignment="1"/>
    <xf numFmtId="165" fontId="3" fillId="0" borderId="43" xfId="93" applyNumberFormat="1" applyFont="1" applyFill="1" applyBorder="1" applyAlignment="1"/>
    <xf numFmtId="165" fontId="3" fillId="0" borderId="57" xfId="93" applyNumberFormat="1" applyFont="1" applyFill="1" applyBorder="1" applyAlignment="1"/>
    <xf numFmtId="165" fontId="3" fillId="0" borderId="85" xfId="93" applyNumberFormat="1" applyFont="1" applyFill="1" applyBorder="1" applyAlignment="1">
      <alignment horizontal="right"/>
    </xf>
    <xf numFmtId="165" fontId="3" fillId="0" borderId="34" xfId="93" applyNumberFormat="1" applyFont="1" applyFill="1" applyBorder="1" applyAlignment="1"/>
    <xf numFmtId="165" fontId="3" fillId="0" borderId="29" xfId="93" applyNumberFormat="1" applyFont="1" applyFill="1" applyBorder="1" applyAlignment="1"/>
    <xf numFmtId="165" fontId="3" fillId="0" borderId="53" xfId="93" applyNumberFormat="1" applyFont="1" applyFill="1" applyBorder="1" applyAlignment="1"/>
    <xf numFmtId="165" fontId="3" fillId="0" borderId="15" xfId="93" applyNumberFormat="1" applyFont="1" applyFill="1" applyBorder="1" applyAlignment="1"/>
    <xf numFmtId="165" fontId="3" fillId="0" borderId="58" xfId="93" applyNumberFormat="1" applyFont="1" applyFill="1" applyBorder="1" applyAlignment="1"/>
    <xf numFmtId="165" fontId="3" fillId="0" borderId="59" xfId="93" applyNumberFormat="1" applyFont="1" applyFill="1" applyBorder="1" applyAlignment="1"/>
    <xf numFmtId="165" fontId="3" fillId="0" borderId="76" xfId="93" applyNumberFormat="1" applyFont="1" applyFill="1" applyBorder="1" applyAlignment="1"/>
    <xf numFmtId="165" fontId="3" fillId="0" borderId="37" xfId="93" applyNumberFormat="1" applyFont="1" applyFill="1" applyBorder="1" applyAlignment="1"/>
    <xf numFmtId="165" fontId="3" fillId="0" borderId="38" xfId="93" applyNumberFormat="1" applyFont="1" applyFill="1" applyBorder="1" applyAlignment="1"/>
    <xf numFmtId="0" fontId="15" fillId="30" borderId="15" xfId="0" applyFont="1" applyFill="1" applyBorder="1" applyAlignment="1">
      <alignment horizontal="center" wrapText="1"/>
    </xf>
    <xf numFmtId="0" fontId="15" fillId="31" borderId="15" xfId="0" applyFont="1" applyFill="1" applyBorder="1" applyAlignment="1">
      <alignment horizontal="center" wrapText="1"/>
    </xf>
    <xf numFmtId="42" fontId="9" fillId="0" borderId="30" xfId="0" applyNumberFormat="1" applyFont="1" applyFill="1" applyBorder="1" applyAlignment="1">
      <alignment horizontal="center"/>
    </xf>
    <xf numFmtId="0" fontId="9" fillId="0" borderId="23" xfId="0" applyFont="1" applyFill="1" applyBorder="1" applyAlignment="1">
      <alignment horizontal="left"/>
    </xf>
    <xf numFmtId="42" fontId="9" fillId="0" borderId="33" xfId="122" applyNumberFormat="1" applyFont="1" applyFill="1" applyBorder="1" applyAlignment="1">
      <alignment horizontal="center"/>
    </xf>
    <xf numFmtId="0" fontId="15" fillId="0" borderId="39" xfId="122" applyFont="1" applyFill="1" applyBorder="1" applyAlignment="1">
      <alignment horizontal="left"/>
    </xf>
    <xf numFmtId="164" fontId="9" fillId="0" borderId="29" xfId="69" applyNumberFormat="1" applyFont="1" applyFill="1" applyBorder="1"/>
    <xf numFmtId="164" fontId="0" fillId="0" borderId="0" xfId="69" applyNumberFormat="1" applyFont="1" applyFill="1"/>
    <xf numFmtId="0" fontId="15" fillId="27" borderId="43" xfId="0" applyFont="1" applyFill="1" applyBorder="1" applyAlignment="1"/>
    <xf numFmtId="42" fontId="15" fillId="27" borderId="43" xfId="93" applyNumberFormat="1" applyFont="1" applyFill="1" applyBorder="1" applyAlignment="1">
      <alignment horizontal="left"/>
    </xf>
    <xf numFmtId="164" fontId="9" fillId="0" borderId="53" xfId="69" applyNumberFormat="1" applyFont="1" applyFill="1" applyBorder="1"/>
    <xf numFmtId="0" fontId="15" fillId="35" borderId="49" xfId="122" applyFont="1" applyFill="1" applyBorder="1" applyAlignment="1">
      <alignment horizontal="left"/>
    </xf>
    <xf numFmtId="165" fontId="15" fillId="35" borderId="27" xfId="93" applyNumberFormat="1" applyFont="1" applyFill="1" applyBorder="1" applyAlignment="1">
      <alignment horizontal="left"/>
    </xf>
    <xf numFmtId="165" fontId="15" fillId="35" borderId="28" xfId="93" applyNumberFormat="1" applyFont="1" applyFill="1" applyBorder="1" applyAlignment="1">
      <alignment horizontal="left"/>
    </xf>
    <xf numFmtId="42" fontId="8" fillId="0" borderId="0" xfId="122" applyNumberFormat="1" applyFont="1" applyBorder="1"/>
    <xf numFmtId="0" fontId="15" fillId="0" borderId="58" xfId="122" applyFont="1" applyFill="1" applyBorder="1" applyAlignment="1">
      <alignment horizontal="left" vertical="center"/>
    </xf>
    <xf numFmtId="169" fontId="15" fillId="0" borderId="59" xfId="122" applyNumberFormat="1" applyFont="1" applyFill="1" applyBorder="1" applyAlignment="1">
      <alignment horizontal="right" vertical="center"/>
    </xf>
    <xf numFmtId="165" fontId="15" fillId="0" borderId="59" xfId="93" applyNumberFormat="1" applyFont="1" applyFill="1" applyBorder="1" applyAlignment="1">
      <alignment horizontal="right" vertical="center"/>
    </xf>
    <xf numFmtId="165" fontId="15" fillId="35" borderId="59" xfId="93" applyNumberFormat="1" applyFont="1" applyFill="1" applyBorder="1" applyAlignment="1">
      <alignment horizontal="left"/>
    </xf>
    <xf numFmtId="0" fontId="8" fillId="0" borderId="0" xfId="122" applyFont="1" applyFill="1" applyBorder="1"/>
    <xf numFmtId="0" fontId="8" fillId="0" borderId="50" xfId="122" applyFont="1" applyFill="1" applyBorder="1"/>
    <xf numFmtId="42" fontId="9" fillId="0" borderId="50" xfId="122" applyNumberFormat="1" applyFont="1" applyFill="1" applyBorder="1"/>
    <xf numFmtId="42" fontId="9" fillId="0" borderId="52" xfId="122" applyNumberFormat="1" applyFont="1" applyFill="1" applyBorder="1"/>
    <xf numFmtId="42" fontId="9" fillId="0" borderId="53" xfId="122" applyNumberFormat="1" applyFont="1" applyFill="1" applyBorder="1"/>
    <xf numFmtId="165" fontId="9" fillId="0" borderId="29" xfId="93" applyNumberFormat="1" applyFont="1" applyFill="1" applyBorder="1" applyAlignment="1">
      <alignment horizontal="left"/>
    </xf>
    <xf numFmtId="165" fontId="9" fillId="0" borderId="59" xfId="93" applyNumberFormat="1" applyFont="1" applyFill="1" applyBorder="1" applyAlignment="1">
      <alignment horizontal="left"/>
    </xf>
    <xf numFmtId="0" fontId="15" fillId="27" borderId="15" xfId="122" applyFont="1" applyFill="1" applyBorder="1" applyAlignment="1">
      <alignment horizontal="left"/>
    </xf>
    <xf numFmtId="42" fontId="15" fillId="37" borderId="15" xfId="93" applyNumberFormat="1" applyFont="1" applyFill="1" applyBorder="1" applyAlignment="1">
      <alignment horizontal="left"/>
    </xf>
    <xf numFmtId="0" fontId="3" fillId="0" borderId="0" xfId="0" applyFont="1" applyFill="1" applyBorder="1" applyAlignment="1">
      <alignment horizontal="left"/>
    </xf>
    <xf numFmtId="42" fontId="3" fillId="0" borderId="0" xfId="0" applyNumberFormat="1" applyFont="1" applyFill="1" applyAlignment="1">
      <alignment horizontal="center"/>
    </xf>
    <xf numFmtId="165" fontId="3" fillId="0" borderId="0" xfId="0" applyNumberFormat="1" applyFont="1" applyFill="1" applyAlignment="1">
      <alignment horizontal="center"/>
    </xf>
    <xf numFmtId="9" fontId="3" fillId="0" borderId="0" xfId="0" applyNumberFormat="1" applyFont="1" applyFill="1" applyBorder="1" applyAlignment="1">
      <alignment horizontal="center"/>
    </xf>
    <xf numFmtId="38" fontId="3" fillId="0" borderId="0" xfId="0" applyNumberFormat="1" applyFont="1" applyFill="1" applyBorder="1" applyAlignment="1">
      <alignment horizontal="center"/>
    </xf>
    <xf numFmtId="0" fontId="35" fillId="0" borderId="0" xfId="0" applyFont="1" applyFill="1" applyBorder="1" applyAlignment="1">
      <alignment horizontal="left" vertical="center"/>
    </xf>
    <xf numFmtId="164" fontId="14" fillId="0" borderId="0" xfId="69" applyNumberFormat="1" applyFont="1" applyFill="1" applyAlignment="1">
      <alignment horizontal="center"/>
    </xf>
    <xf numFmtId="164" fontId="14" fillId="0" borderId="0" xfId="69" applyNumberFormat="1" applyFont="1" applyAlignment="1">
      <alignment horizontal="center"/>
    </xf>
    <xf numFmtId="164" fontId="14" fillId="0" borderId="0" xfId="69" applyNumberFormat="1" applyFont="1"/>
    <xf numFmtId="165" fontId="14" fillId="0" borderId="0" xfId="122" applyNumberFormat="1" applyFont="1"/>
    <xf numFmtId="37" fontId="78" fillId="0" borderId="20" xfId="122" applyNumberFormat="1" applyFont="1" applyBorder="1" applyAlignment="1">
      <alignment horizontal="center" vertical="center" wrapText="1"/>
    </xf>
    <xf numFmtId="0" fontId="24" fillId="30" borderId="26" xfId="0" applyFont="1" applyFill="1" applyBorder="1" applyAlignment="1">
      <alignment horizontal="center"/>
    </xf>
    <xf numFmtId="0" fontId="15" fillId="30" borderId="61" xfId="0" applyFont="1" applyFill="1" applyBorder="1" applyAlignment="1">
      <alignment horizontal="center" wrapText="1"/>
    </xf>
    <xf numFmtId="0" fontId="15" fillId="30" borderId="21" xfId="0" applyFont="1" applyFill="1" applyBorder="1" applyAlignment="1">
      <alignment horizontal="center" wrapText="1"/>
    </xf>
    <xf numFmtId="0" fontId="44" fillId="0" borderId="0" xfId="0" applyFont="1" applyAlignment="1">
      <alignment horizontal="center"/>
    </xf>
    <xf numFmtId="0" fontId="30" fillId="0" borderId="0" xfId="0" applyFont="1" applyAlignment="1">
      <alignment horizontal="center"/>
    </xf>
    <xf numFmtId="42" fontId="15" fillId="36" borderId="32" xfId="0" applyNumberFormat="1" applyFont="1" applyFill="1" applyBorder="1" applyAlignment="1">
      <alignment horizontal="center"/>
    </xf>
    <xf numFmtId="0" fontId="13" fillId="27" borderId="61" xfId="0" applyFont="1" applyFill="1" applyBorder="1" applyAlignment="1">
      <alignment horizontal="left"/>
    </xf>
    <xf numFmtId="42" fontId="15" fillId="37" borderId="0" xfId="0" applyNumberFormat="1" applyFont="1" applyFill="1" applyBorder="1" applyAlignment="1">
      <alignment horizontal="center"/>
    </xf>
    <xf numFmtId="42" fontId="9" fillId="0" borderId="57" xfId="0" applyNumberFormat="1" applyFont="1" applyBorder="1" applyAlignment="1">
      <alignment horizontal="center"/>
    </xf>
    <xf numFmtId="44" fontId="9" fillId="0" borderId="43" xfId="93" applyFont="1" applyFill="1" applyBorder="1" applyAlignment="1">
      <alignment horizontal="center"/>
    </xf>
    <xf numFmtId="42" fontId="9" fillId="0" borderId="43" xfId="0" applyNumberFormat="1" applyFont="1" applyFill="1" applyBorder="1" applyAlignment="1">
      <alignment horizontal="center"/>
    </xf>
    <xf numFmtId="173" fontId="3" fillId="0" borderId="0" xfId="149" applyNumberFormat="1" applyFont="1" applyFill="1" applyBorder="1"/>
    <xf numFmtId="174" fontId="3" fillId="0" borderId="0" xfId="149" applyNumberFormat="1" applyFont="1" applyFill="1" applyBorder="1"/>
    <xf numFmtId="174" fontId="3" fillId="0" borderId="0" xfId="149" applyNumberFormat="1" applyFont="1" applyFill="1"/>
    <xf numFmtId="174" fontId="3" fillId="0" borderId="0" xfId="149" applyNumberFormat="1" applyFont="1"/>
    <xf numFmtId="165" fontId="3" fillId="0" borderId="0" xfId="0" applyNumberFormat="1" applyFont="1" applyFill="1" applyBorder="1"/>
    <xf numFmtId="42" fontId="3" fillId="0" borderId="0" xfId="0" applyNumberFormat="1" applyFont="1" applyFill="1" applyBorder="1"/>
    <xf numFmtId="42" fontId="3" fillId="0" borderId="0" xfId="149" applyNumberFormat="1" applyFont="1" applyFill="1" applyBorder="1" applyAlignment="1">
      <alignment horizontal="left"/>
    </xf>
    <xf numFmtId="173" fontId="3" fillId="0" borderId="0" xfId="149" applyNumberFormat="1" applyFont="1" applyFill="1" applyBorder="1" applyAlignment="1">
      <alignment horizontal="right"/>
    </xf>
    <xf numFmtId="173" fontId="3" fillId="0" borderId="0" xfId="149" applyNumberFormat="1" applyFont="1" applyFill="1"/>
    <xf numFmtId="173" fontId="3" fillId="0" borderId="0" xfId="149" applyNumberFormat="1" applyFont="1"/>
    <xf numFmtId="173" fontId="18" fillId="0" borderId="0" xfId="149" applyNumberFormat="1" applyFont="1" applyFill="1" applyAlignment="1">
      <alignment horizontal="center"/>
    </xf>
    <xf numFmtId="0" fontId="15" fillId="0" borderId="35" xfId="0" applyFont="1" applyFill="1" applyBorder="1" applyAlignment="1">
      <alignment horizontal="center"/>
    </xf>
    <xf numFmtId="0" fontId="15" fillId="0" borderId="0" xfId="0" applyFont="1" applyFill="1" applyAlignment="1"/>
    <xf numFmtId="43" fontId="15" fillId="0" borderId="11" xfId="0" applyNumberFormat="1" applyFont="1" applyFill="1" applyBorder="1" applyAlignment="1">
      <alignment horizontal="center" wrapText="1"/>
    </xf>
    <xf numFmtId="3" fontId="15" fillId="33" borderId="11" xfId="0" applyNumberFormat="1" applyFont="1" applyFill="1" applyBorder="1" applyAlignment="1">
      <alignment horizontal="center" wrapText="1"/>
    </xf>
    <xf numFmtId="0" fontId="15" fillId="0" borderId="11" xfId="0" applyNumberFormat="1" applyFont="1" applyFill="1" applyBorder="1" applyAlignment="1">
      <alignment horizontal="center" wrapText="1"/>
    </xf>
    <xf numFmtId="168" fontId="15" fillId="0" borderId="11" xfId="0" applyNumberFormat="1" applyFont="1" applyFill="1" applyBorder="1" applyAlignment="1">
      <alignment horizontal="center" wrapText="1"/>
    </xf>
    <xf numFmtId="170" fontId="15" fillId="0" borderId="11" xfId="0" applyNumberFormat="1" applyFont="1" applyFill="1" applyBorder="1" applyAlignment="1">
      <alignment horizontal="center" wrapText="1"/>
    </xf>
    <xf numFmtId="0" fontId="9" fillId="0" borderId="42" xfId="0" applyFont="1" applyFill="1" applyBorder="1" applyAlignment="1">
      <alignment horizontal="left"/>
    </xf>
    <xf numFmtId="42" fontId="9" fillId="0" borderId="43" xfId="0" applyNumberFormat="1" applyFont="1" applyFill="1" applyBorder="1" applyAlignment="1">
      <alignment horizontal="center" wrapText="1"/>
    </xf>
    <xf numFmtId="43" fontId="9" fillId="0" borderId="29" xfId="0" applyNumberFormat="1" applyFont="1" applyFill="1" applyBorder="1" applyAlignment="1">
      <alignment horizontal="center" wrapText="1"/>
    </xf>
    <xf numFmtId="3" fontId="9" fillId="0" borderId="29" xfId="69" applyNumberFormat="1" applyFont="1" applyFill="1" applyBorder="1" applyAlignment="1">
      <alignment horizontal="center"/>
    </xf>
    <xf numFmtId="0" fontId="9" fillId="0" borderId="43" xfId="0" applyFont="1" applyFill="1" applyBorder="1" applyAlignment="1">
      <alignment horizontal="center" wrapText="1"/>
    </xf>
    <xf numFmtId="44" fontId="9" fillId="0" borderId="29" xfId="0" applyNumberFormat="1" applyFont="1" applyFill="1" applyBorder="1" applyAlignment="1">
      <alignment horizontal="center" wrapText="1"/>
    </xf>
    <xf numFmtId="44" fontId="9" fillId="0" borderId="47" xfId="69" applyNumberFormat="1" applyFont="1" applyFill="1" applyBorder="1"/>
    <xf numFmtId="42" fontId="9" fillId="0" borderId="48" xfId="0" applyNumberFormat="1" applyFont="1" applyFill="1" applyBorder="1" applyAlignment="1">
      <alignment horizontal="center" wrapText="1"/>
    </xf>
    <xf numFmtId="0" fontId="15" fillId="0" borderId="49" xfId="0" applyFont="1" applyFill="1" applyBorder="1" applyAlignment="1">
      <alignment horizontal="right"/>
    </xf>
    <xf numFmtId="42" fontId="15" fillId="0" borderId="27" xfId="0" applyNumberFormat="1" applyFont="1" applyFill="1" applyBorder="1" applyAlignment="1">
      <alignment horizontal="center" wrapText="1"/>
    </xf>
    <xf numFmtId="166" fontId="15" fillId="0" borderId="27" xfId="0" applyNumberFormat="1" applyFont="1" applyFill="1" applyBorder="1" applyAlignment="1">
      <alignment horizontal="right" wrapText="1"/>
    </xf>
    <xf numFmtId="43" fontId="15" fillId="0" borderId="27" xfId="0" applyNumberFormat="1" applyFont="1" applyFill="1" applyBorder="1" applyAlignment="1">
      <alignment horizontal="center" wrapText="1"/>
    </xf>
    <xf numFmtId="3" fontId="15" fillId="0" borderId="27" xfId="0" applyNumberFormat="1" applyFont="1" applyFill="1" applyBorder="1" applyAlignment="1">
      <alignment horizontal="center" wrapText="1"/>
    </xf>
    <xf numFmtId="0" fontId="15" fillId="0" borderId="27" xfId="0" applyNumberFormat="1" applyFont="1" applyFill="1" applyBorder="1" applyAlignment="1">
      <alignment horizontal="center" wrapText="1"/>
    </xf>
    <xf numFmtId="3" fontId="15" fillId="0" borderId="27" xfId="0" applyNumberFormat="1" applyFont="1" applyFill="1" applyBorder="1" applyAlignment="1">
      <alignment horizontal="right" wrapText="1"/>
    </xf>
    <xf numFmtId="44" fontId="15" fillId="0" borderId="27" xfId="0" applyNumberFormat="1" applyFont="1" applyFill="1" applyBorder="1" applyAlignment="1">
      <alignment horizontal="center" wrapText="1"/>
    </xf>
    <xf numFmtId="44" fontId="15" fillId="0" borderId="28" xfId="0" applyNumberFormat="1" applyFont="1" applyFill="1" applyBorder="1" applyAlignment="1">
      <alignment horizontal="center" wrapText="1"/>
    </xf>
    <xf numFmtId="0" fontId="9" fillId="0" borderId="54" xfId="0" applyFont="1" applyFill="1" applyBorder="1" applyAlignment="1">
      <alignment horizontal="left"/>
    </xf>
    <xf numFmtId="44" fontId="15" fillId="0" borderId="28" xfId="69" applyNumberFormat="1" applyFont="1" applyFill="1" applyBorder="1"/>
    <xf numFmtId="42" fontId="15" fillId="0" borderId="62" xfId="0" applyNumberFormat="1" applyFont="1" applyFill="1" applyBorder="1" applyAlignment="1">
      <alignment horizontal="center" wrapText="1"/>
    </xf>
    <xf numFmtId="42" fontId="15" fillId="0" borderId="49" xfId="0" applyNumberFormat="1" applyFont="1" applyFill="1" applyBorder="1" applyAlignment="1">
      <alignment horizontal="center" wrapText="1"/>
    </xf>
    <xf numFmtId="0" fontId="9" fillId="0" borderId="27" xfId="0" applyNumberFormat="1" applyFont="1" applyFill="1" applyBorder="1" applyAlignment="1">
      <alignment horizontal="center" wrapText="1"/>
    </xf>
    <xf numFmtId="42" fontId="15" fillId="0" borderId="11" xfId="0" applyNumberFormat="1" applyFont="1" applyFill="1" applyBorder="1"/>
    <xf numFmtId="165" fontId="15" fillId="0" borderId="11" xfId="0" applyNumberFormat="1" applyFont="1" applyFill="1" applyBorder="1"/>
    <xf numFmtId="166" fontId="15" fillId="0" borderId="11" xfId="0" applyNumberFormat="1" applyFont="1" applyFill="1" applyBorder="1"/>
    <xf numFmtId="3" fontId="15" fillId="0" borderId="11" xfId="69" applyNumberFormat="1" applyFont="1" applyFill="1" applyBorder="1"/>
    <xf numFmtId="44" fontId="15" fillId="0" borderId="11" xfId="69" applyNumberFormat="1" applyFont="1" applyFill="1" applyBorder="1"/>
    <xf numFmtId="42" fontId="15" fillId="0" borderId="25" xfId="0" applyNumberFormat="1" applyFont="1" applyFill="1" applyBorder="1"/>
    <xf numFmtId="166" fontId="15" fillId="0" borderId="25" xfId="0" applyNumberFormat="1" applyFont="1" applyFill="1" applyBorder="1"/>
    <xf numFmtId="43" fontId="15" fillId="0" borderId="25" xfId="0" applyNumberFormat="1" applyFont="1" applyFill="1" applyBorder="1" applyAlignment="1">
      <alignment horizontal="center" wrapText="1"/>
    </xf>
    <xf numFmtId="3" fontId="9" fillId="0" borderId="25" xfId="0" applyNumberFormat="1" applyFont="1" applyFill="1" applyBorder="1"/>
    <xf numFmtId="0" fontId="9" fillId="0" borderId="25" xfId="0" applyFont="1" applyFill="1" applyBorder="1" applyAlignment="1">
      <alignment wrapText="1"/>
    </xf>
    <xf numFmtId="41" fontId="15" fillId="0" borderId="25" xfId="69" applyNumberFormat="1" applyFont="1" applyFill="1" applyBorder="1" applyAlignment="1">
      <alignment horizontal="right"/>
    </xf>
    <xf numFmtId="44" fontId="15" fillId="0" borderId="25" xfId="69" applyNumberFormat="1" applyFont="1" applyFill="1" applyBorder="1"/>
    <xf numFmtId="44" fontId="15" fillId="0" borderId="24" xfId="69" applyNumberFormat="1" applyFont="1" applyFill="1" applyBorder="1"/>
    <xf numFmtId="0" fontId="15" fillId="0" borderId="39" xfId="0" applyFont="1" applyFill="1" applyBorder="1" applyAlignment="1">
      <alignment horizontal="right"/>
    </xf>
    <xf numFmtId="42" fontId="15" fillId="0" borderId="60" xfId="0" applyNumberFormat="1" applyFont="1" applyFill="1" applyBorder="1" applyAlignment="1">
      <alignment horizontal="center" wrapText="1"/>
    </xf>
    <xf numFmtId="166" fontId="15" fillId="0" borderId="60" xfId="0" applyNumberFormat="1" applyFont="1" applyFill="1" applyBorder="1" applyAlignment="1">
      <alignment horizontal="right" wrapText="1"/>
    </xf>
    <xf numFmtId="43" fontId="15" fillId="0" borderId="60" xfId="0" applyNumberFormat="1" applyFont="1" applyFill="1" applyBorder="1" applyAlignment="1">
      <alignment horizontal="center" wrapText="1"/>
    </xf>
    <xf numFmtId="3" fontId="15" fillId="0" borderId="60" xfId="0" applyNumberFormat="1" applyFont="1" applyFill="1" applyBorder="1" applyAlignment="1">
      <alignment horizontal="center" wrapText="1"/>
    </xf>
    <xf numFmtId="41" fontId="15" fillId="0" borderId="11" xfId="69" applyNumberFormat="1" applyFont="1" applyFill="1" applyBorder="1" applyAlignment="1"/>
    <xf numFmtId="41" fontId="15" fillId="0" borderId="11" xfId="69" applyNumberFormat="1" applyFont="1" applyFill="1" applyBorder="1" applyAlignment="1">
      <alignment horizontal="right"/>
    </xf>
    <xf numFmtId="0" fontId="9" fillId="0" borderId="61" xfId="0" applyFont="1" applyFill="1" applyBorder="1"/>
    <xf numFmtId="0" fontId="9" fillId="0" borderId="0" xfId="0" applyFont="1" applyFill="1" applyBorder="1"/>
    <xf numFmtId="3" fontId="9" fillId="0" borderId="0" xfId="0" applyNumberFormat="1" applyFont="1" applyFill="1" applyBorder="1"/>
    <xf numFmtId="0" fontId="9" fillId="0" borderId="14" xfId="0" applyFont="1" applyFill="1" applyBorder="1"/>
    <xf numFmtId="0" fontId="9" fillId="0" borderId="51" xfId="0" applyFont="1" applyFill="1" applyBorder="1" applyAlignment="1">
      <alignment horizontal="center"/>
    </xf>
    <xf numFmtId="3" fontId="9" fillId="0" borderId="51" xfId="0" applyNumberFormat="1" applyFont="1" applyFill="1" applyBorder="1" applyAlignment="1">
      <alignment horizontal="center"/>
    </xf>
    <xf numFmtId="0" fontId="9" fillId="0" borderId="88" xfId="0" applyFont="1" applyFill="1" applyBorder="1" applyAlignment="1">
      <alignment horizontal="center"/>
    </xf>
    <xf numFmtId="166" fontId="9" fillId="0" borderId="48" xfId="0" applyNumberFormat="1" applyFont="1" applyFill="1" applyBorder="1" applyAlignment="1">
      <alignment horizontal="right" wrapText="1"/>
    </xf>
    <xf numFmtId="166" fontId="9" fillId="0" borderId="51" xfId="0" applyNumberFormat="1" applyFont="1" applyFill="1" applyBorder="1" applyAlignment="1">
      <alignment horizontal="right" vertical="center" wrapText="1"/>
    </xf>
    <xf numFmtId="166" fontId="9" fillId="0" borderId="43" xfId="0" applyNumberFormat="1" applyFont="1" applyFill="1" applyBorder="1" applyAlignment="1">
      <alignment horizontal="right" wrapText="1"/>
    </xf>
    <xf numFmtId="42" fontId="9" fillId="0" borderId="60" xfId="0" applyNumberFormat="1" applyFont="1" applyFill="1" applyBorder="1"/>
    <xf numFmtId="166" fontId="9" fillId="0" borderId="27" xfId="0" applyNumberFormat="1" applyFont="1" applyFill="1" applyBorder="1" applyAlignment="1">
      <alignment horizontal="right" vertical="center" wrapText="1"/>
    </xf>
    <xf numFmtId="0" fontId="15" fillId="0" borderId="37" xfId="0" applyFont="1" applyFill="1" applyBorder="1"/>
    <xf numFmtId="42" fontId="9" fillId="0" borderId="18" xfId="0" applyNumberFormat="1" applyFont="1" applyFill="1" applyBorder="1"/>
    <xf numFmtId="42" fontId="9" fillId="0" borderId="63" xfId="0" applyNumberFormat="1" applyFont="1" applyFill="1" applyBorder="1"/>
    <xf numFmtId="166" fontId="9" fillId="0" borderId="50" xfId="0" applyNumberFormat="1" applyFont="1" applyFill="1" applyBorder="1" applyAlignment="1">
      <alignment horizontal="right" vertical="center" wrapText="1"/>
    </xf>
    <xf numFmtId="43" fontId="9" fillId="0" borderId="50" xfId="0" applyNumberFormat="1" applyFont="1" applyFill="1" applyBorder="1"/>
    <xf numFmtId="3" fontId="9" fillId="0" borderId="50" xfId="0" applyNumberFormat="1" applyFont="1" applyFill="1" applyBorder="1" applyAlignment="1">
      <alignment horizontal="center" wrapText="1"/>
    </xf>
    <xf numFmtId="41" fontId="9" fillId="0" borderId="50" xfId="0" applyNumberFormat="1" applyFont="1" applyFill="1" applyBorder="1" applyAlignment="1">
      <alignment horizontal="center" wrapText="1"/>
    </xf>
    <xf numFmtId="44" fontId="9" fillId="0" borderId="50" xfId="0" applyNumberFormat="1" applyFont="1" applyFill="1" applyBorder="1" applyAlignment="1">
      <alignment horizontal="center" wrapText="1"/>
    </xf>
    <xf numFmtId="44" fontId="9" fillId="0" borderId="52" xfId="69" applyNumberFormat="1" applyFont="1" applyFill="1" applyBorder="1"/>
    <xf numFmtId="0" fontId="15" fillId="0" borderId="38" xfId="0" applyFont="1" applyFill="1" applyBorder="1"/>
    <xf numFmtId="42" fontId="9" fillId="0" borderId="22" xfId="0" applyNumberFormat="1" applyFont="1" applyFill="1" applyBorder="1"/>
    <xf numFmtId="42" fontId="9" fillId="0" borderId="64" xfId="0" applyNumberFormat="1" applyFont="1" applyFill="1" applyBorder="1"/>
    <xf numFmtId="166" fontId="9" fillId="0" borderId="29" xfId="0" applyNumberFormat="1" applyFont="1" applyFill="1" applyBorder="1" applyAlignment="1">
      <alignment horizontal="right" vertical="center" wrapText="1"/>
    </xf>
    <xf numFmtId="3" fontId="9" fillId="0" borderId="43" xfId="0" applyNumberFormat="1" applyFont="1" applyFill="1" applyBorder="1" applyAlignment="1">
      <alignment horizontal="center" wrapText="1"/>
    </xf>
    <xf numFmtId="41" fontId="9" fillId="0" borderId="43" xfId="0" applyNumberFormat="1" applyFont="1" applyFill="1" applyBorder="1" applyAlignment="1">
      <alignment horizontal="center" wrapText="1"/>
    </xf>
    <xf numFmtId="44" fontId="9" fillId="0" borderId="53" xfId="69" applyNumberFormat="1" applyFont="1" applyFill="1" applyBorder="1"/>
    <xf numFmtId="0" fontId="15" fillId="0" borderId="61" xfId="0" applyFont="1" applyFill="1" applyBorder="1"/>
    <xf numFmtId="42" fontId="9" fillId="0" borderId="61" xfId="0" applyNumberFormat="1" applyFont="1" applyFill="1" applyBorder="1"/>
    <xf numFmtId="42" fontId="9" fillId="0" borderId="65" xfId="0" applyNumberFormat="1" applyFont="1" applyFill="1" applyBorder="1"/>
    <xf numFmtId="166" fontId="9" fillId="0" borderId="48" xfId="0" applyNumberFormat="1" applyFont="1" applyFill="1" applyBorder="1" applyAlignment="1">
      <alignment horizontal="right" vertical="center" wrapText="1"/>
    </xf>
    <xf numFmtId="3" fontId="9" fillId="0" borderId="44" xfId="0" applyNumberFormat="1" applyFont="1" applyFill="1" applyBorder="1" applyAlignment="1">
      <alignment horizontal="center" wrapText="1"/>
    </xf>
    <xf numFmtId="41" fontId="9" fillId="0" borderId="44" xfId="0" applyNumberFormat="1" applyFont="1" applyFill="1" applyBorder="1" applyAlignment="1">
      <alignment horizontal="center" wrapText="1"/>
    </xf>
    <xf numFmtId="44" fontId="9" fillId="0" borderId="48" xfId="0" applyNumberFormat="1" applyFont="1" applyFill="1" applyBorder="1" applyAlignment="1">
      <alignment horizontal="center" wrapText="1"/>
    </xf>
    <xf numFmtId="44" fontId="9" fillId="0" borderId="45" xfId="69" applyNumberFormat="1" applyFont="1" applyFill="1" applyBorder="1"/>
    <xf numFmtId="42" fontId="15" fillId="0" borderId="35" xfId="0" applyNumberFormat="1" applyFont="1" applyFill="1" applyBorder="1"/>
    <xf numFmtId="166" fontId="15" fillId="0" borderId="11" xfId="0" applyNumberFormat="1" applyFont="1" applyFill="1" applyBorder="1" applyAlignment="1">
      <alignment horizontal="right" vertical="center" wrapText="1"/>
    </xf>
    <xf numFmtId="0" fontId="9" fillId="0" borderId="66" xfId="0" applyFont="1" applyFill="1" applyBorder="1"/>
    <xf numFmtId="41" fontId="15" fillId="0" borderId="27" xfId="0" applyNumberFormat="1" applyFont="1" applyFill="1" applyBorder="1" applyAlignment="1">
      <alignment horizontal="center" wrapText="1"/>
    </xf>
    <xf numFmtId="44" fontId="15" fillId="0" borderId="11" xfId="0" applyNumberFormat="1" applyFont="1" applyFill="1" applyBorder="1" applyAlignment="1">
      <alignment horizontal="center" wrapText="1"/>
    </xf>
    <xf numFmtId="0" fontId="15" fillId="0" borderId="23" xfId="0" applyFont="1" applyFill="1" applyBorder="1"/>
    <xf numFmtId="44" fontId="9" fillId="0" borderId="50" xfId="0" applyNumberFormat="1" applyFont="1" applyFill="1" applyBorder="1"/>
    <xf numFmtId="44" fontId="9" fillId="0" borderId="52" xfId="0" applyNumberFormat="1" applyFont="1" applyFill="1" applyBorder="1"/>
    <xf numFmtId="0" fontId="15" fillId="0" borderId="34" xfId="0" applyFont="1" applyFill="1" applyBorder="1"/>
    <xf numFmtId="3" fontId="9" fillId="0" borderId="29" xfId="0" applyNumberFormat="1" applyFont="1" applyFill="1" applyBorder="1" applyAlignment="1">
      <alignment horizontal="center" wrapText="1"/>
    </xf>
    <xf numFmtId="44" fontId="9" fillId="0" borderId="29" xfId="0" applyNumberFormat="1" applyFont="1" applyFill="1" applyBorder="1"/>
    <xf numFmtId="44" fontId="9" fillId="0" borderId="53" xfId="0" applyNumberFormat="1" applyFont="1" applyFill="1" applyBorder="1"/>
    <xf numFmtId="0" fontId="15" fillId="0" borderId="67" xfId="0" applyFont="1" applyFill="1" applyBorder="1"/>
    <xf numFmtId="3" fontId="9" fillId="0" borderId="48" xfId="0" applyNumberFormat="1" applyFont="1" applyFill="1" applyBorder="1" applyAlignment="1">
      <alignment horizontal="center" wrapText="1"/>
    </xf>
    <xf numFmtId="44" fontId="9" fillId="0" borderId="48" xfId="0" applyNumberFormat="1" applyFont="1" applyFill="1" applyBorder="1"/>
    <xf numFmtId="44" fontId="9" fillId="0" borderId="47" xfId="0" applyNumberFormat="1" applyFont="1" applyFill="1" applyBorder="1"/>
    <xf numFmtId="44" fontId="15" fillId="0" borderId="27" xfId="0" applyNumberFormat="1" applyFont="1" applyFill="1" applyBorder="1"/>
    <xf numFmtId="44" fontId="15" fillId="0" borderId="28" xfId="0" applyNumberFormat="1" applyFont="1" applyFill="1" applyBorder="1"/>
    <xf numFmtId="166" fontId="9" fillId="0" borderId="43" xfId="0" applyNumberFormat="1" applyFont="1" applyFill="1" applyBorder="1" applyAlignment="1">
      <alignment horizontal="right" vertical="center" wrapText="1"/>
    </xf>
    <xf numFmtId="3" fontId="9" fillId="0" borderId="43" xfId="69" applyNumberFormat="1" applyFont="1" applyFill="1" applyBorder="1" applyAlignment="1">
      <alignment horizontal="right"/>
    </xf>
    <xf numFmtId="41" fontId="9" fillId="0" borderId="43" xfId="69" applyNumberFormat="1" applyFont="1" applyFill="1" applyBorder="1" applyAlignment="1">
      <alignment horizontal="right"/>
    </xf>
    <xf numFmtId="0" fontId="15" fillId="0" borderId="17" xfId="0" applyFont="1" applyFill="1" applyBorder="1"/>
    <xf numFmtId="3" fontId="9" fillId="0" borderId="29" xfId="69" applyNumberFormat="1" applyFont="1" applyFill="1" applyBorder="1" applyAlignment="1">
      <alignment horizontal="right"/>
    </xf>
    <xf numFmtId="3" fontId="9" fillId="0" borderId="44" xfId="69" applyNumberFormat="1" applyFont="1" applyFill="1" applyBorder="1" applyAlignment="1">
      <alignment horizontal="right"/>
    </xf>
    <xf numFmtId="3" fontId="9" fillId="0" borderId="27" xfId="0" applyNumberFormat="1" applyFont="1" applyFill="1" applyBorder="1" applyAlignment="1">
      <alignment horizontal="center" wrapText="1"/>
    </xf>
    <xf numFmtId="41" fontId="9" fillId="0" borderId="27" xfId="0" applyNumberFormat="1" applyFont="1" applyFill="1" applyBorder="1" applyAlignment="1">
      <alignment horizontal="center" wrapText="1"/>
    </xf>
    <xf numFmtId="44" fontId="9" fillId="0" borderId="27" xfId="0" applyNumberFormat="1" applyFont="1" applyFill="1" applyBorder="1"/>
    <xf numFmtId="44" fontId="9" fillId="0" borderId="28" xfId="0" applyNumberFormat="1" applyFont="1" applyFill="1" applyBorder="1"/>
    <xf numFmtId="42" fontId="9" fillId="0" borderId="11" xfId="0" applyNumberFormat="1" applyFont="1" applyFill="1" applyBorder="1"/>
    <xf numFmtId="166" fontId="9" fillId="0" borderId="11" xfId="0" applyNumberFormat="1" applyFont="1" applyFill="1" applyBorder="1" applyAlignment="1">
      <alignment horizontal="right" vertical="center" wrapText="1"/>
    </xf>
    <xf numFmtId="0" fontId="9" fillId="0" borderId="56" xfId="0" applyFont="1" applyFill="1" applyBorder="1"/>
    <xf numFmtId="41" fontId="9" fillId="0" borderId="29" xfId="69" applyNumberFormat="1" applyFont="1" applyFill="1" applyBorder="1" applyAlignment="1">
      <alignment horizontal="right"/>
    </xf>
    <xf numFmtId="44" fontId="9" fillId="0" borderId="43" xfId="0" applyNumberFormat="1" applyFont="1" applyFill="1" applyBorder="1"/>
    <xf numFmtId="44" fontId="9" fillId="0" borderId="57" xfId="0" applyNumberFormat="1" applyFont="1" applyFill="1" applyBorder="1"/>
    <xf numFmtId="0" fontId="9" fillId="0" borderId="30" xfId="0" applyFont="1" applyFill="1" applyBorder="1"/>
    <xf numFmtId="0" fontId="9" fillId="0" borderId="31" xfId="0" applyFont="1" applyFill="1" applyBorder="1"/>
    <xf numFmtId="3" fontId="9" fillId="0" borderId="48" xfId="69" applyNumberFormat="1" applyFont="1" applyFill="1" applyBorder="1" applyAlignment="1">
      <alignment horizontal="right"/>
    </xf>
    <xf numFmtId="41" fontId="9" fillId="0" borderId="48" xfId="69" applyNumberFormat="1" applyFont="1" applyFill="1" applyBorder="1" applyAlignment="1">
      <alignment horizontal="right"/>
    </xf>
    <xf numFmtId="166" fontId="15" fillId="0" borderId="11" xfId="0" applyNumberFormat="1" applyFont="1" applyFill="1" applyBorder="1" applyAlignment="1">
      <alignment vertical="center"/>
    </xf>
    <xf numFmtId="3" fontId="15" fillId="0" borderId="11" xfId="69" applyNumberFormat="1" applyFont="1" applyFill="1" applyBorder="1" applyAlignment="1">
      <alignment horizontal="right"/>
    </xf>
    <xf numFmtId="0" fontId="15" fillId="0" borderId="11" xfId="0" applyFont="1" applyFill="1" applyBorder="1" applyAlignment="1">
      <alignment wrapText="1"/>
    </xf>
    <xf numFmtId="5" fontId="18" fillId="0" borderId="0" xfId="0" applyNumberFormat="1" applyFont="1" applyFill="1"/>
    <xf numFmtId="10" fontId="18" fillId="0" borderId="0" xfId="149" applyNumberFormat="1" applyFont="1" applyFill="1"/>
    <xf numFmtId="0" fontId="9" fillId="0" borderId="67" xfId="0" applyFont="1" applyFill="1" applyBorder="1" applyAlignment="1"/>
    <xf numFmtId="0" fontId="15" fillId="0" borderId="42" xfId="0" applyFont="1" applyFill="1" applyBorder="1" applyAlignment="1">
      <alignment horizontal="left" vertical="center"/>
    </xf>
    <xf numFmtId="3" fontId="18" fillId="0" borderId="0" xfId="69" applyNumberFormat="1" applyFont="1" applyFill="1"/>
    <xf numFmtId="3" fontId="18" fillId="0" borderId="0" xfId="0" applyNumberFormat="1" applyFont="1" applyBorder="1" applyAlignment="1">
      <alignment horizontal="center"/>
    </xf>
    <xf numFmtId="3" fontId="6" fillId="0" borderId="0" xfId="149" applyNumberFormat="1" applyFont="1" applyFill="1" applyBorder="1"/>
    <xf numFmtId="169" fontId="6" fillId="0" borderId="0" xfId="149" applyNumberFormat="1" applyFont="1" applyFill="1"/>
    <xf numFmtId="169" fontId="6" fillId="0" borderId="0" xfId="149" applyNumberFormat="1" applyFont="1" applyFill="1" applyBorder="1"/>
    <xf numFmtId="1" fontId="14" fillId="0" borderId="0" xfId="0" applyNumberFormat="1" applyFont="1"/>
    <xf numFmtId="1" fontId="9" fillId="0" borderId="0" xfId="149" applyNumberFormat="1" applyFont="1" applyFill="1" applyBorder="1" applyAlignment="1">
      <alignment horizontal="right"/>
    </xf>
    <xf numFmtId="185" fontId="37" fillId="0" borderId="0" xfId="0" applyNumberFormat="1" applyFont="1" applyFill="1" applyAlignment="1">
      <alignment horizontal="center"/>
    </xf>
    <xf numFmtId="42" fontId="17" fillId="42" borderId="43" xfId="0" applyNumberFormat="1" applyFont="1" applyFill="1" applyBorder="1"/>
    <xf numFmtId="42" fontId="17" fillId="42" borderId="29" xfId="0" applyNumberFormat="1" applyFont="1" applyFill="1" applyBorder="1"/>
    <xf numFmtId="166" fontId="17" fillId="42" borderId="29" xfId="0" applyNumberFormat="1" applyFont="1" applyFill="1" applyBorder="1" applyAlignment="1">
      <alignment horizontal="right" wrapText="1"/>
    </xf>
    <xf numFmtId="43" fontId="17" fillId="42" borderId="29" xfId="0" applyNumberFormat="1" applyFont="1" applyFill="1" applyBorder="1" applyAlignment="1">
      <alignment horizontal="center" wrapText="1"/>
    </xf>
    <xf numFmtId="3" fontId="17" fillId="42" borderId="29" xfId="69" applyNumberFormat="1" applyFont="1" applyFill="1" applyBorder="1" applyAlignment="1">
      <alignment horizontal="center"/>
    </xf>
    <xf numFmtId="0" fontId="17" fillId="42" borderId="43" xfId="0" applyFont="1" applyFill="1" applyBorder="1" applyAlignment="1">
      <alignment horizontal="center" wrapText="1"/>
    </xf>
    <xf numFmtId="44" fontId="17" fillId="42" borderId="29" xfId="0" applyNumberFormat="1" applyFont="1" applyFill="1" applyBorder="1" applyAlignment="1">
      <alignment horizontal="center" wrapText="1"/>
    </xf>
    <xf numFmtId="44" fontId="17" fillId="42" borderId="47" xfId="69" applyNumberFormat="1" applyFont="1" applyFill="1" applyBorder="1"/>
    <xf numFmtId="44" fontId="37" fillId="42" borderId="0" xfId="0" applyNumberFormat="1" applyFont="1" applyFill="1"/>
    <xf numFmtId="0" fontId="37" fillId="42" borderId="0" xfId="0" applyFont="1" applyFill="1"/>
    <xf numFmtId="0" fontId="17" fillId="42" borderId="54" xfId="0" applyFont="1" applyFill="1" applyBorder="1" applyAlignment="1">
      <alignment horizontal="left"/>
    </xf>
    <xf numFmtId="0" fontId="40" fillId="42" borderId="49" xfId="0" applyFont="1" applyFill="1" applyBorder="1" applyAlignment="1">
      <alignment horizontal="right"/>
    </xf>
    <xf numFmtId="42" fontId="40" fillId="42" borderId="27" xfId="0" applyNumberFormat="1" applyFont="1" applyFill="1" applyBorder="1" applyAlignment="1">
      <alignment horizontal="center" wrapText="1"/>
    </xf>
    <xf numFmtId="166" fontId="40" fillId="42" borderId="27" xfId="0" applyNumberFormat="1" applyFont="1" applyFill="1" applyBorder="1" applyAlignment="1">
      <alignment horizontal="right" wrapText="1"/>
    </xf>
    <xf numFmtId="43" fontId="40" fillId="42" borderId="27" xfId="0" applyNumberFormat="1" applyFont="1" applyFill="1" applyBorder="1" applyAlignment="1">
      <alignment horizontal="center" wrapText="1"/>
    </xf>
    <xf numFmtId="3" fontId="40" fillId="42" borderId="27" xfId="0" applyNumberFormat="1" applyFont="1" applyFill="1" applyBorder="1" applyAlignment="1">
      <alignment horizontal="center" wrapText="1"/>
    </xf>
    <xf numFmtId="3" fontId="40" fillId="42" borderId="27" xfId="0" applyNumberFormat="1" applyFont="1" applyFill="1" applyBorder="1" applyAlignment="1">
      <alignment horizontal="right" wrapText="1"/>
    </xf>
    <xf numFmtId="44" fontId="40" fillId="42" borderId="27" xfId="0" applyNumberFormat="1" applyFont="1" applyFill="1" applyBorder="1" applyAlignment="1">
      <alignment horizontal="center" wrapText="1"/>
    </xf>
    <xf numFmtId="44" fontId="40" fillId="42" borderId="28" xfId="69" applyNumberFormat="1" applyFont="1" applyFill="1" applyBorder="1"/>
    <xf numFmtId="0" fontId="41" fillId="42" borderId="0" xfId="0" applyFont="1" applyFill="1"/>
    <xf numFmtId="0" fontId="17" fillId="42" borderId="42" xfId="0" applyFont="1" applyFill="1" applyBorder="1" applyAlignment="1">
      <alignment horizontal="left"/>
    </xf>
    <xf numFmtId="43" fontId="37" fillId="42" borderId="0" xfId="0" applyNumberFormat="1" applyFont="1" applyFill="1"/>
    <xf numFmtId="0" fontId="9" fillId="42" borderId="34" xfId="0" applyFont="1" applyFill="1" applyBorder="1" applyAlignment="1">
      <alignment horizontal="left"/>
    </xf>
    <xf numFmtId="42" fontId="9" fillId="42" borderId="43" xfId="0" applyNumberFormat="1" applyFont="1" applyFill="1" applyBorder="1"/>
    <xf numFmtId="42" fontId="9" fillId="42" borderId="29" xfId="0" applyNumberFormat="1" applyFont="1" applyFill="1" applyBorder="1"/>
    <xf numFmtId="43" fontId="9" fillId="42" borderId="29" xfId="0" applyNumberFormat="1" applyFont="1" applyFill="1" applyBorder="1" applyAlignment="1">
      <alignment horizontal="center" wrapText="1"/>
    </xf>
    <xf numFmtId="3" fontId="9" fillId="42" borderId="29" xfId="69" applyNumberFormat="1" applyFont="1" applyFill="1" applyBorder="1" applyAlignment="1">
      <alignment horizontal="center"/>
    </xf>
    <xf numFmtId="44" fontId="9" fillId="42" borderId="29" xfId="0" applyNumberFormat="1" applyFont="1" applyFill="1" applyBorder="1" applyAlignment="1">
      <alignment horizontal="center" wrapText="1"/>
    </xf>
    <xf numFmtId="44" fontId="9" fillId="42" borderId="47" xfId="69" applyNumberFormat="1" applyFont="1" applyFill="1" applyBorder="1"/>
    <xf numFmtId="43" fontId="3" fillId="42" borderId="0" xfId="0" applyNumberFormat="1" applyFont="1" applyFill="1"/>
    <xf numFmtId="0" fontId="3" fillId="42" borderId="0" xfId="0" applyFont="1" applyFill="1"/>
    <xf numFmtId="0" fontId="9" fillId="42" borderId="54" xfId="0" applyFont="1" applyFill="1" applyBorder="1" applyAlignment="1">
      <alignment horizontal="left"/>
    </xf>
    <xf numFmtId="0" fontId="79" fillId="0" borderId="11" xfId="122" applyFont="1" applyBorder="1" applyAlignment="1">
      <alignment horizontal="center" vertical="center" wrapText="1"/>
    </xf>
    <xf numFmtId="0" fontId="78" fillId="0" borderId="11" xfId="122" applyFont="1" applyBorder="1" applyAlignment="1">
      <alignment horizontal="right" vertical="center" wrapText="1"/>
    </xf>
    <xf numFmtId="5" fontId="78" fillId="0" borderId="11" xfId="122" applyNumberFormat="1" applyFont="1" applyBorder="1" applyAlignment="1">
      <alignment horizontal="center"/>
    </xf>
    <xf numFmtId="166" fontId="78" fillId="0" borderId="0" xfId="122" applyNumberFormat="1" applyFont="1" applyAlignment="1">
      <alignment horizontal="center" vertical="top" wrapText="1"/>
    </xf>
    <xf numFmtId="5" fontId="78" fillId="0" borderId="20" xfId="122" applyNumberFormat="1" applyFont="1" applyBorder="1" applyAlignment="1">
      <alignment horizontal="center" vertical="center" wrapText="1"/>
    </xf>
    <xf numFmtId="7" fontId="78" fillId="0" borderId="13" xfId="122" applyNumberFormat="1" applyFont="1" applyBorder="1" applyAlignment="1">
      <alignment vertical="top" wrapText="1"/>
    </xf>
    <xf numFmtId="0" fontId="78" fillId="0" borderId="15" xfId="122" applyFont="1" applyBorder="1" applyAlignment="1">
      <alignment vertical="top" wrapText="1"/>
    </xf>
    <xf numFmtId="0" fontId="78" fillId="0" borderId="21" xfId="122" applyFont="1" applyBorder="1"/>
    <xf numFmtId="0" fontId="78" fillId="0" borderId="15" xfId="122" applyFont="1" applyBorder="1" applyAlignment="1">
      <alignment horizontal="center" vertical="top" wrapText="1"/>
    </xf>
    <xf numFmtId="6" fontId="78" fillId="0" borderId="15" xfId="122" applyNumberFormat="1" applyFont="1" applyBorder="1" applyAlignment="1">
      <alignment horizontal="center" vertical="top" wrapText="1"/>
    </xf>
    <xf numFmtId="5" fontId="78" fillId="0" borderId="0" xfId="122" applyNumberFormat="1" applyFont="1" applyBorder="1" applyAlignment="1">
      <alignment horizontal="center" vertical="top" wrapText="1"/>
    </xf>
    <xf numFmtId="186" fontId="78" fillId="0" borderId="12" xfId="122" applyNumberFormat="1" applyFont="1" applyBorder="1" applyAlignment="1">
      <alignment horizontal="center" vertical="center" wrapText="1"/>
    </xf>
    <xf numFmtId="6" fontId="78" fillId="0" borderId="12" xfId="122" applyNumberFormat="1" applyFont="1" applyBorder="1" applyAlignment="1">
      <alignment horizontal="center" vertical="center" wrapText="1"/>
    </xf>
    <xf numFmtId="0" fontId="78" fillId="0" borderId="12" xfId="122" applyFont="1" applyBorder="1" applyAlignment="1">
      <alignment horizontal="center" vertical="center" wrapText="1"/>
    </xf>
    <xf numFmtId="42" fontId="78" fillId="0" borderId="12" xfId="122" applyNumberFormat="1" applyFont="1" applyBorder="1" applyAlignment="1">
      <alignment horizontal="center" vertical="center" wrapText="1"/>
    </xf>
    <xf numFmtId="5" fontId="78" fillId="0" borderId="12" xfId="122" applyNumberFormat="1" applyFont="1" applyBorder="1" applyAlignment="1">
      <alignment horizontal="center"/>
    </xf>
    <xf numFmtId="37" fontId="78" fillId="0" borderId="25" xfId="122" applyNumberFormat="1" applyFont="1" applyBorder="1" applyAlignment="1">
      <alignment horizontal="center" vertical="center"/>
    </xf>
    <xf numFmtId="0" fontId="78" fillId="0" borderId="15" xfId="122" applyFont="1" applyBorder="1" applyAlignment="1">
      <alignment horizontal="center" vertical="center" wrapText="1"/>
    </xf>
    <xf numFmtId="42" fontId="78" fillId="0" borderId="15" xfId="122" applyNumberFormat="1" applyFont="1" applyBorder="1" applyAlignment="1">
      <alignment horizontal="center" vertical="center" wrapText="1"/>
    </xf>
    <xf numFmtId="186" fontId="78" fillId="0" borderId="11" xfId="122" applyNumberFormat="1" applyFont="1" applyBorder="1" applyAlignment="1">
      <alignment horizontal="center" vertical="center" wrapText="1"/>
    </xf>
    <xf numFmtId="6" fontId="78" fillId="0" borderId="11" xfId="122" applyNumberFormat="1" applyFont="1" applyBorder="1" applyAlignment="1">
      <alignment horizontal="center" vertical="center" wrapText="1"/>
    </xf>
    <xf numFmtId="9" fontId="78" fillId="0" borderId="32" xfId="122" applyNumberFormat="1" applyFont="1" applyBorder="1" applyAlignment="1">
      <alignment horizontal="center" vertical="center"/>
    </xf>
    <xf numFmtId="37" fontId="78" fillId="0" borderId="11" xfId="122" applyNumberFormat="1" applyFont="1" applyBorder="1" applyAlignment="1">
      <alignment horizontal="center" vertical="center" wrapText="1"/>
    </xf>
    <xf numFmtId="0" fontId="9" fillId="42" borderId="27" xfId="0" applyNumberFormat="1" applyFont="1" applyFill="1" applyBorder="1" applyAlignment="1">
      <alignment horizontal="center" wrapText="1"/>
    </xf>
    <xf numFmtId="0" fontId="9" fillId="42" borderId="43" xfId="0" applyFont="1" applyFill="1" applyBorder="1" applyAlignment="1">
      <alignment horizontal="center" wrapText="1"/>
    </xf>
    <xf numFmtId="0" fontId="40" fillId="0" borderId="0" xfId="0" applyFont="1" applyFill="1" applyBorder="1" applyAlignment="1">
      <alignment horizontal="center" wrapText="1"/>
    </xf>
    <xf numFmtId="0" fontId="40" fillId="42" borderId="0" xfId="0" applyFont="1" applyFill="1" applyBorder="1" applyAlignment="1">
      <alignment horizontal="center" wrapText="1"/>
    </xf>
    <xf numFmtId="0" fontId="9" fillId="0" borderId="86" xfId="0" applyFont="1" applyFill="1" applyBorder="1"/>
    <xf numFmtId="42" fontId="9" fillId="0" borderId="51" xfId="0" applyNumberFormat="1" applyFont="1" applyFill="1" applyBorder="1"/>
    <xf numFmtId="166" fontId="17" fillId="0" borderId="51" xfId="0" applyNumberFormat="1" applyFont="1" applyFill="1" applyBorder="1"/>
    <xf numFmtId="0" fontId="40" fillId="0" borderId="12" xfId="0" applyFont="1" applyFill="1" applyBorder="1"/>
    <xf numFmtId="42" fontId="17" fillId="0" borderId="26" xfId="0" applyNumberFormat="1" applyFont="1" applyFill="1" applyBorder="1"/>
    <xf numFmtId="42" fontId="17" fillId="0" borderId="87" xfId="0" applyNumberFormat="1" applyFont="1" applyFill="1" applyBorder="1"/>
    <xf numFmtId="43" fontId="17" fillId="0" borderId="51" xfId="0" applyNumberFormat="1" applyFont="1" applyFill="1" applyBorder="1"/>
    <xf numFmtId="0" fontId="17" fillId="0" borderId="51" xfId="0" applyFont="1" applyFill="1" applyBorder="1"/>
    <xf numFmtId="44" fontId="9" fillId="0" borderId="44" xfId="0" applyNumberFormat="1" applyFont="1" applyFill="1" applyBorder="1" applyAlignment="1">
      <alignment horizontal="center" wrapText="1"/>
    </xf>
    <xf numFmtId="3" fontId="17" fillId="0" borderId="48" xfId="69" applyNumberFormat="1" applyFont="1" applyFill="1" applyBorder="1" applyAlignment="1">
      <alignment horizontal="center"/>
    </xf>
    <xf numFmtId="44" fontId="17" fillId="0" borderId="50" xfId="0" applyNumberFormat="1" applyFont="1" applyFill="1" applyBorder="1" applyAlignment="1">
      <alignment horizontal="center" wrapText="1"/>
    </xf>
    <xf numFmtId="3" fontId="17" fillId="0" borderId="50" xfId="69" applyNumberFormat="1" applyFont="1" applyFill="1" applyBorder="1" applyAlignment="1">
      <alignment horizontal="center"/>
    </xf>
    <xf numFmtId="0" fontId="40" fillId="0" borderId="19" xfId="0" applyFont="1" applyFill="1" applyBorder="1"/>
    <xf numFmtId="42" fontId="17" fillId="0" borderId="19" xfId="0" applyNumberFormat="1" applyFont="1" applyFill="1" applyBorder="1"/>
    <xf numFmtId="166" fontId="17" fillId="0" borderId="59" xfId="0" applyNumberFormat="1" applyFont="1" applyFill="1" applyBorder="1" applyAlignment="1">
      <alignment horizontal="right" vertical="center" wrapText="1"/>
    </xf>
    <xf numFmtId="0" fontId="17" fillId="0" borderId="60" xfId="0" applyFont="1" applyFill="1" applyBorder="1"/>
    <xf numFmtId="3" fontId="17" fillId="0" borderId="60" xfId="0" applyNumberFormat="1" applyFont="1" applyFill="1" applyBorder="1" applyAlignment="1">
      <alignment horizontal="center" wrapText="1"/>
    </xf>
    <xf numFmtId="41" fontId="17" fillId="0" borderId="60" xfId="0" applyNumberFormat="1" applyFont="1" applyFill="1" applyBorder="1" applyAlignment="1">
      <alignment horizontal="center" wrapText="1"/>
    </xf>
    <xf numFmtId="44" fontId="17" fillId="0" borderId="59" xfId="0" applyNumberFormat="1" applyFont="1" applyFill="1" applyBorder="1" applyAlignment="1">
      <alignment horizontal="center" wrapText="1"/>
    </xf>
    <xf numFmtId="44" fontId="17" fillId="0" borderId="80" xfId="69" applyNumberFormat="1" applyFont="1" applyFill="1" applyBorder="1"/>
    <xf numFmtId="3" fontId="17" fillId="0" borderId="59" xfId="69" applyNumberFormat="1" applyFont="1" applyFill="1" applyBorder="1" applyAlignment="1">
      <alignment horizontal="center"/>
    </xf>
    <xf numFmtId="0" fontId="41" fillId="0" borderId="0" xfId="0" applyFont="1" applyFill="1" applyBorder="1"/>
    <xf numFmtId="42" fontId="17" fillId="0" borderId="44" xfId="0" applyNumberFormat="1" applyFont="1" applyFill="1" applyBorder="1" applyAlignment="1">
      <alignment horizontal="center" wrapText="1"/>
    </xf>
    <xf numFmtId="42" fontId="17" fillId="0" borderId="48" xfId="0" applyNumberFormat="1" applyFont="1" applyFill="1" applyBorder="1"/>
    <xf numFmtId="0" fontId="17" fillId="0" borderId="44" xfId="0" applyFont="1" applyFill="1" applyBorder="1" applyAlignment="1">
      <alignment horizontal="center" wrapText="1"/>
    </xf>
    <xf numFmtId="0" fontId="17" fillId="0" borderId="23" xfId="0" applyFont="1" applyFill="1" applyBorder="1" applyAlignment="1">
      <alignment horizontal="left"/>
    </xf>
    <xf numFmtId="42" fontId="17" fillId="0" borderId="50" xfId="0" applyNumberFormat="1" applyFont="1" applyFill="1" applyBorder="1" applyAlignment="1">
      <alignment horizontal="center" wrapText="1"/>
    </xf>
    <xf numFmtId="43" fontId="17" fillId="0" borderId="50" xfId="0" applyNumberFormat="1" applyFont="1" applyFill="1" applyBorder="1" applyAlignment="1">
      <alignment horizontal="center" wrapText="1"/>
    </xf>
    <xf numFmtId="44" fontId="17" fillId="0" borderId="88" xfId="69" applyNumberFormat="1" applyFont="1" applyFill="1" applyBorder="1"/>
    <xf numFmtId="3" fontId="9" fillId="0" borderId="27" xfId="0" applyNumberFormat="1" applyFont="1" applyFill="1" applyBorder="1"/>
    <xf numFmtId="3" fontId="40" fillId="0" borderId="11" xfId="0" applyNumberFormat="1" applyFont="1" applyFill="1" applyBorder="1" applyAlignment="1">
      <alignment horizontal="center" wrapText="1"/>
    </xf>
    <xf numFmtId="41" fontId="40" fillId="0" borderId="11" xfId="0" applyNumberFormat="1" applyFont="1" applyFill="1" applyBorder="1" applyAlignment="1">
      <alignment horizontal="center" wrapText="1"/>
    </xf>
    <xf numFmtId="41" fontId="15" fillId="0" borderId="11" xfId="0" applyNumberFormat="1" applyFont="1" applyFill="1" applyBorder="1" applyAlignment="1">
      <alignment horizontal="center" wrapText="1"/>
    </xf>
    <xf numFmtId="44" fontId="17" fillId="0" borderId="76" xfId="69" applyNumberFormat="1" applyFont="1" applyFill="1" applyBorder="1"/>
    <xf numFmtId="0" fontId="17" fillId="0" borderId="54" xfId="0" applyFont="1" applyFill="1" applyBorder="1"/>
    <xf numFmtId="42" fontId="17" fillId="0" borderId="44" xfId="0" applyNumberFormat="1" applyFont="1" applyFill="1" applyBorder="1"/>
    <xf numFmtId="3" fontId="9" fillId="0" borderId="48" xfId="69" applyNumberFormat="1" applyFont="1" applyFill="1" applyBorder="1" applyAlignment="1">
      <alignment horizontal="center"/>
    </xf>
    <xf numFmtId="3" fontId="40" fillId="0" borderId="60" xfId="0" applyNumberFormat="1" applyFont="1" applyFill="1" applyBorder="1" applyAlignment="1">
      <alignment horizontal="right" wrapText="1"/>
    </xf>
    <xf numFmtId="44" fontId="40" fillId="0" borderId="60" xfId="0" applyNumberFormat="1" applyFont="1" applyFill="1" applyBorder="1" applyAlignment="1">
      <alignment horizontal="center" wrapText="1"/>
    </xf>
    <xf numFmtId="44" fontId="40" fillId="0" borderId="80" xfId="69" applyNumberFormat="1" applyFont="1" applyFill="1" applyBorder="1"/>
    <xf numFmtId="0" fontId="17" fillId="0" borderId="60" xfId="0" applyFont="1" applyFill="1" applyBorder="1" applyAlignment="1">
      <alignment horizontal="center" wrapText="1"/>
    </xf>
    <xf numFmtId="0" fontId="17" fillId="0" borderId="39" xfId="0" applyFont="1" applyFill="1" applyBorder="1" applyAlignment="1">
      <alignment horizontal="left"/>
    </xf>
    <xf numFmtId="42" fontId="17" fillId="0" borderId="60" xfId="0" applyNumberFormat="1" applyFont="1" applyFill="1" applyBorder="1"/>
    <xf numFmtId="0" fontId="42" fillId="0" borderId="0" xfId="0" applyFont="1" applyFill="1" applyAlignment="1"/>
    <xf numFmtId="0" fontId="22" fillId="0" borderId="0" xfId="0" applyFont="1" applyFill="1" applyAlignment="1"/>
    <xf numFmtId="0" fontId="40" fillId="0" borderId="35" xfId="0" applyFont="1" applyFill="1" applyBorder="1" applyAlignment="1">
      <alignment wrapText="1"/>
    </xf>
    <xf numFmtId="0" fontId="40" fillId="0" borderId="32" xfId="0" applyFont="1" applyFill="1" applyBorder="1" applyAlignment="1">
      <alignment wrapText="1"/>
    </xf>
    <xf numFmtId="0" fontId="40" fillId="0" borderId="36" xfId="0" applyFont="1" applyFill="1" applyBorder="1" applyAlignment="1">
      <alignment wrapText="1"/>
    </xf>
    <xf numFmtId="0" fontId="40" fillId="0" borderId="61" xfId="0" applyFont="1" applyFill="1" applyBorder="1" applyAlignment="1">
      <alignment wrapText="1"/>
    </xf>
    <xf numFmtId="0" fontId="40" fillId="0" borderId="0" xfId="0" applyFont="1" applyFill="1" applyBorder="1" applyAlignment="1">
      <alignment wrapText="1"/>
    </xf>
    <xf numFmtId="0" fontId="40" fillId="0" borderId="26" xfId="0" applyFont="1" applyFill="1" applyBorder="1" applyAlignment="1">
      <alignment wrapText="1"/>
    </xf>
    <xf numFmtId="0" fontId="40" fillId="0" borderId="25" xfId="0" applyFont="1" applyFill="1" applyBorder="1" applyAlignment="1">
      <alignment wrapText="1"/>
    </xf>
    <xf numFmtId="0" fontId="40" fillId="0" borderId="19" xfId="0" applyFont="1" applyFill="1" applyBorder="1" applyAlignment="1">
      <alignment wrapText="1"/>
    </xf>
    <xf numFmtId="0" fontId="40" fillId="0" borderId="21" xfId="0" applyFont="1" applyFill="1" applyBorder="1" applyAlignment="1">
      <alignment wrapText="1"/>
    </xf>
    <xf numFmtId="196" fontId="78" fillId="0" borderId="25" xfId="122" applyNumberFormat="1" applyFont="1" applyBorder="1" applyAlignment="1">
      <alignment horizontal="center" vertical="center"/>
    </xf>
    <xf numFmtId="0" fontId="78" fillId="0" borderId="11" xfId="122" applyFont="1" applyBorder="1" applyAlignment="1">
      <alignment horizontal="left" vertical="center" wrapText="1"/>
    </xf>
    <xf numFmtId="37" fontId="78" fillId="0" borderId="24" xfId="122" applyNumberFormat="1" applyFont="1" applyBorder="1" applyAlignment="1">
      <alignment horizontal="center" vertical="center"/>
    </xf>
    <xf numFmtId="37" fontId="78" fillId="0" borderId="24" xfId="122" applyNumberFormat="1" applyFont="1" applyBorder="1" applyAlignment="1">
      <alignment horizontal="center" vertical="center" wrapText="1"/>
    </xf>
    <xf numFmtId="37" fontId="78" fillId="0" borderId="36" xfId="122" applyNumberFormat="1" applyFont="1" applyBorder="1" applyAlignment="1">
      <alignment horizontal="center" vertical="center" wrapText="1"/>
    </xf>
    <xf numFmtId="0" fontId="78" fillId="0" borderId="12" xfId="122" applyFont="1" applyBorder="1" applyAlignment="1">
      <alignment horizontal="right" vertical="center" wrapText="1"/>
    </xf>
    <xf numFmtId="37" fontId="78" fillId="0" borderId="11" xfId="122" applyNumberFormat="1" applyFont="1" applyBorder="1" applyAlignment="1">
      <alignment horizontal="center" vertical="center"/>
    </xf>
    <xf numFmtId="42" fontId="78" fillId="0" borderId="26" xfId="122" applyNumberFormat="1" applyFont="1" applyBorder="1" applyAlignment="1">
      <alignment horizontal="center" vertical="center" wrapText="1"/>
    </xf>
    <xf numFmtId="42" fontId="78" fillId="0" borderId="35" xfId="122" applyNumberFormat="1" applyFont="1" applyBorder="1" applyAlignment="1">
      <alignment horizontal="center" vertical="center" wrapText="1"/>
    </xf>
    <xf numFmtId="44" fontId="37" fillId="0" borderId="0" xfId="0" applyNumberFormat="1" applyFont="1" applyFill="1" applyAlignment="1">
      <alignment horizontal="center" vertical="center"/>
    </xf>
    <xf numFmtId="0" fontId="37" fillId="0" borderId="0" xfId="0" applyFont="1" applyFill="1" applyAlignment="1">
      <alignment horizontal="center" vertical="center"/>
    </xf>
    <xf numFmtId="3" fontId="17" fillId="0" borderId="43" xfId="69" applyNumberFormat="1" applyFont="1" applyFill="1" applyBorder="1" applyAlignment="1">
      <alignment horizontal="center"/>
    </xf>
    <xf numFmtId="0" fontId="9" fillId="0" borderId="49" xfId="0" applyFont="1" applyFill="1" applyBorder="1" applyAlignment="1">
      <alignment horizontal="left" vertical="center"/>
    </xf>
    <xf numFmtId="42" fontId="9" fillId="0" borderId="27" xfId="0" applyNumberFormat="1" applyFont="1" applyFill="1" applyBorder="1" applyAlignment="1">
      <alignment horizontal="center" vertical="center"/>
    </xf>
    <xf numFmtId="166" fontId="9" fillId="0" borderId="27" xfId="0" applyNumberFormat="1" applyFont="1" applyFill="1" applyBorder="1" applyAlignment="1">
      <alignment horizontal="right" wrapText="1"/>
    </xf>
    <xf numFmtId="43" fontId="9" fillId="0" borderId="27" xfId="0" applyNumberFormat="1" applyFont="1" applyFill="1" applyBorder="1" applyAlignment="1">
      <alignment horizontal="center" vertical="center" wrapText="1"/>
    </xf>
    <xf numFmtId="3" fontId="9" fillId="0" borderId="27" xfId="69" applyNumberFormat="1" applyFont="1" applyFill="1" applyBorder="1" applyAlignment="1">
      <alignment horizontal="center" vertical="center"/>
    </xf>
    <xf numFmtId="0" fontId="9" fillId="0" borderId="27" xfId="0" applyFont="1" applyFill="1" applyBorder="1" applyAlignment="1">
      <alignment horizontal="center" wrapText="1"/>
    </xf>
    <xf numFmtId="44" fontId="9" fillId="0" borderId="27" xfId="0" applyNumberFormat="1" applyFont="1" applyFill="1" applyBorder="1" applyAlignment="1">
      <alignment horizontal="center" vertical="center" wrapText="1"/>
    </xf>
    <xf numFmtId="44" fontId="9" fillId="0" borderId="28" xfId="69" applyNumberFormat="1" applyFont="1" applyFill="1" applyBorder="1" applyAlignment="1">
      <alignment horizontal="center" vertical="center"/>
    </xf>
    <xf numFmtId="3" fontId="9" fillId="0" borderId="27" xfId="69" applyNumberFormat="1" applyFont="1" applyFill="1" applyBorder="1" applyAlignment="1">
      <alignment horizontal="center"/>
    </xf>
    <xf numFmtId="166" fontId="17" fillId="42" borderId="43" xfId="0" applyNumberFormat="1" applyFont="1" applyFill="1" applyBorder="1" applyAlignment="1">
      <alignment horizontal="right" wrapText="1"/>
    </xf>
    <xf numFmtId="43" fontId="17" fillId="42" borderId="43" xfId="0" applyNumberFormat="1" applyFont="1" applyFill="1" applyBorder="1" applyAlignment="1">
      <alignment horizontal="center" wrapText="1"/>
    </xf>
    <xf numFmtId="3" fontId="17" fillId="42" borderId="43" xfId="69" applyNumberFormat="1" applyFont="1" applyFill="1" applyBorder="1" applyAlignment="1">
      <alignment horizontal="center"/>
    </xf>
    <xf numFmtId="44" fontId="17" fillId="42" borderId="43" xfId="0" applyNumberFormat="1" applyFont="1" applyFill="1" applyBorder="1" applyAlignment="1">
      <alignment horizontal="center" wrapText="1"/>
    </xf>
    <xf numFmtId="44" fontId="17" fillId="42" borderId="45" xfId="69" applyNumberFormat="1" applyFont="1" applyFill="1" applyBorder="1"/>
    <xf numFmtId="43" fontId="9" fillId="0" borderId="27" xfId="0" applyNumberFormat="1" applyFont="1" applyFill="1" applyBorder="1" applyAlignment="1">
      <alignment horizontal="center" wrapText="1"/>
    </xf>
    <xf numFmtId="44" fontId="9" fillId="0" borderId="27" xfId="0" applyNumberFormat="1" applyFont="1" applyFill="1" applyBorder="1" applyAlignment="1">
      <alignment horizontal="center" wrapText="1"/>
    </xf>
    <xf numFmtId="44" fontId="9" fillId="0" borderId="28" xfId="69" applyNumberFormat="1" applyFont="1" applyFill="1" applyBorder="1"/>
    <xf numFmtId="165" fontId="3" fillId="0" borderId="13" xfId="93" applyNumberFormat="1" applyFont="1" applyFill="1" applyBorder="1" applyAlignment="1"/>
    <xf numFmtId="165" fontId="3" fillId="0" borderId="77" xfId="93" applyNumberFormat="1" applyFont="1" applyFill="1" applyBorder="1" applyAlignment="1"/>
    <xf numFmtId="0" fontId="9" fillId="0" borderId="37" xfId="0" applyFont="1" applyFill="1" applyBorder="1" applyAlignment="1"/>
    <xf numFmtId="0" fontId="9" fillId="0" borderId="38" xfId="0" applyFont="1" applyFill="1" applyBorder="1" applyAlignment="1">
      <alignment horizontal="left"/>
    </xf>
    <xf numFmtId="9" fontId="18" fillId="0" borderId="0" xfId="0" applyNumberFormat="1" applyFont="1" applyBorder="1" applyAlignment="1">
      <alignment horizontal="center"/>
    </xf>
    <xf numFmtId="9" fontId="9" fillId="0" borderId="0" xfId="149" applyNumberFormat="1" applyFont="1" applyFill="1" applyBorder="1" applyAlignment="1">
      <alignment horizontal="left"/>
    </xf>
    <xf numFmtId="0" fontId="9" fillId="42" borderId="42" xfId="0" applyFont="1" applyFill="1" applyBorder="1" applyAlignment="1">
      <alignment horizontal="left"/>
    </xf>
    <xf numFmtId="42" fontId="17" fillId="42" borderId="29" xfId="0" applyNumberFormat="1" applyFont="1" applyFill="1" applyBorder="1" applyAlignment="1">
      <alignment horizontal="center" wrapText="1"/>
    </xf>
    <xf numFmtId="42" fontId="17" fillId="42" borderId="48" xfId="0" applyNumberFormat="1" applyFont="1" applyFill="1" applyBorder="1" applyAlignment="1">
      <alignment horizontal="center" wrapText="1"/>
    </xf>
    <xf numFmtId="0" fontId="17" fillId="42" borderId="34" xfId="0" applyFont="1" applyFill="1" applyBorder="1" applyAlignment="1">
      <alignment horizontal="left"/>
    </xf>
    <xf numFmtId="184" fontId="37" fillId="42" borderId="0" xfId="0" applyNumberFormat="1" applyFont="1" applyFill="1" applyAlignment="1">
      <alignment horizontal="center"/>
    </xf>
    <xf numFmtId="42" fontId="9" fillId="42" borderId="27" xfId="0" applyNumberFormat="1" applyFont="1" applyFill="1" applyBorder="1" applyAlignment="1">
      <alignment horizontal="center" vertical="center"/>
    </xf>
    <xf numFmtId="9" fontId="41" fillId="0" borderId="0" xfId="149" applyFont="1" applyFill="1"/>
    <xf numFmtId="42" fontId="3" fillId="0" borderId="11" xfId="95" applyNumberFormat="1" applyFont="1" applyFill="1" applyBorder="1" applyAlignment="1"/>
    <xf numFmtId="165" fontId="3" fillId="0" borderId="25" xfId="93" applyNumberFormat="1" applyFont="1" applyFill="1" applyBorder="1"/>
    <xf numFmtId="165" fontId="3" fillId="0" borderId="0" xfId="93" applyNumberFormat="1" applyFont="1"/>
    <xf numFmtId="165" fontId="3" fillId="0" borderId="24" xfId="93" applyNumberFormat="1" applyFont="1" applyFill="1" applyBorder="1"/>
    <xf numFmtId="164" fontId="3" fillId="0" borderId="85" xfId="82" applyNumberFormat="1" applyFont="1" applyFill="1" applyBorder="1" applyAlignment="1"/>
    <xf numFmtId="164" fontId="3" fillId="0" borderId="43" xfId="82" applyNumberFormat="1" applyFont="1" applyFill="1" applyBorder="1" applyAlignment="1"/>
    <xf numFmtId="164" fontId="3" fillId="0" borderId="29" xfId="82" applyNumberFormat="1" applyFont="1" applyFill="1" applyBorder="1" applyAlignment="1"/>
    <xf numFmtId="164" fontId="3" fillId="0" borderId="59" xfId="82" applyNumberFormat="1" applyFont="1" applyFill="1" applyBorder="1" applyAlignment="1"/>
    <xf numFmtId="164" fontId="3" fillId="0" borderId="0" xfId="82" applyNumberFormat="1" applyFill="1"/>
    <xf numFmtId="164" fontId="3" fillId="0" borderId="25" xfId="82" applyNumberFormat="1" applyFill="1" applyBorder="1"/>
    <xf numFmtId="164" fontId="3" fillId="0" borderId="37" xfId="82" applyNumberFormat="1" applyFont="1" applyFill="1" applyBorder="1" applyAlignment="1"/>
    <xf numFmtId="164" fontId="3" fillId="0" borderId="38" xfId="82" applyNumberFormat="1" applyFont="1" applyFill="1" applyBorder="1" applyAlignment="1"/>
    <xf numFmtId="164" fontId="3" fillId="0" borderId="13" xfId="82" applyNumberFormat="1" applyFont="1" applyFill="1" applyBorder="1" applyAlignment="1"/>
    <xf numFmtId="164" fontId="3" fillId="0" borderId="12" xfId="82" applyNumberFormat="1" applyFont="1" applyFill="1" applyBorder="1" applyAlignment="1"/>
    <xf numFmtId="164" fontId="3" fillId="0" borderId="37" xfId="82" applyNumberFormat="1" applyFont="1" applyFill="1" applyBorder="1" applyAlignment="1">
      <alignment horizontal="right"/>
    </xf>
    <xf numFmtId="164" fontId="11" fillId="0" borderId="38" xfId="82" applyNumberFormat="1" applyFont="1" applyFill="1" applyBorder="1" applyAlignment="1"/>
    <xf numFmtId="164" fontId="46" fillId="0" borderId="72" xfId="82" applyNumberFormat="1" applyFont="1" applyFill="1" applyBorder="1" applyAlignment="1"/>
    <xf numFmtId="164" fontId="3" fillId="0" borderId="57" xfId="82" applyNumberFormat="1" applyFont="1" applyFill="1" applyBorder="1" applyAlignment="1"/>
    <xf numFmtId="164" fontId="3" fillId="0" borderId="53" xfId="82" applyNumberFormat="1" applyFont="1" applyFill="1" applyBorder="1" applyAlignment="1"/>
    <xf numFmtId="164" fontId="3" fillId="0" borderId="76" xfId="82" applyNumberFormat="1" applyFont="1" applyFill="1" applyBorder="1" applyAlignment="1"/>
    <xf numFmtId="164" fontId="3" fillId="0" borderId="24" xfId="82" applyNumberFormat="1" applyFill="1" applyBorder="1"/>
    <xf numFmtId="164" fontId="3" fillId="0" borderId="85" xfId="82" applyNumberFormat="1" applyFont="1" applyFill="1" applyBorder="1" applyAlignment="1">
      <alignment horizontal="right"/>
    </xf>
    <xf numFmtId="164" fontId="3" fillId="0" borderId="15" xfId="82" applyNumberFormat="1" applyFont="1" applyFill="1" applyBorder="1" applyAlignment="1"/>
    <xf numFmtId="42" fontId="3" fillId="0" borderId="37" xfId="95" applyNumberFormat="1" applyFont="1" applyFill="1" applyBorder="1" applyAlignment="1"/>
    <xf numFmtId="165" fontId="3" fillId="0" borderId="36" xfId="93" applyNumberFormat="1" applyFont="1" applyFill="1" applyBorder="1"/>
    <xf numFmtId="190" fontId="3" fillId="0" borderId="0" xfId="93" applyNumberFormat="1" applyFont="1" applyFill="1"/>
    <xf numFmtId="41" fontId="5" fillId="0" borderId="0" xfId="0" applyNumberFormat="1" applyFont="1" applyFill="1" applyBorder="1"/>
    <xf numFmtId="191" fontId="3" fillId="0" borderId="0" xfId="93" applyNumberFormat="1" applyFont="1" applyFill="1"/>
    <xf numFmtId="41" fontId="5" fillId="0" borderId="0" xfId="0" applyNumberFormat="1" applyFont="1" applyFill="1"/>
    <xf numFmtId="41" fontId="37" fillId="0" borderId="0" xfId="0" applyNumberFormat="1" applyFont="1" applyFill="1"/>
    <xf numFmtId="164" fontId="5" fillId="0" borderId="0" xfId="0" applyNumberFormat="1" applyFont="1" applyFill="1" applyAlignment="1">
      <alignment horizontal="center"/>
    </xf>
    <xf numFmtId="38" fontId="37" fillId="0" borderId="0" xfId="0" applyNumberFormat="1" applyFont="1" applyFill="1" applyBorder="1" applyAlignment="1">
      <alignment horizontal="right"/>
    </xf>
    <xf numFmtId="0" fontId="37" fillId="0" borderId="0" xfId="0" applyFont="1" applyFill="1" applyBorder="1" applyAlignment="1">
      <alignment horizontal="right"/>
    </xf>
    <xf numFmtId="44" fontId="5" fillId="0" borderId="0" xfId="93" applyNumberFormat="1" applyFont="1" applyFill="1" applyBorder="1" applyAlignment="1">
      <alignment horizontal="right"/>
    </xf>
    <xf numFmtId="42" fontId="37" fillId="0" borderId="0" xfId="0" applyNumberFormat="1" applyFont="1" applyFill="1" applyBorder="1" applyAlignment="1">
      <alignment horizontal="right"/>
    </xf>
    <xf numFmtId="44" fontId="5" fillId="0" borderId="0" xfId="0" applyNumberFormat="1" applyFont="1" applyFill="1" applyBorder="1" applyAlignment="1">
      <alignment horizontal="right"/>
    </xf>
    <xf numFmtId="164" fontId="37" fillId="0" borderId="0" xfId="69" applyNumberFormat="1" applyFont="1" applyFill="1" applyBorder="1" applyAlignment="1">
      <alignment horizontal="right"/>
    </xf>
    <xf numFmtId="164" fontId="5" fillId="0" borderId="0" xfId="69" applyNumberFormat="1" applyFont="1" applyFill="1" applyBorder="1" applyAlignment="1">
      <alignment horizontal="right"/>
    </xf>
    <xf numFmtId="165" fontId="5" fillId="0" borderId="0" xfId="93" applyNumberFormat="1" applyFont="1" applyFill="1" applyBorder="1" applyAlignment="1">
      <alignment horizontal="right"/>
    </xf>
    <xf numFmtId="44" fontId="3" fillId="0" borderId="0" xfId="93" applyNumberFormat="1" applyFont="1" applyFill="1" applyBorder="1"/>
    <xf numFmtId="189" fontId="3" fillId="0" borderId="0" xfId="93" applyNumberFormat="1" applyFont="1" applyFill="1" applyBorder="1"/>
    <xf numFmtId="165" fontId="9" fillId="0" borderId="0" xfId="93" applyNumberFormat="1" applyFont="1" applyFill="1" applyBorder="1" applyAlignment="1">
      <alignment horizontal="center"/>
    </xf>
    <xf numFmtId="10" fontId="0" fillId="0" borderId="0" xfId="0" applyNumberFormat="1"/>
    <xf numFmtId="0" fontId="3" fillId="0" borderId="0" xfId="0" applyFont="1" applyBorder="1" applyAlignment="1">
      <alignment horizontal="left"/>
    </xf>
    <xf numFmtId="168" fontId="3" fillId="0" borderId="85" xfId="82" applyNumberFormat="1" applyFont="1" applyFill="1" applyBorder="1" applyAlignment="1"/>
    <xf numFmtId="168" fontId="3" fillId="0" borderId="43" xfId="82" applyNumberFormat="1" applyFont="1" applyFill="1" applyBorder="1" applyAlignment="1"/>
    <xf numFmtId="168" fontId="3" fillId="0" borderId="57" xfId="82" applyNumberFormat="1" applyFont="1" applyFill="1" applyBorder="1" applyAlignment="1"/>
    <xf numFmtId="168" fontId="3" fillId="0" borderId="29" xfId="82" applyNumberFormat="1" applyFont="1" applyFill="1" applyBorder="1" applyAlignment="1"/>
    <xf numFmtId="168" fontId="3" fillId="0" borderId="53" xfId="82" applyNumberFormat="1" applyFont="1" applyFill="1" applyBorder="1" applyAlignment="1"/>
    <xf numFmtId="168" fontId="3" fillId="0" borderId="59" xfId="82" applyNumberFormat="1" applyFont="1" applyFill="1" applyBorder="1" applyAlignment="1"/>
    <xf numFmtId="168" fontId="3" fillId="0" borderId="76" xfId="82" applyNumberFormat="1" applyFont="1" applyFill="1" applyBorder="1" applyAlignment="1"/>
    <xf numFmtId="168" fontId="3" fillId="0" borderId="0" xfId="82" applyNumberFormat="1" applyFill="1"/>
    <xf numFmtId="168" fontId="3" fillId="0" borderId="25" xfId="82" applyNumberFormat="1" applyFill="1" applyBorder="1"/>
    <xf numFmtId="168" fontId="3" fillId="0" borderId="24" xfId="82" applyNumberFormat="1" applyFill="1" applyBorder="1"/>
    <xf numFmtId="168" fontId="3" fillId="0" borderId="37" xfId="82" applyNumberFormat="1" applyFont="1" applyFill="1" applyBorder="1" applyAlignment="1"/>
    <xf numFmtId="168" fontId="3" fillId="0" borderId="38" xfId="82" applyNumberFormat="1" applyFont="1" applyFill="1" applyBorder="1" applyAlignment="1"/>
    <xf numFmtId="168" fontId="3" fillId="0" borderId="85" xfId="82" applyNumberFormat="1" applyFont="1" applyFill="1" applyBorder="1" applyAlignment="1">
      <alignment horizontal="right"/>
    </xf>
    <xf numFmtId="168" fontId="3" fillId="0" borderId="15" xfId="82" applyNumberFormat="1" applyFont="1" applyFill="1" applyBorder="1" applyAlignment="1"/>
    <xf numFmtId="0" fontId="9" fillId="0" borderId="42" xfId="0" applyFont="1" applyFill="1" applyBorder="1" applyAlignment="1">
      <alignment horizontal="left" vertical="center"/>
    </xf>
    <xf numFmtId="0" fontId="9" fillId="0" borderId="39" xfId="0" applyFont="1" applyFill="1" applyBorder="1" applyAlignment="1">
      <alignment horizontal="left" vertical="center"/>
    </xf>
    <xf numFmtId="0" fontId="9" fillId="0" borderId="58" xfId="0" applyFont="1" applyFill="1" applyBorder="1" applyAlignment="1">
      <alignment horizontal="left" vertical="center"/>
    </xf>
    <xf numFmtId="42" fontId="9" fillId="0" borderId="33" xfId="0" applyNumberFormat="1" applyFont="1" applyFill="1" applyBorder="1" applyAlignment="1">
      <alignment horizontal="center"/>
    </xf>
    <xf numFmtId="42" fontId="15" fillId="36" borderId="62" xfId="0" applyNumberFormat="1" applyFont="1" applyFill="1" applyBorder="1" applyAlignment="1">
      <alignment horizontal="center"/>
    </xf>
    <xf numFmtId="42" fontId="15" fillId="36" borderId="11" xfId="0" applyNumberFormat="1" applyFont="1" applyFill="1" applyBorder="1" applyAlignment="1">
      <alignment horizontal="center"/>
    </xf>
    <xf numFmtId="42" fontId="15" fillId="36" borderId="49" xfId="0" applyNumberFormat="1" applyFont="1" applyFill="1" applyBorder="1" applyAlignment="1">
      <alignment horizontal="center"/>
    </xf>
    <xf numFmtId="42" fontId="15" fillId="36" borderId="28" xfId="0" applyNumberFormat="1" applyFont="1" applyFill="1" applyBorder="1" applyAlignment="1">
      <alignment horizontal="center"/>
    </xf>
    <xf numFmtId="42" fontId="15" fillId="37" borderId="28" xfId="0" applyNumberFormat="1" applyFont="1" applyFill="1" applyBorder="1" applyAlignment="1">
      <alignment horizontal="center"/>
    </xf>
    <xf numFmtId="42" fontId="15" fillId="36" borderId="36" xfId="0" applyNumberFormat="1" applyFont="1" applyFill="1" applyBorder="1" applyAlignment="1">
      <alignment horizontal="center"/>
    </xf>
    <xf numFmtId="165" fontId="3" fillId="0" borderId="72" xfId="93" applyNumberFormat="1" applyFont="1" applyFill="1" applyBorder="1" applyAlignment="1"/>
    <xf numFmtId="42" fontId="3" fillId="0" borderId="36" xfId="95" applyNumberFormat="1" applyFont="1" applyFill="1" applyBorder="1" applyAlignment="1"/>
    <xf numFmtId="164" fontId="3" fillId="0" borderId="79" xfId="82" applyNumberFormat="1" applyFont="1" applyFill="1" applyBorder="1" applyAlignment="1"/>
    <xf numFmtId="164" fontId="3" fillId="0" borderId="77" xfId="82" applyNumberFormat="1" applyFont="1" applyFill="1" applyBorder="1" applyAlignment="1"/>
    <xf numFmtId="164" fontId="3" fillId="0" borderId="81" xfId="82" applyNumberFormat="1" applyFont="1" applyFill="1" applyBorder="1" applyAlignment="1"/>
    <xf numFmtId="164" fontId="3" fillId="0" borderId="72" xfId="82" applyNumberFormat="1" applyFont="1" applyFill="1" applyBorder="1" applyAlignment="1"/>
    <xf numFmtId="42" fontId="9" fillId="42" borderId="60" xfId="0" applyNumberFormat="1" applyFont="1" applyFill="1" applyBorder="1" applyAlignment="1">
      <alignment horizontal="center" vertical="center"/>
    </xf>
    <xf numFmtId="42" fontId="9" fillId="0" borderId="60" xfId="0" applyNumberFormat="1" applyFont="1" applyFill="1" applyBorder="1" applyAlignment="1">
      <alignment horizontal="center" vertical="center"/>
    </xf>
    <xf numFmtId="166" fontId="9" fillId="0" borderId="60" xfId="0" applyNumberFormat="1" applyFont="1" applyFill="1" applyBorder="1" applyAlignment="1">
      <alignment horizontal="right" wrapText="1"/>
    </xf>
    <xf numFmtId="43" fontId="9" fillId="0" borderId="60" xfId="0" applyNumberFormat="1" applyFont="1" applyFill="1" applyBorder="1" applyAlignment="1">
      <alignment horizontal="center" wrapText="1"/>
    </xf>
    <xf numFmtId="3" fontId="9" fillId="0" borderId="60" xfId="69" applyNumberFormat="1" applyFont="1" applyFill="1" applyBorder="1" applyAlignment="1">
      <alignment horizontal="center"/>
    </xf>
    <xf numFmtId="3" fontId="9" fillId="0" borderId="60" xfId="69" applyNumberFormat="1" applyFont="1" applyFill="1" applyBorder="1" applyAlignment="1">
      <alignment horizontal="center" vertical="center"/>
    </xf>
    <xf numFmtId="44" fontId="9" fillId="0" borderId="60" xfId="0" applyNumberFormat="1" applyFont="1" applyFill="1" applyBorder="1" applyAlignment="1">
      <alignment horizontal="center" vertical="center" wrapText="1"/>
    </xf>
    <xf numFmtId="44" fontId="9" fillId="0" borderId="80" xfId="69" applyNumberFormat="1" applyFont="1" applyFill="1" applyBorder="1" applyAlignment="1">
      <alignment horizontal="center" vertical="center"/>
    </xf>
    <xf numFmtId="44" fontId="9" fillId="0" borderId="60" xfId="0" applyNumberFormat="1" applyFont="1" applyFill="1" applyBorder="1" applyAlignment="1">
      <alignment horizontal="center" wrapText="1"/>
    </xf>
    <xf numFmtId="44" fontId="9" fillId="0" borderId="80" xfId="69" applyNumberFormat="1" applyFont="1" applyFill="1" applyBorder="1"/>
    <xf numFmtId="0" fontId="9" fillId="42" borderId="23" xfId="0" applyFont="1" applyFill="1" applyBorder="1" applyAlignment="1">
      <alignment horizontal="left"/>
    </xf>
    <xf numFmtId="42" fontId="17" fillId="42" borderId="50" xfId="0" applyNumberFormat="1" applyFont="1" applyFill="1" applyBorder="1"/>
    <xf numFmtId="0" fontId="3" fillId="43" borderId="0" xfId="0" applyFont="1" applyFill="1"/>
    <xf numFmtId="0" fontId="9" fillId="0" borderId="39" xfId="0" applyFont="1" applyFill="1" applyBorder="1" applyAlignment="1">
      <alignment horizontal="left"/>
    </xf>
    <xf numFmtId="165" fontId="9" fillId="0" borderId="53" xfId="93" applyNumberFormat="1" applyFont="1" applyBorder="1" applyAlignment="1">
      <alignment horizontal="right"/>
    </xf>
    <xf numFmtId="165" fontId="9" fillId="0" borderId="80" xfId="93" applyNumberFormat="1" applyFont="1" applyBorder="1" applyAlignment="1">
      <alignment horizontal="center"/>
    </xf>
    <xf numFmtId="0" fontId="15" fillId="0" borderId="11" xfId="0" applyFont="1" applyFill="1" applyBorder="1" applyAlignment="1">
      <alignment horizontal="right"/>
    </xf>
    <xf numFmtId="43" fontId="6" fillId="0" borderId="0" xfId="0" applyNumberFormat="1" applyFont="1" applyFill="1" applyBorder="1"/>
    <xf numFmtId="44" fontId="6" fillId="0" borderId="0" xfId="93" applyFont="1" applyFill="1"/>
    <xf numFmtId="165" fontId="32" fillId="0" borderId="38" xfId="93" applyNumberFormat="1" applyFont="1" applyFill="1" applyBorder="1" applyAlignment="1">
      <alignment horizontal="center"/>
    </xf>
    <xf numFmtId="44" fontId="9" fillId="0" borderId="50" xfId="93" applyFont="1" applyFill="1" applyBorder="1" applyAlignment="1">
      <alignment horizontal="center"/>
    </xf>
    <xf numFmtId="0" fontId="6" fillId="0" borderId="0" xfId="69" applyNumberFormat="1" applyFont="1" applyFill="1" applyBorder="1"/>
    <xf numFmtId="43" fontId="18" fillId="0" borderId="0" xfId="0" applyNumberFormat="1" applyFont="1" applyFill="1" applyBorder="1"/>
    <xf numFmtId="169" fontId="79" fillId="0" borderId="0" xfId="122" applyNumberFormat="1" applyFont="1" applyAlignment="1">
      <alignment horizontal="left"/>
    </xf>
    <xf numFmtId="0" fontId="78" fillId="0" borderId="0" xfId="0" applyFont="1" applyAlignment="1">
      <alignment horizontal="center" vertical="top" wrapText="1"/>
    </xf>
    <xf numFmtId="166" fontId="78" fillId="0" borderId="0" xfId="0" applyNumberFormat="1" applyFont="1" applyAlignment="1">
      <alignment horizontal="center" vertical="top" wrapText="1"/>
    </xf>
    <xf numFmtId="0" fontId="79" fillId="0" borderId="0" xfId="0" applyFont="1" applyAlignment="1">
      <alignment horizontal="center" vertical="top" wrapText="1"/>
    </xf>
    <xf numFmtId="9" fontId="18" fillId="0" borderId="0" xfId="149" applyFont="1" applyFill="1" applyBorder="1"/>
    <xf numFmtId="196" fontId="78" fillId="0" borderId="25" xfId="122" applyNumberFormat="1" applyFont="1" applyBorder="1" applyAlignment="1">
      <alignment horizontal="center" vertical="center" wrapText="1"/>
    </xf>
    <xf numFmtId="0" fontId="3" fillId="0" borderId="68" xfId="0" applyFont="1" applyFill="1" applyBorder="1" applyAlignment="1">
      <alignment horizontal="left"/>
    </xf>
    <xf numFmtId="0" fontId="3" fillId="0" borderId="12" xfId="0" applyFont="1" applyFill="1" applyBorder="1" applyAlignment="1">
      <alignment horizontal="left"/>
    </xf>
    <xf numFmtId="0" fontId="3" fillId="0" borderId="38" xfId="0" applyFont="1" applyFill="1" applyBorder="1" applyAlignment="1">
      <alignment horizontal="left"/>
    </xf>
    <xf numFmtId="0" fontId="3" fillId="0" borderId="72" xfId="0" applyFont="1" applyFill="1" applyBorder="1" applyAlignment="1">
      <alignment horizontal="left"/>
    </xf>
    <xf numFmtId="0" fontId="3" fillId="0" borderId="22" xfId="0" applyFont="1" applyFill="1" applyBorder="1" applyAlignment="1"/>
    <xf numFmtId="0" fontId="3" fillId="0" borderId="17" xfId="0" applyFont="1" applyFill="1" applyBorder="1" applyAlignment="1"/>
    <xf numFmtId="165" fontId="3" fillId="0" borderId="0" xfId="0" applyNumberFormat="1" applyFont="1"/>
    <xf numFmtId="0" fontId="3" fillId="0" borderId="18" xfId="0" applyFont="1" applyFill="1" applyBorder="1" applyAlignment="1"/>
    <xf numFmtId="10" fontId="78" fillId="0" borderId="0" xfId="0" applyNumberFormat="1" applyFont="1" applyAlignment="1">
      <alignment horizontal="center" vertical="top" wrapText="1"/>
    </xf>
    <xf numFmtId="10" fontId="79" fillId="0" borderId="0" xfId="0" applyNumberFormat="1" applyFont="1" applyAlignment="1">
      <alignment horizontal="center" vertical="top" wrapText="1"/>
    </xf>
    <xf numFmtId="44" fontId="17" fillId="0" borderId="90" xfId="69" applyNumberFormat="1" applyFont="1" applyFill="1" applyBorder="1"/>
    <xf numFmtId="44" fontId="40" fillId="0" borderId="0" xfId="69" applyNumberFormat="1" applyFont="1" applyFill="1" applyBorder="1"/>
    <xf numFmtId="166" fontId="9" fillId="0" borderId="51" xfId="0" applyNumberFormat="1" applyFont="1" applyFill="1" applyBorder="1" applyAlignment="1">
      <alignment horizontal="right" wrapText="1"/>
    </xf>
    <xf numFmtId="0" fontId="40" fillId="0" borderId="61" xfId="0" applyFont="1" applyFill="1" applyBorder="1" applyAlignment="1">
      <alignment horizontal="right"/>
    </xf>
    <xf numFmtId="42" fontId="40" fillId="0" borderId="0" xfId="0" applyNumberFormat="1" applyFont="1" applyFill="1" applyBorder="1"/>
    <xf numFmtId="166" fontId="40" fillId="0" borderId="0" xfId="0" applyNumberFormat="1" applyFont="1" applyFill="1" applyBorder="1"/>
    <xf numFmtId="43" fontId="40" fillId="0" borderId="0" xfId="0" applyNumberFormat="1" applyFont="1" applyFill="1" applyBorder="1" applyAlignment="1">
      <alignment horizontal="center" wrapText="1"/>
    </xf>
    <xf numFmtId="0" fontId="17" fillId="0" borderId="0" xfId="0" applyFont="1" applyFill="1" applyBorder="1" applyAlignment="1">
      <alignment wrapText="1"/>
    </xf>
    <xf numFmtId="41" fontId="40" fillId="0" borderId="0" xfId="69" applyNumberFormat="1" applyFont="1" applyFill="1" applyBorder="1" applyAlignment="1">
      <alignment horizontal="right"/>
    </xf>
    <xf numFmtId="0" fontId="17" fillId="42" borderId="29" xfId="0" applyFont="1" applyFill="1" applyBorder="1" applyAlignment="1">
      <alignment horizontal="center" wrapText="1"/>
    </xf>
    <xf numFmtId="44" fontId="17" fillId="42" borderId="29" xfId="69" applyNumberFormat="1" applyFont="1" applyFill="1" applyBorder="1"/>
    <xf numFmtId="42" fontId="40" fillId="0" borderId="29" xfId="0" applyNumberFormat="1" applyFont="1" applyFill="1" applyBorder="1" applyAlignment="1">
      <alignment horizontal="center" wrapText="1"/>
    </xf>
    <xf numFmtId="166" fontId="40" fillId="0" borderId="29" xfId="0" applyNumberFormat="1" applyFont="1" applyFill="1" applyBorder="1" applyAlignment="1">
      <alignment horizontal="right" wrapText="1"/>
    </xf>
    <xf numFmtId="43" fontId="40" fillId="0" borderId="29" xfId="0" applyNumberFormat="1" applyFont="1" applyFill="1" applyBorder="1" applyAlignment="1">
      <alignment horizontal="center" wrapText="1"/>
    </xf>
    <xf numFmtId="3" fontId="40" fillId="0" borderId="29" xfId="0" applyNumberFormat="1" applyFont="1" applyFill="1" applyBorder="1" applyAlignment="1">
      <alignment horizontal="center" wrapText="1"/>
    </xf>
    <xf numFmtId="0" fontId="40" fillId="0" borderId="29" xfId="0" applyNumberFormat="1" applyFont="1" applyFill="1" applyBorder="1" applyAlignment="1">
      <alignment horizontal="center" wrapText="1"/>
    </xf>
    <xf numFmtId="3" fontId="40" fillId="0" borderId="29" xfId="0" applyNumberFormat="1" applyFont="1" applyFill="1" applyBorder="1" applyAlignment="1">
      <alignment horizontal="right" wrapText="1"/>
    </xf>
    <xf numFmtId="44" fontId="40" fillId="0" borderId="29" xfId="0" applyNumberFormat="1" applyFont="1" applyFill="1" applyBorder="1" applyAlignment="1">
      <alignment horizontal="center" wrapText="1"/>
    </xf>
    <xf numFmtId="0" fontId="17" fillId="0" borderId="29" xfId="0" applyFont="1" applyFill="1" applyBorder="1" applyAlignment="1">
      <alignment horizontal="center" wrapText="1"/>
    </xf>
    <xf numFmtId="44" fontId="17" fillId="0" borderId="29" xfId="69" applyNumberFormat="1" applyFont="1" applyFill="1" applyBorder="1"/>
    <xf numFmtId="44" fontId="40" fillId="0" borderId="29" xfId="69" applyNumberFormat="1" applyFont="1" applyFill="1" applyBorder="1"/>
    <xf numFmtId="42" fontId="9" fillId="0" borderId="29" xfId="0" applyNumberFormat="1" applyFont="1" applyFill="1" applyBorder="1" applyAlignment="1">
      <alignment horizontal="center" vertical="center"/>
    </xf>
    <xf numFmtId="44" fontId="9" fillId="0" borderId="29" xfId="0" applyNumberFormat="1" applyFont="1" applyFill="1" applyBorder="1" applyAlignment="1">
      <alignment horizontal="center" vertical="center" wrapText="1"/>
    </xf>
    <xf numFmtId="3" fontId="9" fillId="0" borderId="29" xfId="69" applyNumberFormat="1" applyFont="1" applyFill="1" applyBorder="1" applyAlignment="1">
      <alignment horizontal="center" vertical="center"/>
    </xf>
    <xf numFmtId="42" fontId="9" fillId="42" borderId="29" xfId="0" applyNumberFormat="1" applyFont="1" applyFill="1" applyBorder="1" applyAlignment="1">
      <alignment horizontal="center" vertical="center"/>
    </xf>
    <xf numFmtId="3" fontId="40" fillId="42" borderId="29" xfId="0" applyNumberFormat="1" applyFont="1" applyFill="1" applyBorder="1" applyAlignment="1">
      <alignment horizontal="right" wrapText="1"/>
    </xf>
    <xf numFmtId="44" fontId="40" fillId="42" borderId="29" xfId="0" applyNumberFormat="1" applyFont="1" applyFill="1" applyBorder="1" applyAlignment="1">
      <alignment horizontal="center" wrapText="1"/>
    </xf>
    <xf numFmtId="0" fontId="17" fillId="0" borderId="29" xfId="0" applyNumberFormat="1" applyFont="1" applyFill="1" applyBorder="1" applyAlignment="1">
      <alignment horizontal="center" wrapText="1"/>
    </xf>
    <xf numFmtId="42" fontId="40" fillId="0" borderId="29" xfId="0" applyNumberFormat="1" applyFont="1" applyFill="1" applyBorder="1"/>
    <xf numFmtId="42" fontId="15" fillId="0" borderId="29" xfId="0" applyNumberFormat="1" applyFont="1" applyFill="1" applyBorder="1"/>
    <xf numFmtId="3" fontId="9" fillId="0" borderId="29" xfId="0" applyNumberFormat="1" applyFont="1" applyFill="1" applyBorder="1"/>
    <xf numFmtId="41" fontId="17" fillId="0" borderId="29" xfId="0" applyNumberFormat="1" applyFont="1" applyFill="1" applyBorder="1" applyAlignment="1">
      <alignment horizontal="center" wrapText="1"/>
    </xf>
    <xf numFmtId="166" fontId="40" fillId="0" borderId="29" xfId="0" applyNumberFormat="1" applyFont="1" applyFill="1" applyBorder="1" applyAlignment="1">
      <alignment horizontal="right" vertical="center" wrapText="1"/>
    </xf>
    <xf numFmtId="41" fontId="40" fillId="0" borderId="29" xfId="0" applyNumberFormat="1" applyFont="1" applyFill="1" applyBorder="1" applyAlignment="1">
      <alignment horizontal="center" wrapText="1"/>
    </xf>
    <xf numFmtId="44" fontId="40" fillId="0" borderId="29" xfId="0" applyNumberFormat="1" applyFont="1" applyFill="1" applyBorder="1"/>
    <xf numFmtId="42" fontId="17" fillId="42" borderId="50" xfId="0" applyNumberFormat="1" applyFont="1" applyFill="1" applyBorder="1" applyAlignment="1">
      <alignment horizontal="center" wrapText="1"/>
    </xf>
    <xf numFmtId="166" fontId="17" fillId="42" borderId="50" xfId="0" applyNumberFormat="1" applyFont="1" applyFill="1" applyBorder="1" applyAlignment="1">
      <alignment horizontal="right" wrapText="1"/>
    </xf>
    <xf numFmtId="43" fontId="17" fillId="42" borderId="50" xfId="0" applyNumberFormat="1" applyFont="1" applyFill="1" applyBorder="1" applyAlignment="1">
      <alignment horizontal="center" wrapText="1"/>
    </xf>
    <xf numFmtId="3" fontId="17" fillId="42" borderId="50" xfId="69" applyNumberFormat="1" applyFont="1" applyFill="1" applyBorder="1" applyAlignment="1">
      <alignment horizontal="center"/>
    </xf>
    <xf numFmtId="0" fontId="17" fillId="42" borderId="50" xfId="0" applyFont="1" applyFill="1" applyBorder="1" applyAlignment="1">
      <alignment horizontal="center" wrapText="1"/>
    </xf>
    <xf numFmtId="44" fontId="17" fillId="42" borderId="50" xfId="0" applyNumberFormat="1" applyFont="1" applyFill="1" applyBorder="1" applyAlignment="1">
      <alignment horizontal="center" wrapText="1"/>
    </xf>
    <xf numFmtId="44" fontId="17" fillId="42" borderId="50" xfId="69" applyNumberFormat="1" applyFont="1" applyFill="1" applyBorder="1"/>
    <xf numFmtId="44" fontId="17" fillId="42" borderId="52" xfId="69" applyNumberFormat="1" applyFont="1" applyFill="1" applyBorder="1"/>
    <xf numFmtId="44" fontId="17" fillId="42" borderId="53" xfId="69" applyNumberFormat="1" applyFont="1" applyFill="1" applyBorder="1"/>
    <xf numFmtId="0" fontId="40" fillId="0" borderId="34" xfId="0" applyFont="1" applyFill="1" applyBorder="1" applyAlignment="1">
      <alignment horizontal="right"/>
    </xf>
    <xf numFmtId="44" fontId="40" fillId="0" borderId="53" xfId="0" applyNumberFormat="1" applyFont="1" applyFill="1" applyBorder="1" applyAlignment="1">
      <alignment horizontal="center" wrapText="1"/>
    </xf>
    <xf numFmtId="44" fontId="40" fillId="0" borderId="53" xfId="69" applyNumberFormat="1" applyFont="1" applyFill="1" applyBorder="1"/>
    <xf numFmtId="0" fontId="15" fillId="0" borderId="34" xfId="0" applyFont="1" applyFill="1" applyBorder="1" applyAlignment="1">
      <alignment horizontal="right"/>
    </xf>
    <xf numFmtId="44" fontId="40" fillId="42" borderId="53" xfId="69" applyNumberFormat="1" applyFont="1" applyFill="1" applyBorder="1"/>
    <xf numFmtId="44" fontId="9" fillId="42" borderId="53" xfId="69" applyNumberFormat="1" applyFont="1" applyFill="1" applyBorder="1"/>
    <xf numFmtId="0" fontId="40" fillId="0" borderId="58" xfId="0" applyFont="1" applyFill="1" applyBorder="1" applyAlignment="1">
      <alignment horizontal="right"/>
    </xf>
    <xf numFmtId="42" fontId="40" fillId="0" borderId="59" xfId="0" applyNumberFormat="1" applyFont="1" applyFill="1" applyBorder="1"/>
    <xf numFmtId="166" fontId="40" fillId="0" borderId="59" xfId="0" applyNumberFormat="1" applyFont="1" applyFill="1" applyBorder="1"/>
    <xf numFmtId="43" fontId="40" fillId="0" borderId="59" xfId="0" applyNumberFormat="1" applyFont="1" applyFill="1" applyBorder="1" applyAlignment="1">
      <alignment horizontal="center" wrapText="1"/>
    </xf>
    <xf numFmtId="3" fontId="40" fillId="0" borderId="59" xfId="69" applyNumberFormat="1" applyFont="1" applyFill="1" applyBorder="1"/>
    <xf numFmtId="0" fontId="15" fillId="0" borderId="59" xfId="0" applyFont="1" applyFill="1" applyBorder="1" applyAlignment="1">
      <alignment horizontal="center" wrapText="1"/>
    </xf>
    <xf numFmtId="3" fontId="40" fillId="0" borderId="59" xfId="0" applyNumberFormat="1" applyFont="1" applyFill="1" applyBorder="1" applyAlignment="1">
      <alignment horizontal="right" wrapText="1"/>
    </xf>
    <xf numFmtId="44" fontId="40" fillId="0" borderId="59" xfId="69" applyNumberFormat="1" applyFont="1" applyFill="1" applyBorder="1"/>
    <xf numFmtId="44" fontId="40" fillId="0" borderId="76" xfId="69" applyNumberFormat="1" applyFont="1" applyFill="1" applyBorder="1"/>
    <xf numFmtId="44" fontId="17" fillId="0" borderId="50" xfId="69" applyNumberFormat="1" applyFont="1" applyFill="1" applyBorder="1"/>
    <xf numFmtId="42" fontId="40" fillId="0" borderId="59" xfId="0" applyNumberFormat="1" applyFont="1" applyFill="1" applyBorder="1" applyAlignment="1">
      <alignment horizontal="center" wrapText="1"/>
    </xf>
    <xf numFmtId="166" fontId="40" fillId="0" borderId="59" xfId="0" applyNumberFormat="1" applyFont="1" applyFill="1" applyBorder="1" applyAlignment="1">
      <alignment horizontal="right" wrapText="1"/>
    </xf>
    <xf numFmtId="3" fontId="40" fillId="0" borderId="59" xfId="0" applyNumberFormat="1" applyFont="1" applyFill="1" applyBorder="1" applyAlignment="1">
      <alignment horizontal="center" wrapText="1"/>
    </xf>
    <xf numFmtId="44" fontId="40" fillId="0" borderId="59" xfId="0" applyNumberFormat="1" applyFont="1" applyFill="1" applyBorder="1" applyAlignment="1">
      <alignment horizontal="center" wrapText="1"/>
    </xf>
    <xf numFmtId="41" fontId="40" fillId="0" borderId="59" xfId="69" applyNumberFormat="1" applyFont="1" applyFill="1" applyBorder="1" applyAlignment="1"/>
    <xf numFmtId="41" fontId="40" fillId="0" borderId="59" xfId="69" applyNumberFormat="1" applyFont="1" applyFill="1" applyBorder="1" applyAlignment="1">
      <alignment horizontal="right"/>
    </xf>
    <xf numFmtId="0" fontId="9" fillId="0" borderId="53" xfId="0" applyFont="1" applyFill="1" applyBorder="1"/>
    <xf numFmtId="0" fontId="15" fillId="0" borderId="58" xfId="0" applyFont="1" applyFill="1" applyBorder="1" applyAlignment="1">
      <alignment horizontal="right"/>
    </xf>
    <xf numFmtId="42" fontId="15" fillId="0" borderId="59" xfId="0" applyNumberFormat="1" applyFont="1" applyFill="1" applyBorder="1"/>
    <xf numFmtId="166" fontId="15" fillId="0" borderId="59" xfId="0" applyNumberFormat="1" applyFont="1" applyFill="1" applyBorder="1"/>
    <xf numFmtId="43" fontId="15" fillId="0" borderId="59" xfId="0" applyNumberFormat="1" applyFont="1" applyFill="1" applyBorder="1" applyAlignment="1">
      <alignment horizontal="center" wrapText="1"/>
    </xf>
    <xf numFmtId="3" fontId="9" fillId="0" borderId="59" xfId="0" applyNumberFormat="1" applyFont="1" applyFill="1" applyBorder="1"/>
    <xf numFmtId="0" fontId="9" fillId="0" borderId="59" xfId="0" applyFont="1" applyFill="1" applyBorder="1" applyAlignment="1">
      <alignment wrapText="1"/>
    </xf>
    <xf numFmtId="41" fontId="9" fillId="0" borderId="59" xfId="69" applyNumberFormat="1" applyFont="1" applyFill="1" applyBorder="1" applyAlignment="1">
      <alignment horizontal="right"/>
    </xf>
    <xf numFmtId="5" fontId="9" fillId="0" borderId="59" xfId="69" applyNumberFormat="1" applyFont="1" applyFill="1" applyBorder="1"/>
    <xf numFmtId="168" fontId="9" fillId="0" borderId="59" xfId="69" applyNumberFormat="1" applyFont="1" applyFill="1" applyBorder="1"/>
    <xf numFmtId="168" fontId="9" fillId="0" borderId="76" xfId="69" applyNumberFormat="1" applyFont="1" applyFill="1" applyBorder="1"/>
    <xf numFmtId="166" fontId="40" fillId="0" borderId="59" xfId="0" applyNumberFormat="1" applyFont="1" applyFill="1" applyBorder="1" applyAlignment="1">
      <alignment vertical="center"/>
    </xf>
    <xf numFmtId="3" fontId="40" fillId="0" borderId="59" xfId="69" applyNumberFormat="1" applyFont="1" applyFill="1" applyBorder="1" applyAlignment="1">
      <alignment horizontal="right"/>
    </xf>
    <xf numFmtId="0" fontId="40" fillId="0" borderId="59" xfId="0" applyFont="1" applyFill="1" applyBorder="1" applyAlignment="1">
      <alignment wrapText="1"/>
    </xf>
    <xf numFmtId="168" fontId="15" fillId="0" borderId="12" xfId="0" applyNumberFormat="1" applyFont="1" applyFill="1" applyBorder="1" applyAlignment="1">
      <alignment horizontal="center" wrapText="1"/>
    </xf>
    <xf numFmtId="44" fontId="9" fillId="0" borderId="29" xfId="69" applyNumberFormat="1" applyFont="1" applyFill="1" applyBorder="1" applyAlignment="1">
      <alignment horizontal="center" vertical="center"/>
    </xf>
    <xf numFmtId="0" fontId="106" fillId="0" borderId="0" xfId="122" applyFont="1"/>
    <xf numFmtId="0" fontId="107" fillId="0" borderId="49" xfId="122" applyFont="1" applyBorder="1" applyAlignment="1">
      <alignment horizontal="center"/>
    </xf>
    <xf numFmtId="0" fontId="107" fillId="0" borderId="27" xfId="122" applyFont="1" applyBorder="1" applyAlignment="1">
      <alignment horizontal="center"/>
    </xf>
    <xf numFmtId="0" fontId="107" fillId="0" borderId="28" xfId="122" applyFont="1" applyBorder="1" applyAlignment="1">
      <alignment horizontal="center"/>
    </xf>
    <xf numFmtId="0" fontId="13" fillId="0" borderId="11" xfId="122" applyFont="1" applyFill="1" applyBorder="1" applyAlignment="1">
      <alignment horizontal="center"/>
    </xf>
    <xf numFmtId="0" fontId="106" fillId="0" borderId="26" xfId="122" applyFont="1" applyBorder="1"/>
    <xf numFmtId="0" fontId="106" fillId="0" borderId="25" xfId="122" applyFont="1" applyBorder="1"/>
    <xf numFmtId="0" fontId="106" fillId="0" borderId="24" xfId="122" applyFont="1" applyBorder="1"/>
    <xf numFmtId="0" fontId="14" fillId="0" borderId="18" xfId="122" applyFont="1" applyFill="1" applyBorder="1" applyAlignment="1">
      <alignment horizontal="left"/>
    </xf>
    <xf numFmtId="9" fontId="106" fillId="0" borderId="23" xfId="122" applyNumberFormat="1" applyFont="1" applyBorder="1" applyAlignment="1">
      <alignment horizontal="center"/>
    </xf>
    <xf numFmtId="9" fontId="106" fillId="0" borderId="50" xfId="122" applyNumberFormat="1" applyFont="1" applyBorder="1" applyAlignment="1">
      <alignment horizontal="center"/>
    </xf>
    <xf numFmtId="9" fontId="106" fillId="0" borderId="52" xfId="122" applyNumberFormat="1" applyFont="1" applyBorder="1" applyAlignment="1">
      <alignment horizontal="center"/>
    </xf>
    <xf numFmtId="0" fontId="14" fillId="0" borderId="17" xfId="122" applyFont="1" applyFill="1" applyBorder="1" applyAlignment="1">
      <alignment horizontal="left"/>
    </xf>
    <xf numFmtId="9" fontId="106" fillId="0" borderId="34" xfId="122" applyNumberFormat="1" applyFont="1" applyBorder="1" applyAlignment="1">
      <alignment horizontal="center"/>
    </xf>
    <xf numFmtId="9" fontId="106" fillId="0" borderId="29" xfId="122" applyNumberFormat="1" applyFont="1" applyBorder="1" applyAlignment="1">
      <alignment horizontal="center"/>
    </xf>
    <xf numFmtId="9" fontId="106" fillId="0" borderId="53" xfId="122" applyNumberFormat="1" applyFont="1" applyBorder="1" applyAlignment="1">
      <alignment horizontal="center"/>
    </xf>
    <xf numFmtId="9" fontId="106" fillId="0" borderId="61" xfId="122" applyNumberFormat="1" applyFont="1" applyBorder="1" applyAlignment="1">
      <alignment horizontal="center"/>
    </xf>
    <xf numFmtId="9" fontId="106" fillId="0" borderId="0" xfId="122" applyNumberFormat="1" applyFont="1" applyBorder="1" applyAlignment="1">
      <alignment horizontal="center"/>
    </xf>
    <xf numFmtId="9" fontId="106" fillId="0" borderId="14" xfId="122" applyNumberFormat="1" applyFont="1" applyBorder="1" applyAlignment="1">
      <alignment horizontal="center"/>
    </xf>
    <xf numFmtId="0" fontId="14" fillId="0" borderId="18" xfId="122" applyFont="1" applyFill="1" applyBorder="1"/>
    <xf numFmtId="9" fontId="106" fillId="0" borderId="58" xfId="122" applyNumberFormat="1" applyFont="1" applyBorder="1" applyAlignment="1">
      <alignment horizontal="center"/>
    </xf>
    <xf numFmtId="9" fontId="106" fillId="0" borderId="59" xfId="122" applyNumberFormat="1" applyFont="1" applyBorder="1" applyAlignment="1">
      <alignment horizontal="center"/>
    </xf>
    <xf numFmtId="9" fontId="106" fillId="0" borderId="76" xfId="122" applyNumberFormat="1" applyFont="1" applyBorder="1" applyAlignment="1">
      <alignment horizontal="center"/>
    </xf>
    <xf numFmtId="0" fontId="14" fillId="0" borderId="26" xfId="122" applyFont="1" applyFill="1" applyBorder="1"/>
    <xf numFmtId="9" fontId="106" fillId="0" borderId="49" xfId="122" applyNumberFormat="1" applyFont="1" applyBorder="1" applyAlignment="1">
      <alignment horizontal="center"/>
    </xf>
    <xf numFmtId="9" fontId="106" fillId="0" borderId="27" xfId="122" applyNumberFormat="1" applyFont="1" applyBorder="1" applyAlignment="1">
      <alignment horizontal="center"/>
    </xf>
    <xf numFmtId="9" fontId="106" fillId="0" borderId="28" xfId="122" applyNumberFormat="1" applyFont="1" applyBorder="1" applyAlignment="1">
      <alignment horizontal="center"/>
    </xf>
    <xf numFmtId="0" fontId="13" fillId="0" borderId="12" xfId="122" applyFont="1" applyFill="1" applyBorder="1" applyAlignment="1">
      <alignment horizontal="center"/>
    </xf>
    <xf numFmtId="0" fontId="14" fillId="0" borderId="17" xfId="122" applyFont="1" applyFill="1" applyBorder="1"/>
    <xf numFmtId="0" fontId="14" fillId="0" borderId="74" xfId="122" applyFont="1" applyFill="1" applyBorder="1"/>
    <xf numFmtId="0" fontId="14" fillId="0" borderId="68" xfId="122" applyFont="1" applyFill="1" applyBorder="1" applyAlignment="1">
      <alignment horizontal="left"/>
    </xf>
    <xf numFmtId="0" fontId="9" fillId="0" borderId="67" xfId="0" applyFont="1" applyFill="1" applyBorder="1" applyAlignment="1">
      <alignment horizontal="left"/>
    </xf>
    <xf numFmtId="165" fontId="15" fillId="27" borderId="11" xfId="93" quotePrefix="1" applyNumberFormat="1" applyFont="1" applyFill="1" applyBorder="1" applyAlignment="1">
      <alignment horizontal="center"/>
    </xf>
    <xf numFmtId="9" fontId="18" fillId="0" borderId="0" xfId="149" applyFont="1" applyBorder="1" applyAlignment="1">
      <alignment horizontal="center"/>
    </xf>
    <xf numFmtId="165" fontId="9" fillId="0" borderId="50" xfId="95" applyNumberFormat="1" applyFont="1" applyFill="1" applyBorder="1" applyAlignment="1">
      <alignment horizontal="center"/>
    </xf>
    <xf numFmtId="165" fontId="9" fillId="0" borderId="29" xfId="95" applyNumberFormat="1" applyFont="1" applyFill="1" applyBorder="1" applyAlignment="1">
      <alignment horizontal="center"/>
    </xf>
    <xf numFmtId="164" fontId="17" fillId="0" borderId="29" xfId="69" applyNumberFormat="1" applyFont="1" applyFill="1" applyBorder="1"/>
    <xf numFmtId="164" fontId="17" fillId="0" borderId="29" xfId="69" applyNumberFormat="1" applyFont="1" applyFill="1" applyBorder="1" applyAlignment="1">
      <alignment horizontal="center"/>
    </xf>
    <xf numFmtId="164" fontId="40" fillId="0" borderId="29" xfId="69" applyNumberFormat="1" applyFont="1" applyFill="1" applyBorder="1" applyAlignment="1">
      <alignment horizontal="center" wrapText="1"/>
    </xf>
    <xf numFmtId="164" fontId="17" fillId="42" borderId="29" xfId="69" applyNumberFormat="1" applyFont="1" applyFill="1" applyBorder="1" applyAlignment="1">
      <alignment horizontal="center"/>
    </xf>
    <xf numFmtId="164" fontId="40" fillId="0" borderId="59" xfId="69" applyNumberFormat="1" applyFont="1" applyFill="1" applyBorder="1" applyAlignment="1">
      <alignment horizontal="center"/>
    </xf>
    <xf numFmtId="164" fontId="17" fillId="0" borderId="0" xfId="69" applyNumberFormat="1" applyFont="1" applyFill="1" applyBorder="1"/>
    <xf numFmtId="164" fontId="40" fillId="0" borderId="0" xfId="69" applyNumberFormat="1" applyFont="1" applyFill="1" applyBorder="1" applyAlignment="1">
      <alignment wrapText="1"/>
    </xf>
    <xf numFmtId="164" fontId="17" fillId="0" borderId="48" xfId="69" applyNumberFormat="1" applyFont="1" applyFill="1" applyBorder="1" applyAlignment="1">
      <alignment horizontal="center"/>
    </xf>
    <xf numFmtId="164" fontId="17" fillId="0" borderId="50" xfId="69" applyNumberFormat="1" applyFont="1" applyFill="1" applyBorder="1" applyAlignment="1">
      <alignment horizontal="center"/>
    </xf>
    <xf numFmtId="164" fontId="40" fillId="0" borderId="59" xfId="69" applyNumberFormat="1" applyFont="1" applyFill="1" applyBorder="1" applyAlignment="1">
      <alignment horizontal="center" wrapText="1"/>
    </xf>
    <xf numFmtId="164" fontId="40" fillId="0" borderId="29" xfId="69" applyNumberFormat="1" applyFont="1" applyFill="1" applyBorder="1" applyAlignment="1">
      <alignment horizontal="right" wrapText="1"/>
    </xf>
    <xf numFmtId="164" fontId="40" fillId="0" borderId="59" xfId="69" applyNumberFormat="1" applyFont="1" applyFill="1" applyBorder="1" applyAlignment="1">
      <alignment horizontal="right" wrapText="1"/>
    </xf>
    <xf numFmtId="164" fontId="40" fillId="0" borderId="0" xfId="69" applyNumberFormat="1" applyFont="1" applyFill="1" applyBorder="1" applyAlignment="1">
      <alignment horizontal="right"/>
    </xf>
    <xf numFmtId="164" fontId="40" fillId="0" borderId="59" xfId="69" applyNumberFormat="1" applyFont="1" applyFill="1" applyBorder="1" applyAlignment="1"/>
    <xf numFmtId="164" fontId="40" fillId="0" borderId="59" xfId="69" applyNumberFormat="1" applyFont="1" applyFill="1" applyBorder="1" applyAlignment="1">
      <alignment horizontal="right"/>
    </xf>
    <xf numFmtId="164" fontId="40" fillId="0" borderId="21" xfId="69" applyNumberFormat="1" applyFont="1" applyFill="1" applyBorder="1" applyAlignment="1">
      <alignment wrapText="1"/>
    </xf>
    <xf numFmtId="164" fontId="9" fillId="0" borderId="51" xfId="69" applyNumberFormat="1" applyFont="1" applyFill="1" applyBorder="1" applyAlignment="1">
      <alignment horizontal="center"/>
    </xf>
    <xf numFmtId="164" fontId="9" fillId="0" borderId="50" xfId="69" applyNumberFormat="1" applyFont="1" applyFill="1" applyBorder="1" applyAlignment="1">
      <alignment horizontal="center"/>
    </xf>
    <xf numFmtId="164" fontId="9" fillId="0" borderId="29" xfId="69" applyNumberFormat="1" applyFont="1" applyFill="1" applyBorder="1" applyAlignment="1">
      <alignment horizontal="center"/>
    </xf>
    <xf numFmtId="164" fontId="40" fillId="0" borderId="59" xfId="69" applyNumberFormat="1" applyFont="1" applyFill="1" applyBorder="1"/>
    <xf numFmtId="0" fontId="13" fillId="0" borderId="15" xfId="122" applyFont="1" applyFill="1" applyBorder="1" applyAlignment="1">
      <alignment horizontal="center"/>
    </xf>
    <xf numFmtId="0" fontId="14" fillId="0" borderId="23" xfId="0" applyFont="1" applyFill="1" applyBorder="1"/>
    <xf numFmtId="0" fontId="14" fillId="0" borderId="34" xfId="0" applyFont="1" applyFill="1" applyBorder="1"/>
    <xf numFmtId="0" fontId="14" fillId="0" borderId="58" xfId="122" applyFont="1" applyFill="1" applyBorder="1" applyAlignment="1">
      <alignment horizontal="left"/>
    </xf>
    <xf numFmtId="42" fontId="17" fillId="43" borderId="29" xfId="0" applyNumberFormat="1" applyFont="1" applyFill="1" applyBorder="1"/>
    <xf numFmtId="164" fontId="17" fillId="43" borderId="29" xfId="69" applyNumberFormat="1" applyFont="1" applyFill="1" applyBorder="1"/>
    <xf numFmtId="42" fontId="17" fillId="43" borderId="50" xfId="0" applyNumberFormat="1" applyFont="1" applyFill="1" applyBorder="1"/>
    <xf numFmtId="42" fontId="9" fillId="43" borderId="50" xfId="0" applyNumberFormat="1" applyFont="1" applyFill="1" applyBorder="1"/>
    <xf numFmtId="42" fontId="9" fillId="43" borderId="29" xfId="0" applyNumberFormat="1" applyFont="1" applyFill="1" applyBorder="1"/>
    <xf numFmtId="164" fontId="17" fillId="43" borderId="50" xfId="69" applyNumberFormat="1" applyFont="1" applyFill="1" applyBorder="1" applyAlignment="1">
      <alignment horizontal="center"/>
    </xf>
    <xf numFmtId="164" fontId="17" fillId="43" borderId="29" xfId="69" applyNumberFormat="1" applyFont="1" applyFill="1" applyBorder="1" applyAlignment="1">
      <alignment horizontal="center"/>
    </xf>
    <xf numFmtId="165" fontId="6" fillId="0" borderId="0" xfId="0" applyNumberFormat="1" applyFont="1"/>
    <xf numFmtId="44" fontId="6" fillId="0" borderId="0" xfId="93" applyFont="1"/>
    <xf numFmtId="198" fontId="6" fillId="0" borderId="0" xfId="0" applyNumberFormat="1" applyFont="1"/>
    <xf numFmtId="3" fontId="17" fillId="0" borderId="50" xfId="0" applyNumberFormat="1" applyFont="1" applyFill="1" applyBorder="1" applyAlignment="1">
      <alignment horizontal="right" wrapText="1"/>
    </xf>
    <xf numFmtId="3" fontId="17" fillId="0" borderId="29" xfId="0" applyNumberFormat="1" applyFont="1" applyFill="1" applyBorder="1" applyAlignment="1">
      <alignment horizontal="right" wrapText="1"/>
    </xf>
    <xf numFmtId="43" fontId="42" fillId="0" borderId="0" xfId="0" applyNumberFormat="1" applyFont="1" applyFill="1" applyAlignment="1"/>
    <xf numFmtId="0" fontId="7" fillId="0" borderId="0" xfId="0" applyFont="1" applyAlignment="1">
      <alignment horizontal="centerContinuous"/>
    </xf>
    <xf numFmtId="165" fontId="6" fillId="0" borderId="0" xfId="93" applyNumberFormat="1" applyFont="1"/>
    <xf numFmtId="0" fontId="15" fillId="0" borderId="19" xfId="0" applyFont="1" applyFill="1" applyBorder="1" applyAlignment="1">
      <alignment horizontal="centerContinuous"/>
    </xf>
    <xf numFmtId="0" fontId="15" fillId="0" borderId="21" xfId="0" applyFont="1" applyFill="1" applyBorder="1" applyAlignment="1">
      <alignment horizontal="centerContinuous"/>
    </xf>
    <xf numFmtId="0" fontId="15" fillId="0" borderId="20" xfId="0" applyFont="1" applyFill="1" applyBorder="1" applyAlignment="1">
      <alignment horizontal="centerContinuous"/>
    </xf>
    <xf numFmtId="0" fontId="15" fillId="0" borderId="26" xfId="0" applyFont="1" applyBorder="1" applyAlignment="1"/>
    <xf numFmtId="0" fontId="15" fillId="0" borderId="25" xfId="0" applyFont="1" applyBorder="1" applyAlignment="1"/>
    <xf numFmtId="0" fontId="15" fillId="0" borderId="24" xfId="0" applyFont="1" applyBorder="1" applyAlignment="1"/>
    <xf numFmtId="44" fontId="6" fillId="0" borderId="0" xfId="0" applyNumberFormat="1" applyFont="1" applyFill="1" applyAlignment="1">
      <alignment horizontal="center"/>
    </xf>
    <xf numFmtId="0" fontId="13" fillId="37" borderId="35" xfId="0" applyFont="1" applyFill="1" applyBorder="1" applyAlignment="1">
      <alignment horizontal="left"/>
    </xf>
    <xf numFmtId="42" fontId="15" fillId="37" borderId="32" xfId="0" applyNumberFormat="1" applyFont="1" applyFill="1" applyBorder="1" applyAlignment="1">
      <alignment horizontal="center"/>
    </xf>
    <xf numFmtId="3" fontId="1" fillId="0" borderId="0" xfId="0" applyNumberFormat="1" applyFont="1" applyAlignment="1">
      <alignment horizontal="center" vertical="center" wrapText="1"/>
    </xf>
    <xf numFmtId="164" fontId="6" fillId="0" borderId="0" xfId="69" applyNumberFormat="1" applyFont="1"/>
    <xf numFmtId="165" fontId="0" fillId="0" borderId="0" xfId="93" applyNumberFormat="1" applyFont="1"/>
    <xf numFmtId="0" fontId="1" fillId="0" borderId="0" xfId="0" applyFont="1"/>
    <xf numFmtId="0" fontId="1" fillId="0" borderId="41" xfId="0" applyFont="1" applyBorder="1" applyAlignment="1">
      <alignment horizontal="center"/>
    </xf>
    <xf numFmtId="0" fontId="1" fillId="0" borderId="41" xfId="0" applyFont="1" applyBorder="1"/>
    <xf numFmtId="14" fontId="0" fillId="0" borderId="0" xfId="0" applyNumberFormat="1" applyAlignment="1">
      <alignment horizontal="center"/>
    </xf>
    <xf numFmtId="0" fontId="0" fillId="0" borderId="0" xfId="0" applyAlignment="1">
      <alignment horizontal="left" indent="3"/>
    </xf>
    <xf numFmtId="0" fontId="0" fillId="0" borderId="0" xfId="0" applyAlignment="1">
      <alignment horizontal="left"/>
    </xf>
    <xf numFmtId="0" fontId="0" fillId="0" borderId="0" xfId="0" applyAlignment="1">
      <alignment horizontal="left" wrapText="1"/>
    </xf>
    <xf numFmtId="0" fontId="0" fillId="0" borderId="0" xfId="0" applyAlignment="1">
      <alignment wrapText="1"/>
    </xf>
    <xf numFmtId="0" fontId="0" fillId="0" borderId="0" xfId="0" applyAlignment="1">
      <alignment horizontal="center" vertical="top"/>
    </xf>
    <xf numFmtId="14" fontId="0" fillId="0" borderId="0" xfId="0" applyNumberFormat="1" applyAlignment="1">
      <alignment horizontal="center" vertical="top"/>
    </xf>
    <xf numFmtId="0" fontId="15" fillId="0" borderId="0" xfId="0" applyFont="1" applyFill="1" applyBorder="1" applyAlignment="1">
      <alignment horizontal="center" wrapText="1"/>
    </xf>
    <xf numFmtId="44" fontId="6" fillId="0" borderId="0" xfId="93" applyNumberFormat="1" applyFont="1"/>
    <xf numFmtId="165" fontId="6" fillId="0" borderId="0" xfId="0" applyNumberFormat="1" applyFont="1" applyBorder="1"/>
    <xf numFmtId="42" fontId="6" fillId="0" borderId="0" xfId="0" applyNumberFormat="1" applyFont="1"/>
    <xf numFmtId="0" fontId="1" fillId="0" borderId="0" xfId="0" applyFont="1" applyFill="1" applyAlignment="1">
      <alignment horizontal="center"/>
    </xf>
    <xf numFmtId="3" fontId="15" fillId="0" borderId="11" xfId="0" applyNumberFormat="1" applyFont="1" applyFill="1" applyBorder="1" applyAlignment="1">
      <alignment horizontal="center" wrapText="1"/>
    </xf>
    <xf numFmtId="0" fontId="15" fillId="0" borderId="35" xfId="0" applyFont="1" applyFill="1" applyBorder="1" applyAlignment="1">
      <alignment wrapText="1"/>
    </xf>
    <xf numFmtId="0" fontId="15" fillId="0" borderId="32" xfId="0" applyFont="1" applyFill="1" applyBorder="1" applyAlignment="1">
      <alignment wrapText="1"/>
    </xf>
    <xf numFmtId="0" fontId="15" fillId="0" borderId="0" xfId="0" applyFont="1" applyFill="1" applyBorder="1" applyAlignment="1">
      <alignment wrapText="1"/>
    </xf>
    <xf numFmtId="0" fontId="15" fillId="42" borderId="0" xfId="0" applyFont="1" applyFill="1" applyBorder="1" applyAlignment="1">
      <alignment horizontal="center" wrapText="1"/>
    </xf>
    <xf numFmtId="42" fontId="9" fillId="0" borderId="44" xfId="0" applyNumberFormat="1" applyFont="1" applyFill="1" applyBorder="1" applyAlignment="1">
      <alignment horizontal="center" wrapText="1"/>
    </xf>
    <xf numFmtId="42" fontId="9" fillId="0" borderId="48" xfId="0" applyNumberFormat="1" applyFont="1" applyFill="1" applyBorder="1"/>
    <xf numFmtId="43" fontId="9" fillId="0" borderId="48" xfId="0" applyNumberFormat="1" applyFont="1" applyFill="1" applyBorder="1" applyAlignment="1">
      <alignment horizontal="center" wrapText="1"/>
    </xf>
    <xf numFmtId="0" fontId="9" fillId="0" borderId="44" xfId="0" applyFont="1" applyFill="1" applyBorder="1" applyAlignment="1">
      <alignment horizontal="center" wrapText="1"/>
    </xf>
    <xf numFmtId="42" fontId="9" fillId="42" borderId="50" xfId="0" applyNumberFormat="1" applyFont="1" applyFill="1" applyBorder="1" applyAlignment="1">
      <alignment horizontal="center" wrapText="1"/>
    </xf>
    <xf numFmtId="42" fontId="9" fillId="42" borderId="50" xfId="0" applyNumberFormat="1" applyFont="1" applyFill="1" applyBorder="1"/>
    <xf numFmtId="43" fontId="9" fillId="0" borderId="50" xfId="0" applyNumberFormat="1" applyFont="1" applyFill="1" applyBorder="1" applyAlignment="1">
      <alignment horizontal="center" wrapText="1"/>
    </xf>
    <xf numFmtId="164" fontId="9" fillId="43" borderId="29" xfId="69" applyNumberFormat="1" applyFont="1" applyFill="1" applyBorder="1"/>
    <xf numFmtId="0" fontId="9" fillId="0" borderId="50" xfId="0" applyFont="1" applyFill="1" applyBorder="1" applyAlignment="1">
      <alignment horizontal="center" wrapText="1"/>
    </xf>
    <xf numFmtId="44" fontId="9" fillId="0" borderId="50" xfId="69" applyNumberFormat="1" applyFont="1" applyFill="1" applyBorder="1"/>
    <xf numFmtId="3" fontId="9" fillId="42" borderId="50" xfId="69" applyNumberFormat="1" applyFont="1" applyFill="1" applyBorder="1" applyAlignment="1">
      <alignment horizontal="center"/>
    </xf>
    <xf numFmtId="44" fontId="9" fillId="42" borderId="50" xfId="0" applyNumberFormat="1" applyFont="1" applyFill="1" applyBorder="1" applyAlignment="1">
      <alignment horizontal="center" wrapText="1"/>
    </xf>
    <xf numFmtId="44" fontId="9" fillId="42" borderId="52" xfId="69" applyNumberFormat="1" applyFont="1" applyFill="1" applyBorder="1"/>
    <xf numFmtId="42" fontId="9" fillId="42" borderId="29" xfId="0" applyNumberFormat="1" applyFont="1" applyFill="1" applyBorder="1" applyAlignment="1">
      <alignment horizontal="center" wrapText="1"/>
    </xf>
    <xf numFmtId="0" fontId="9" fillId="0" borderId="29" xfId="0" applyFont="1" applyFill="1" applyBorder="1" applyAlignment="1">
      <alignment horizontal="center" wrapText="1"/>
    </xf>
    <xf numFmtId="44" fontId="9" fillId="0" borderId="29" xfId="69" applyNumberFormat="1" applyFont="1" applyFill="1" applyBorder="1"/>
    <xf numFmtId="166" fontId="15" fillId="0" borderId="29" xfId="0" applyNumberFormat="1" applyFont="1" applyFill="1" applyBorder="1" applyAlignment="1">
      <alignment horizontal="right" wrapText="1"/>
    </xf>
    <xf numFmtId="43" fontId="15" fillId="0" borderId="29" xfId="0" applyNumberFormat="1" applyFont="1" applyFill="1" applyBorder="1" applyAlignment="1">
      <alignment horizontal="center" wrapText="1"/>
    </xf>
    <xf numFmtId="164" fontId="15" fillId="0" borderId="29" xfId="69" applyNumberFormat="1" applyFont="1" applyFill="1" applyBorder="1" applyAlignment="1">
      <alignment horizontal="center" wrapText="1"/>
    </xf>
    <xf numFmtId="0" fontId="15" fillId="0" borderId="29" xfId="0" applyNumberFormat="1" applyFont="1" applyFill="1" applyBorder="1" applyAlignment="1">
      <alignment horizontal="center" wrapText="1"/>
    </xf>
    <xf numFmtId="164" fontId="15" fillId="0" borderId="29" xfId="69" applyNumberFormat="1" applyFont="1" applyFill="1" applyBorder="1" applyAlignment="1">
      <alignment horizontal="right" wrapText="1"/>
    </xf>
    <xf numFmtId="44" fontId="15" fillId="0" borderId="29" xfId="0" applyNumberFormat="1" applyFont="1" applyFill="1" applyBorder="1" applyAlignment="1">
      <alignment horizontal="center" wrapText="1"/>
    </xf>
    <xf numFmtId="3" fontId="15" fillId="0" borderId="29" xfId="0" applyNumberFormat="1" applyFont="1" applyFill="1" applyBorder="1" applyAlignment="1">
      <alignment horizontal="right" wrapText="1"/>
    </xf>
    <xf numFmtId="3" fontId="15" fillId="0" borderId="29" xfId="0" applyNumberFormat="1" applyFont="1" applyFill="1" applyBorder="1" applyAlignment="1">
      <alignment horizontal="center" wrapText="1"/>
    </xf>
    <xf numFmtId="44" fontId="15" fillId="0" borderId="53" xfId="0" applyNumberFormat="1" applyFont="1" applyFill="1" applyBorder="1" applyAlignment="1">
      <alignment horizontal="center" wrapText="1"/>
    </xf>
    <xf numFmtId="184" fontId="3" fillId="42" borderId="0" xfId="0" applyNumberFormat="1" applyFont="1" applyFill="1" applyAlignment="1">
      <alignment horizontal="center"/>
    </xf>
    <xf numFmtId="44" fontId="15" fillId="0" borderId="29" xfId="69" applyNumberFormat="1" applyFont="1" applyFill="1" applyBorder="1"/>
    <xf numFmtId="44" fontId="15" fillId="0" borderId="53" xfId="69" applyNumberFormat="1" applyFont="1" applyFill="1" applyBorder="1"/>
    <xf numFmtId="165" fontId="9" fillId="43" borderId="29" xfId="93" applyNumberFormat="1" applyFont="1" applyFill="1" applyBorder="1"/>
    <xf numFmtId="3" fontId="15" fillId="42" borderId="29" xfId="0" applyNumberFormat="1" applyFont="1" applyFill="1" applyBorder="1" applyAlignment="1">
      <alignment horizontal="right" wrapText="1"/>
    </xf>
    <xf numFmtId="44" fontId="15" fillId="42" borderId="29" xfId="0" applyNumberFormat="1" applyFont="1" applyFill="1" applyBorder="1" applyAlignment="1">
      <alignment horizontal="center" wrapText="1"/>
    </xf>
    <xf numFmtId="44" fontId="15" fillId="42" borderId="53" xfId="69" applyNumberFormat="1" applyFont="1" applyFill="1" applyBorder="1"/>
    <xf numFmtId="166" fontId="9" fillId="42" borderId="29" xfId="0" applyNumberFormat="1" applyFont="1" applyFill="1" applyBorder="1" applyAlignment="1">
      <alignment horizontal="right" wrapText="1"/>
    </xf>
    <xf numFmtId="164" fontId="9" fillId="42" borderId="29" xfId="69" applyNumberFormat="1" applyFont="1" applyFill="1" applyBorder="1" applyAlignment="1">
      <alignment horizontal="center"/>
    </xf>
    <xf numFmtId="0" fontId="9" fillId="42" borderId="29" xfId="0" applyFont="1" applyFill="1" applyBorder="1" applyAlignment="1">
      <alignment horizontal="center" wrapText="1"/>
    </xf>
    <xf numFmtId="44" fontId="9" fillId="42" borderId="29" xfId="69" applyNumberFormat="1" applyFont="1" applyFill="1" applyBorder="1"/>
    <xf numFmtId="0" fontId="9" fillId="0" borderId="29" xfId="0" applyNumberFormat="1" applyFont="1" applyFill="1" applyBorder="1" applyAlignment="1">
      <alignment horizontal="center" wrapText="1"/>
    </xf>
    <xf numFmtId="164" fontId="15" fillId="0" borderId="59" xfId="69" applyNumberFormat="1" applyFont="1" applyFill="1" applyBorder="1"/>
    <xf numFmtId="164" fontId="15" fillId="0" borderId="59" xfId="69" applyNumberFormat="1" applyFont="1" applyFill="1" applyBorder="1" applyAlignment="1">
      <alignment horizontal="right" wrapText="1"/>
    </xf>
    <xf numFmtId="44" fontId="15" fillId="0" borderId="59" xfId="69" applyNumberFormat="1" applyFont="1" applyFill="1" applyBorder="1"/>
    <xf numFmtId="3" fontId="15" fillId="0" borderId="59" xfId="0" applyNumberFormat="1" applyFont="1" applyFill="1" applyBorder="1" applyAlignment="1">
      <alignment horizontal="right" wrapText="1"/>
    </xf>
    <xf numFmtId="44" fontId="15" fillId="0" borderId="76" xfId="69" applyNumberFormat="1" applyFont="1" applyFill="1" applyBorder="1"/>
    <xf numFmtId="0" fontId="15" fillId="0" borderId="61" xfId="0" applyFont="1" applyFill="1" applyBorder="1" applyAlignment="1">
      <alignment horizontal="right"/>
    </xf>
    <xf numFmtId="42" fontId="15" fillId="0" borderId="0" xfId="0" applyNumberFormat="1" applyFont="1" applyFill="1" applyBorder="1"/>
    <xf numFmtId="166" fontId="15" fillId="0" borderId="0" xfId="0" applyNumberFormat="1" applyFont="1" applyFill="1" applyBorder="1"/>
    <xf numFmtId="43" fontId="15" fillId="0" borderId="0" xfId="0" applyNumberFormat="1" applyFont="1" applyFill="1" applyBorder="1" applyAlignment="1">
      <alignment horizontal="center" wrapText="1"/>
    </xf>
    <xf numFmtId="164" fontId="9" fillId="0" borderId="0" xfId="69" applyNumberFormat="1" applyFont="1" applyFill="1" applyBorder="1"/>
    <xf numFmtId="0" fontId="9" fillId="0" borderId="0" xfId="0" applyFont="1" applyFill="1" applyBorder="1" applyAlignment="1">
      <alignment wrapText="1"/>
    </xf>
    <xf numFmtId="164" fontId="15" fillId="0" borderId="0" xfId="69" applyNumberFormat="1" applyFont="1" applyFill="1" applyBorder="1" applyAlignment="1">
      <alignment horizontal="right"/>
    </xf>
    <xf numFmtId="44" fontId="15" fillId="0" borderId="0" xfId="69" applyNumberFormat="1" applyFont="1" applyFill="1" applyBorder="1"/>
    <xf numFmtId="0" fontId="15" fillId="0" borderId="61" xfId="0" applyFont="1" applyFill="1" applyBorder="1" applyAlignment="1">
      <alignment wrapText="1"/>
    </xf>
    <xf numFmtId="164" fontId="15" fillId="0" borderId="0" xfId="69" applyNumberFormat="1" applyFont="1" applyFill="1" applyBorder="1" applyAlignment="1">
      <alignment wrapText="1"/>
    </xf>
    <xf numFmtId="0" fontId="9" fillId="0" borderId="54" xfId="0" applyFont="1" applyFill="1" applyBorder="1"/>
    <xf numFmtId="42" fontId="9" fillId="0" borderId="44" xfId="0" applyNumberFormat="1" applyFont="1" applyFill="1" applyBorder="1"/>
    <xf numFmtId="164" fontId="9" fillId="0" borderId="48" xfId="69" applyNumberFormat="1" applyFont="1" applyFill="1" applyBorder="1" applyAlignment="1">
      <alignment horizontal="center"/>
    </xf>
    <xf numFmtId="164" fontId="9" fillId="43" borderId="50" xfId="69" applyNumberFormat="1" applyFont="1" applyFill="1" applyBorder="1" applyAlignment="1">
      <alignment horizontal="center"/>
    </xf>
    <xf numFmtId="3" fontId="9" fillId="0" borderId="50" xfId="69" applyNumberFormat="1" applyFont="1" applyFill="1" applyBorder="1" applyAlignment="1">
      <alignment horizontal="center"/>
    </xf>
    <xf numFmtId="164" fontId="9" fillId="43" borderId="29" xfId="69" applyNumberFormat="1" applyFont="1" applyFill="1" applyBorder="1" applyAlignment="1">
      <alignment horizontal="center"/>
    </xf>
    <xf numFmtId="166" fontId="15" fillId="0" borderId="59" xfId="0" applyNumberFormat="1" applyFont="1" applyFill="1" applyBorder="1" applyAlignment="1">
      <alignment horizontal="right" wrapText="1"/>
    </xf>
    <xf numFmtId="164" fontId="15" fillId="0" borderId="59" xfId="69" applyNumberFormat="1" applyFont="1" applyFill="1" applyBorder="1" applyAlignment="1">
      <alignment horizontal="center" wrapText="1"/>
    </xf>
    <xf numFmtId="44" fontId="15" fillId="0" borderId="59" xfId="0" applyNumberFormat="1" applyFont="1" applyFill="1" applyBorder="1" applyAlignment="1">
      <alignment horizontal="center" wrapText="1"/>
    </xf>
    <xf numFmtId="3" fontId="15" fillId="0" borderId="59" xfId="0" applyNumberFormat="1" applyFont="1" applyFill="1" applyBorder="1" applyAlignment="1">
      <alignment horizontal="center" wrapText="1"/>
    </xf>
    <xf numFmtId="164" fontId="15" fillId="0" borderId="59" xfId="69" applyNumberFormat="1" applyFont="1" applyFill="1" applyBorder="1" applyAlignment="1"/>
    <xf numFmtId="164" fontId="15" fillId="0" borderId="59" xfId="69" applyNumberFormat="1" applyFont="1" applyFill="1" applyBorder="1" applyAlignment="1">
      <alignment horizontal="right"/>
    </xf>
    <xf numFmtId="41" fontId="15" fillId="0" borderId="59" xfId="69" applyNumberFormat="1" applyFont="1" applyFill="1" applyBorder="1" applyAlignment="1"/>
    <xf numFmtId="41" fontId="15" fillId="0" borderId="59" xfId="69" applyNumberFormat="1" applyFont="1" applyFill="1" applyBorder="1" applyAlignment="1">
      <alignment horizontal="right"/>
    </xf>
    <xf numFmtId="0" fontId="15" fillId="0" borderId="19" xfId="0" applyFont="1" applyFill="1" applyBorder="1" applyAlignment="1">
      <alignment wrapText="1"/>
    </xf>
    <xf numFmtId="0" fontId="15" fillId="0" borderId="21" xfId="0" applyFont="1" applyFill="1" applyBorder="1" applyAlignment="1">
      <alignment wrapText="1"/>
    </xf>
    <xf numFmtId="0" fontId="9" fillId="0" borderId="21" xfId="0" applyFont="1" applyFill="1" applyBorder="1"/>
    <xf numFmtId="0" fontId="9" fillId="0" borderId="20" xfId="0" applyFont="1" applyFill="1" applyBorder="1"/>
    <xf numFmtId="0" fontId="15" fillId="0" borderId="12" xfId="0" applyFont="1" applyFill="1" applyBorder="1"/>
    <xf numFmtId="42" fontId="9" fillId="0" borderId="26" xfId="0" applyNumberFormat="1" applyFont="1" applyFill="1" applyBorder="1"/>
    <xf numFmtId="42" fontId="9" fillId="0" borderId="87" xfId="0" applyNumberFormat="1" applyFont="1" applyFill="1" applyBorder="1"/>
    <xf numFmtId="43" fontId="9" fillId="0" borderId="51" xfId="0" applyNumberFormat="1" applyFont="1" applyFill="1" applyBorder="1"/>
    <xf numFmtId="3" fontId="9" fillId="0" borderId="51" xfId="0" applyNumberFormat="1" applyFont="1" applyFill="1" applyBorder="1" applyAlignment="1">
      <alignment horizontal="center" wrapText="1"/>
    </xf>
    <xf numFmtId="41" fontId="9" fillId="0" borderId="51" xfId="0" applyNumberFormat="1" applyFont="1" applyFill="1" applyBorder="1" applyAlignment="1">
      <alignment horizontal="center" wrapText="1"/>
    </xf>
    <xf numFmtId="3" fontId="9" fillId="0" borderId="50" xfId="0" applyNumberFormat="1" applyFont="1" applyFill="1" applyBorder="1" applyAlignment="1">
      <alignment horizontal="right" wrapText="1"/>
    </xf>
    <xf numFmtId="3" fontId="9" fillId="0" borderId="29" xfId="0" applyNumberFormat="1" applyFont="1" applyFill="1" applyBorder="1" applyAlignment="1">
      <alignment horizontal="right" wrapText="1"/>
    </xf>
    <xf numFmtId="41" fontId="9" fillId="0" borderId="29" xfId="0" applyNumberFormat="1" applyFont="1" applyFill="1" applyBorder="1" applyAlignment="1">
      <alignment horizontal="center" wrapText="1"/>
    </xf>
    <xf numFmtId="166" fontId="15" fillId="0" borderId="29" xfId="0" applyNumberFormat="1" applyFont="1" applyFill="1" applyBorder="1" applyAlignment="1">
      <alignment horizontal="right" vertical="center" wrapText="1"/>
    </xf>
    <xf numFmtId="41" fontId="15" fillId="0" borderId="29" xfId="0" applyNumberFormat="1" applyFont="1" applyFill="1" applyBorder="1" applyAlignment="1">
      <alignment horizontal="center" wrapText="1"/>
    </xf>
    <xf numFmtId="44" fontId="15" fillId="0" borderId="29" xfId="0" applyNumberFormat="1" applyFont="1" applyFill="1" applyBorder="1"/>
    <xf numFmtId="166" fontId="15" fillId="0" borderId="59" xfId="0" applyNumberFormat="1" applyFont="1" applyFill="1" applyBorder="1" applyAlignment="1">
      <alignment vertical="center"/>
    </xf>
    <xf numFmtId="3" fontId="15" fillId="0" borderId="59" xfId="69" applyNumberFormat="1" applyFont="1" applyFill="1" applyBorder="1" applyAlignment="1">
      <alignment horizontal="right"/>
    </xf>
    <xf numFmtId="0" fontId="15" fillId="0" borderId="59" xfId="0" applyFont="1" applyFill="1" applyBorder="1" applyAlignment="1">
      <alignment wrapText="1"/>
    </xf>
    <xf numFmtId="10" fontId="3" fillId="0" borderId="0" xfId="0" applyNumberFormat="1" applyFont="1" applyFill="1"/>
    <xf numFmtId="9" fontId="3" fillId="0" borderId="0" xfId="149" applyFont="1" applyFill="1"/>
    <xf numFmtId="0" fontId="3" fillId="25" borderId="0" xfId="0" applyFont="1" applyFill="1" applyBorder="1"/>
    <xf numFmtId="44" fontId="14" fillId="0" borderId="0" xfId="93" applyFont="1"/>
    <xf numFmtId="42" fontId="14" fillId="0" borderId="0" xfId="0" applyNumberFormat="1" applyFont="1"/>
    <xf numFmtId="188" fontId="17" fillId="0" borderId="29" xfId="0" applyNumberFormat="1" applyFont="1" applyFill="1" applyBorder="1" applyAlignment="1">
      <alignment horizontal="center" wrapText="1"/>
    </xf>
    <xf numFmtId="0" fontId="1" fillId="0" borderId="0" xfId="0" applyFont="1" applyAlignment="1">
      <alignment horizontal="center"/>
    </xf>
    <xf numFmtId="0" fontId="7" fillId="0" borderId="35" xfId="0" applyFont="1" applyBorder="1" applyAlignment="1">
      <alignment horizontal="centerContinuous"/>
    </xf>
    <xf numFmtId="0" fontId="7" fillId="0" borderId="32" xfId="0" applyFont="1" applyBorder="1" applyAlignment="1">
      <alignment horizontal="centerContinuous"/>
    </xf>
    <xf numFmtId="0" fontId="7" fillId="0" borderId="36" xfId="0" applyFont="1" applyBorder="1" applyAlignment="1">
      <alignment horizontal="centerContinuous"/>
    </xf>
    <xf numFmtId="167" fontId="1" fillId="0" borderId="35" xfId="93" applyNumberFormat="1" applyFont="1" applyFill="1" applyBorder="1" applyAlignment="1">
      <alignment horizontal="left"/>
    </xf>
    <xf numFmtId="42" fontId="3" fillId="0" borderId="35" xfId="95" applyNumberFormat="1" applyFont="1" applyFill="1" applyBorder="1" applyAlignment="1"/>
    <xf numFmtId="0" fontId="1" fillId="27" borderId="19" xfId="0" applyFont="1" applyFill="1" applyBorder="1" applyAlignment="1"/>
    <xf numFmtId="165" fontId="1" fillId="27" borderId="15" xfId="93" applyNumberFormat="1" applyFont="1" applyFill="1" applyBorder="1" applyAlignment="1"/>
    <xf numFmtId="0" fontId="1" fillId="0" borderId="0" xfId="0" applyFont="1" applyFill="1" applyBorder="1" applyAlignment="1"/>
    <xf numFmtId="0" fontId="1" fillId="0" borderId="26" xfId="0" applyFont="1" applyFill="1" applyBorder="1" applyAlignment="1"/>
    <xf numFmtId="0" fontId="1" fillId="0" borderId="0" xfId="0" applyFont="1" applyFill="1" applyBorder="1" applyAlignment="1">
      <alignment horizontal="left"/>
    </xf>
    <xf numFmtId="0" fontId="1" fillId="27" borderId="11" xfId="0" applyFont="1" applyFill="1" applyBorder="1" applyAlignment="1">
      <alignment horizontal="left"/>
    </xf>
    <xf numFmtId="165" fontId="1" fillId="27" borderId="11" xfId="93" applyNumberFormat="1" applyFont="1" applyFill="1" applyBorder="1" applyAlignment="1"/>
    <xf numFmtId="165" fontId="1" fillId="0" borderId="0" xfId="93" applyNumberFormat="1" applyFont="1" applyFill="1" applyBorder="1" applyAlignment="1">
      <alignment horizontal="center"/>
    </xf>
    <xf numFmtId="164" fontId="1" fillId="0" borderId="0" xfId="0" applyNumberFormat="1" applyFont="1" applyAlignment="1">
      <alignment horizontal="center"/>
    </xf>
    <xf numFmtId="0" fontId="74" fillId="0" borderId="0" xfId="0" applyFont="1" applyAlignment="1">
      <alignment horizontal="centerContinuous"/>
    </xf>
    <xf numFmtId="164" fontId="3" fillId="0" borderId="22" xfId="82" applyNumberFormat="1" applyFont="1" applyFill="1" applyBorder="1" applyAlignment="1"/>
    <xf numFmtId="164" fontId="3" fillId="0" borderId="42" xfId="82" applyNumberFormat="1" applyFont="1" applyFill="1" applyBorder="1" applyAlignment="1"/>
    <xf numFmtId="164" fontId="3" fillId="0" borderId="22" xfId="82" applyNumberFormat="1" applyFont="1" applyFill="1" applyBorder="1" applyAlignment="1">
      <alignment horizontal="right"/>
    </xf>
    <xf numFmtId="164" fontId="3" fillId="0" borderId="34" xfId="82" applyNumberFormat="1" applyFont="1" applyFill="1" applyBorder="1" applyAlignment="1"/>
    <xf numFmtId="164" fontId="3" fillId="0" borderId="19" xfId="82" applyNumberFormat="1" applyFont="1" applyFill="1" applyBorder="1" applyAlignment="1"/>
    <xf numFmtId="164" fontId="3" fillId="0" borderId="58" xfId="82" applyNumberFormat="1" applyFont="1" applyFill="1" applyBorder="1" applyAlignment="1"/>
    <xf numFmtId="164" fontId="1" fillId="27" borderId="15" xfId="82" applyNumberFormat="1" applyFont="1" applyFill="1" applyBorder="1" applyAlignment="1"/>
    <xf numFmtId="164" fontId="3" fillId="0" borderId="16" xfId="82" applyNumberFormat="1" applyFont="1" applyFill="1" applyBorder="1" applyAlignment="1"/>
    <xf numFmtId="164" fontId="3" fillId="0" borderId="18" xfId="82" applyNumberFormat="1" applyFont="1" applyFill="1" applyBorder="1" applyAlignment="1"/>
    <xf numFmtId="164" fontId="1" fillId="27" borderId="11" xfId="82" applyNumberFormat="1" applyFont="1" applyFill="1" applyBorder="1" applyAlignment="1"/>
    <xf numFmtId="164" fontId="1" fillId="0" borderId="12" xfId="82" applyNumberFormat="1" applyFont="1" applyFill="1" applyBorder="1" applyAlignment="1"/>
    <xf numFmtId="0" fontId="1" fillId="0" borderId="37" xfId="0" applyFont="1" applyFill="1" applyBorder="1" applyAlignment="1">
      <alignment horizontal="left"/>
    </xf>
    <xf numFmtId="0" fontId="74" fillId="0" borderId="0" xfId="0" applyFont="1" applyBorder="1" applyAlignment="1">
      <alignment horizontal="centerContinuous"/>
    </xf>
    <xf numFmtId="168" fontId="3" fillId="0" borderId="22" xfId="82" applyNumberFormat="1" applyFont="1" applyFill="1" applyBorder="1" applyAlignment="1"/>
    <xf numFmtId="168" fontId="3" fillId="0" borderId="42" xfId="82" applyNumberFormat="1" applyFont="1" applyFill="1" applyBorder="1" applyAlignment="1"/>
    <xf numFmtId="168" fontId="3" fillId="0" borderId="22" xfId="82" applyNumberFormat="1" applyFont="1" applyFill="1" applyBorder="1" applyAlignment="1">
      <alignment horizontal="right"/>
    </xf>
    <xf numFmtId="168" fontId="3" fillId="0" borderId="34" xfId="82" applyNumberFormat="1" applyFont="1" applyFill="1" applyBorder="1" applyAlignment="1"/>
    <xf numFmtId="168" fontId="3" fillId="0" borderId="19" xfId="82" applyNumberFormat="1" applyFont="1" applyFill="1" applyBorder="1" applyAlignment="1"/>
    <xf numFmtId="168" fontId="3" fillId="0" borderId="58" xfId="82" applyNumberFormat="1" applyFont="1" applyFill="1" applyBorder="1" applyAlignment="1"/>
    <xf numFmtId="168" fontId="1" fillId="27" borderId="15" xfId="82" applyNumberFormat="1" applyFont="1" applyFill="1" applyBorder="1" applyAlignment="1"/>
    <xf numFmtId="168" fontId="3" fillId="0" borderId="16" xfId="82" applyNumberFormat="1" applyFont="1" applyFill="1" applyBorder="1" applyAlignment="1"/>
    <xf numFmtId="168" fontId="1" fillId="27" borderId="11" xfId="82" applyNumberFormat="1" applyFont="1" applyFill="1" applyBorder="1" applyAlignment="1"/>
    <xf numFmtId="168" fontId="3" fillId="0" borderId="77" xfId="82" applyNumberFormat="1" applyFont="1" applyFill="1" applyBorder="1" applyAlignment="1"/>
    <xf numFmtId="168" fontId="3" fillId="0" borderId="13" xfId="82" applyNumberFormat="1" applyFont="1" applyFill="1" applyBorder="1" applyAlignment="1"/>
    <xf numFmtId="164" fontId="3" fillId="0" borderId="13" xfId="82" applyNumberFormat="1" applyFont="1" applyFill="1" applyBorder="1" applyAlignment="1">
      <alignment horizontal="right"/>
    </xf>
    <xf numFmtId="167" fontId="1" fillId="0" borderId="11" xfId="93" applyNumberFormat="1" applyFont="1" applyFill="1" applyBorder="1" applyAlignment="1">
      <alignment horizontal="left"/>
    </xf>
    <xf numFmtId="42" fontId="3" fillId="0" borderId="18" xfId="95" applyNumberFormat="1" applyFont="1" applyFill="1" applyBorder="1" applyAlignment="1"/>
    <xf numFmtId="164" fontId="1" fillId="27" borderId="19" xfId="82" applyNumberFormat="1" applyFont="1" applyFill="1" applyBorder="1" applyAlignment="1"/>
    <xf numFmtId="164" fontId="1" fillId="27" borderId="20" xfId="82" applyNumberFormat="1" applyFont="1" applyFill="1" applyBorder="1" applyAlignment="1"/>
    <xf numFmtId="164" fontId="17" fillId="43" borderId="50" xfId="0" applyNumberFormat="1" applyFont="1" applyFill="1" applyBorder="1" applyAlignment="1">
      <alignment horizontal="center" wrapText="1"/>
    </xf>
    <xf numFmtId="44" fontId="6" fillId="0" borderId="0" xfId="93" applyFont="1" applyBorder="1"/>
    <xf numFmtId="44" fontId="14" fillId="0" borderId="0" xfId="93" applyFont="1" applyBorder="1"/>
    <xf numFmtId="0" fontId="15" fillId="0" borderId="19" xfId="0" applyFont="1" applyFill="1" applyBorder="1" applyAlignment="1"/>
    <xf numFmtId="0" fontId="15" fillId="0" borderId="21" xfId="0" applyFont="1" applyFill="1" applyBorder="1" applyAlignment="1"/>
    <xf numFmtId="0" fontId="15" fillId="0" borderId="20" xfId="0" applyFont="1" applyFill="1" applyBorder="1" applyAlignment="1"/>
    <xf numFmtId="0" fontId="0" fillId="0" borderId="0" xfId="0" applyBorder="1" applyAlignment="1"/>
    <xf numFmtId="0" fontId="0" fillId="0" borderId="0" xfId="0" applyAlignment="1">
      <alignment horizontal="centerContinuous"/>
    </xf>
    <xf numFmtId="0" fontId="9" fillId="0" borderId="0" xfId="122" applyFont="1" applyFill="1"/>
    <xf numFmtId="0" fontId="15" fillId="0" borderId="0" xfId="122" applyFont="1" applyBorder="1" applyAlignment="1">
      <alignment horizontal="centerContinuous"/>
    </xf>
    <xf numFmtId="15" fontId="15" fillId="0" borderId="0" xfId="122" quotePrefix="1" applyNumberFormat="1" applyFont="1" applyBorder="1" applyAlignment="1">
      <alignment horizontal="center"/>
    </xf>
    <xf numFmtId="42" fontId="9" fillId="0" borderId="0" xfId="122" applyNumberFormat="1" applyFont="1"/>
    <xf numFmtId="42" fontId="15" fillId="0" borderId="0" xfId="122" applyNumberFormat="1" applyFont="1"/>
    <xf numFmtId="0" fontId="0" fillId="0" borderId="0" xfId="0" applyFill="1" applyBorder="1" applyAlignment="1">
      <alignment horizontal="right"/>
    </xf>
    <xf numFmtId="0" fontId="0" fillId="0" borderId="0" xfId="0" applyFill="1" applyAlignment="1">
      <alignment horizontal="right"/>
    </xf>
    <xf numFmtId="42" fontId="3" fillId="0" borderId="11" xfId="95" applyNumberFormat="1" applyFont="1" applyFill="1" applyBorder="1" applyAlignment="1">
      <alignment horizontal="right"/>
    </xf>
    <xf numFmtId="168" fontId="3" fillId="0" borderId="57" xfId="82" applyNumberFormat="1" applyFont="1" applyFill="1" applyBorder="1" applyAlignment="1">
      <alignment horizontal="right"/>
    </xf>
    <xf numFmtId="168" fontId="3" fillId="0" borderId="53" xfId="82" applyNumberFormat="1" applyFont="1" applyFill="1" applyBorder="1" applyAlignment="1">
      <alignment horizontal="right"/>
    </xf>
    <xf numFmtId="168" fontId="3" fillId="0" borderId="76" xfId="82" applyNumberFormat="1" applyFont="1" applyFill="1" applyBorder="1" applyAlignment="1">
      <alignment horizontal="right"/>
    </xf>
    <xf numFmtId="168" fontId="1" fillId="27" borderId="15" xfId="82" applyNumberFormat="1" applyFont="1" applyFill="1" applyBorder="1" applyAlignment="1">
      <alignment horizontal="right"/>
    </xf>
    <xf numFmtId="168" fontId="3" fillId="0" borderId="0" xfId="82" applyNumberFormat="1" applyFill="1" applyAlignment="1">
      <alignment horizontal="right"/>
    </xf>
    <xf numFmtId="168" fontId="3" fillId="0" borderId="24" xfId="82" applyNumberFormat="1" applyFill="1" applyBorder="1" applyAlignment="1">
      <alignment horizontal="right"/>
    </xf>
    <xf numFmtId="168" fontId="3" fillId="0" borderId="37" xfId="82" applyNumberFormat="1" applyFont="1" applyFill="1" applyBorder="1" applyAlignment="1">
      <alignment horizontal="right"/>
    </xf>
    <xf numFmtId="168" fontId="3" fillId="0" borderId="38" xfId="82" applyNumberFormat="1" applyFont="1" applyFill="1" applyBorder="1" applyAlignment="1">
      <alignment horizontal="right"/>
    </xf>
    <xf numFmtId="168" fontId="3" fillId="0" borderId="13" xfId="82" applyNumberFormat="1" applyFont="1" applyFill="1" applyBorder="1" applyAlignment="1">
      <alignment horizontal="right"/>
    </xf>
    <xf numFmtId="168" fontId="1" fillId="27" borderId="11" xfId="82" applyNumberFormat="1" applyFont="1" applyFill="1" applyBorder="1" applyAlignment="1">
      <alignment horizontal="right"/>
    </xf>
    <xf numFmtId="164" fontId="1" fillId="0" borderId="0" xfId="0" applyNumberFormat="1" applyFont="1" applyAlignment="1">
      <alignment horizontal="right"/>
    </xf>
    <xf numFmtId="168" fontId="3" fillId="0" borderId="15" xfId="82" applyNumberFormat="1" applyFont="1" applyFill="1" applyBorder="1" applyAlignment="1">
      <alignment horizontal="right"/>
    </xf>
    <xf numFmtId="43" fontId="41" fillId="0" borderId="0" xfId="0" applyNumberFormat="1" applyFont="1" applyFill="1"/>
    <xf numFmtId="168" fontId="3" fillId="0" borderId="72" xfId="82" applyNumberFormat="1" applyFont="1" applyFill="1" applyBorder="1" applyAlignment="1"/>
    <xf numFmtId="167" fontId="15" fillId="0" borderId="11" xfId="93" applyNumberFormat="1" applyFont="1" applyFill="1" applyBorder="1" applyAlignment="1">
      <alignment horizontal="left"/>
    </xf>
    <xf numFmtId="164" fontId="3" fillId="0" borderId="53" xfId="82" applyNumberFormat="1" applyFont="1" applyFill="1" applyBorder="1" applyAlignment="1">
      <alignment horizontal="right"/>
    </xf>
    <xf numFmtId="164" fontId="3" fillId="0" borderId="57" xfId="82" applyNumberFormat="1" applyFont="1" applyFill="1" applyBorder="1" applyAlignment="1">
      <alignment horizontal="right"/>
    </xf>
    <xf numFmtId="164" fontId="3" fillId="0" borderId="39" xfId="82" applyNumberFormat="1" applyFont="1" applyFill="1" applyBorder="1" applyAlignment="1"/>
    <xf numFmtId="164" fontId="3" fillId="0" borderId="38" xfId="82" applyNumberFormat="1" applyFont="1" applyFill="1" applyBorder="1" applyAlignment="1">
      <alignment horizontal="right"/>
    </xf>
    <xf numFmtId="0" fontId="3" fillId="0" borderId="15" xfId="0" applyFont="1" applyFill="1" applyBorder="1" applyAlignment="1">
      <alignment horizontal="left" indent="1"/>
    </xf>
    <xf numFmtId="0" fontId="3" fillId="0" borderId="85" xfId="0" applyFont="1" applyFill="1" applyBorder="1" applyAlignment="1"/>
    <xf numFmtId="165" fontId="3" fillId="0" borderId="79" xfId="93" applyNumberFormat="1" applyFont="1" applyFill="1" applyBorder="1" applyAlignment="1"/>
    <xf numFmtId="0" fontId="3" fillId="0" borderId="18" xfId="0" applyFont="1" applyFill="1" applyBorder="1" applyAlignment="1">
      <alignment horizontal="left"/>
    </xf>
    <xf numFmtId="0" fontId="9" fillId="0" borderId="0" xfId="122" applyFont="1" applyAlignment="1">
      <alignment horizontal="centerContinuous"/>
    </xf>
    <xf numFmtId="10" fontId="9" fillId="0" borderId="0" xfId="149" applyNumberFormat="1" applyFont="1"/>
    <xf numFmtId="44" fontId="0" fillId="0" borderId="0" xfId="0" applyNumberFormat="1"/>
    <xf numFmtId="0" fontId="108" fillId="44" borderId="12" xfId="0" applyFont="1" applyFill="1" applyBorder="1"/>
    <xf numFmtId="14" fontId="108" fillId="44" borderId="12" xfId="0" applyNumberFormat="1" applyFont="1" applyFill="1" applyBorder="1" applyAlignment="1">
      <alignment horizontal="center"/>
    </xf>
    <xf numFmtId="0" fontId="109" fillId="44" borderId="13" xfId="0" applyFont="1" applyFill="1" applyBorder="1"/>
    <xf numFmtId="0" fontId="108" fillId="44" borderId="13" xfId="0" applyFont="1" applyFill="1" applyBorder="1" applyAlignment="1">
      <alignment horizontal="center" wrapText="1"/>
    </xf>
    <xf numFmtId="0" fontId="109" fillId="44" borderId="15" xfId="0" applyFont="1" applyFill="1" applyBorder="1"/>
    <xf numFmtId="49" fontId="108" fillId="44" borderId="15" xfId="93" applyNumberFormat="1" applyFont="1" applyFill="1" applyBorder="1" applyAlignment="1">
      <alignment horizontal="center" wrapText="1"/>
    </xf>
    <xf numFmtId="42" fontId="95" fillId="0" borderId="11" xfId="149" applyNumberFormat="1" applyFont="1" applyFill="1" applyBorder="1" applyAlignment="1">
      <alignment horizontal="left"/>
    </xf>
    <xf numFmtId="165" fontId="95" fillId="0" borderId="11" xfId="149" applyNumberFormat="1" applyFont="1" applyFill="1" applyBorder="1" applyAlignment="1">
      <alignment horizontal="left"/>
    </xf>
    <xf numFmtId="42" fontId="7" fillId="45" borderId="11" xfId="93" applyNumberFormat="1" applyFont="1" applyFill="1" applyBorder="1" applyAlignment="1">
      <alignment horizontal="left"/>
    </xf>
    <xf numFmtId="0" fontId="7" fillId="45" borderId="11" xfId="0" applyFont="1" applyFill="1" applyBorder="1" applyAlignment="1">
      <alignment horizontal="left"/>
    </xf>
    <xf numFmtId="0" fontId="95" fillId="0" borderId="11" xfId="0" applyFont="1" applyBorder="1" applyAlignment="1">
      <alignment horizontal="left" indent="2"/>
    </xf>
    <xf numFmtId="0" fontId="7" fillId="45" borderId="11" xfId="0" applyFont="1" applyFill="1" applyBorder="1" applyAlignment="1">
      <alignment horizontal="left" indent="4"/>
    </xf>
    <xf numFmtId="0" fontId="95" fillId="0" borderId="11" xfId="0" applyFont="1" applyBorder="1" applyAlignment="1">
      <alignment horizontal="left" vertical="center" indent="2"/>
    </xf>
    <xf numFmtId="0" fontId="7" fillId="45" borderId="11" xfId="0" applyFont="1" applyFill="1" applyBorder="1" applyAlignment="1">
      <alignment horizontal="center"/>
    </xf>
    <xf numFmtId="167" fontId="7" fillId="0" borderId="32" xfId="93" applyNumberFormat="1" applyFont="1" applyFill="1" applyBorder="1" applyAlignment="1">
      <alignment horizontal="centerContinuous"/>
    </xf>
    <xf numFmtId="0" fontId="95" fillId="0" borderId="11" xfId="0" applyFont="1" applyBorder="1" applyAlignment="1">
      <alignment horizontal="left" wrapText="1" indent="2"/>
    </xf>
    <xf numFmtId="3" fontId="110" fillId="44" borderId="91" xfId="0" applyNumberFormat="1" applyFont="1" applyFill="1" applyBorder="1" applyAlignment="1">
      <alignment horizontal="center" vertical="center" wrapText="1"/>
    </xf>
    <xf numFmtId="3" fontId="110" fillId="44" borderId="92" xfId="0" applyNumberFormat="1" applyFont="1" applyFill="1" applyBorder="1" applyAlignment="1">
      <alignment horizontal="center" vertical="center" wrapText="1"/>
    </xf>
    <xf numFmtId="3" fontId="110" fillId="44" borderId="93" xfId="0" applyNumberFormat="1" applyFont="1" applyFill="1" applyBorder="1" applyAlignment="1">
      <alignment horizontal="center" vertical="center" wrapText="1"/>
    </xf>
    <xf numFmtId="3" fontId="99" fillId="0" borderId="0" xfId="0" applyNumberFormat="1" applyFont="1" applyAlignment="1">
      <alignment horizontal="left" vertical="center"/>
    </xf>
    <xf numFmtId="169" fontId="99" fillId="0" borderId="0" xfId="0" applyNumberFormat="1" applyFont="1" applyAlignment="1">
      <alignment horizontal="right"/>
    </xf>
    <xf numFmtId="10" fontId="99" fillId="0" borderId="0" xfId="0" applyNumberFormat="1" applyFont="1" applyAlignment="1">
      <alignment horizontal="center"/>
    </xf>
    <xf numFmtId="3" fontId="100" fillId="45" borderId="0" xfId="0" applyNumberFormat="1" applyFont="1" applyFill="1" applyAlignment="1">
      <alignment horizontal="right"/>
    </xf>
    <xf numFmtId="169" fontId="99" fillId="45" borderId="0" xfId="0" applyNumberFormat="1" applyFont="1" applyFill="1" applyAlignment="1">
      <alignment horizontal="right"/>
    </xf>
    <xf numFmtId="10" fontId="99" fillId="45" borderId="0" xfId="0" applyNumberFormat="1" applyFont="1" applyFill="1" applyAlignment="1">
      <alignment horizontal="center"/>
    </xf>
    <xf numFmtId="3" fontId="99" fillId="0" borderId="0" xfId="0" applyNumberFormat="1" applyFont="1" applyAlignment="1">
      <alignment horizontal="left" vertical="center" wrapText="1"/>
    </xf>
    <xf numFmtId="0" fontId="99" fillId="0" borderId="0" xfId="0" applyFont="1"/>
    <xf numFmtId="0" fontId="100" fillId="45" borderId="0" xfId="0" applyFont="1" applyFill="1" applyAlignment="1">
      <alignment horizontal="right"/>
    </xf>
    <xf numFmtId="169" fontId="100" fillId="45" borderId="0" xfId="0" applyNumberFormat="1" applyFont="1" applyFill="1" applyAlignment="1">
      <alignment horizontal="right"/>
    </xf>
    <xf numFmtId="10" fontId="100" fillId="45" borderId="0" xfId="0" applyNumberFormat="1" applyFont="1" applyFill="1" applyAlignment="1">
      <alignment horizontal="center"/>
    </xf>
    <xf numFmtId="169" fontId="100" fillId="45" borderId="0" xfId="93" applyNumberFormat="1" applyFont="1" applyFill="1" applyBorder="1" applyAlignment="1">
      <alignment horizontal="right"/>
    </xf>
    <xf numFmtId="0" fontId="100" fillId="45" borderId="0" xfId="0" applyFont="1" applyFill="1"/>
    <xf numFmtId="3" fontId="99" fillId="0" borderId="0" xfId="0" applyNumberFormat="1" applyFont="1" applyAlignment="1"/>
    <xf numFmtId="0" fontId="99" fillId="0" borderId="0" xfId="0" applyFont="1" applyAlignment="1"/>
    <xf numFmtId="0" fontId="100" fillId="0" borderId="0" xfId="0" applyFont="1" applyAlignment="1"/>
    <xf numFmtId="0" fontId="101" fillId="0" borderId="0" xfId="0" applyFont="1" applyAlignment="1"/>
    <xf numFmtId="0" fontId="9" fillId="0" borderId="0" xfId="0" applyFont="1" applyAlignment="1"/>
    <xf numFmtId="0" fontId="111" fillId="44" borderId="12" xfId="0" applyFont="1" applyFill="1" applyBorder="1"/>
    <xf numFmtId="0" fontId="111" fillId="44" borderId="12" xfId="0" applyNumberFormat="1" applyFont="1" applyFill="1" applyBorder="1" applyAlignment="1">
      <alignment horizontal="center"/>
    </xf>
    <xf numFmtId="0" fontId="112" fillId="44" borderId="13" xfId="0" applyFont="1" applyFill="1" applyBorder="1"/>
    <xf numFmtId="0" fontId="111" fillId="44" borderId="13" xfId="0" applyFont="1" applyFill="1" applyBorder="1" applyAlignment="1">
      <alignment horizontal="center" wrapText="1"/>
    </xf>
    <xf numFmtId="0" fontId="112" fillId="44" borderId="15" xfId="0" applyFont="1" applyFill="1" applyBorder="1"/>
    <xf numFmtId="49" fontId="111" fillId="44" borderId="15" xfId="93" applyNumberFormat="1" applyFont="1" applyFill="1" applyBorder="1" applyAlignment="1">
      <alignment horizontal="center" wrapText="1"/>
    </xf>
    <xf numFmtId="0" fontId="42" fillId="45" borderId="11" xfId="0" applyFont="1" applyFill="1" applyBorder="1" applyAlignment="1">
      <alignment horizontal="left" indent="4"/>
    </xf>
    <xf numFmtId="42" fontId="42" fillId="45" borderId="11" xfId="93" applyNumberFormat="1" applyFont="1" applyFill="1" applyBorder="1" applyAlignment="1">
      <alignment horizontal="left"/>
    </xf>
    <xf numFmtId="0" fontId="98" fillId="0" borderId="68" xfId="122" applyFont="1" applyFill="1" applyBorder="1" applyAlignment="1">
      <alignment horizontal="left" indent="1"/>
    </xf>
    <xf numFmtId="42" fontId="98" fillId="0" borderId="11" xfId="95" applyNumberFormat="1" applyFont="1" applyBorder="1" applyAlignment="1">
      <alignment horizontal="left"/>
    </xf>
    <xf numFmtId="42" fontId="98" fillId="0" borderId="11" xfId="95" applyNumberFormat="1" applyFont="1" applyFill="1" applyBorder="1" applyAlignment="1">
      <alignment horizontal="left"/>
    </xf>
    <xf numFmtId="0" fontId="113" fillId="46" borderId="94" xfId="0" applyFont="1" applyFill="1" applyBorder="1" applyAlignment="1">
      <alignment horizontal="center" wrapText="1"/>
    </xf>
    <xf numFmtId="42" fontId="113" fillId="46" borderId="95" xfId="0" applyNumberFormat="1" applyFont="1" applyFill="1" applyBorder="1" applyAlignment="1">
      <alignment horizontal="center" wrapText="1"/>
    </xf>
    <xf numFmtId="42" fontId="113" fillId="46" borderId="96" xfId="0" applyNumberFormat="1" applyFont="1" applyFill="1" applyBorder="1" applyAlignment="1">
      <alignment horizontal="center" wrapText="1"/>
    </xf>
    <xf numFmtId="0" fontId="10" fillId="0" borderId="11" xfId="0" applyFont="1" applyBorder="1" applyAlignment="1">
      <alignment wrapText="1"/>
    </xf>
    <xf numFmtId="5" fontId="10" fillId="0" borderId="11" xfId="0" applyNumberFormat="1" applyFont="1" applyBorder="1" applyAlignment="1">
      <alignment horizontal="center"/>
    </xf>
    <xf numFmtId="0" fontId="10" fillId="0" borderId="11" xfId="0" applyFont="1" applyBorder="1" applyAlignment="1">
      <alignment horizontal="left"/>
    </xf>
    <xf numFmtId="0" fontId="22" fillId="47" borderId="11" xfId="0" applyFont="1" applyFill="1" applyBorder="1" applyAlignment="1">
      <alignment wrapText="1"/>
    </xf>
    <xf numFmtId="5" fontId="22" fillId="47" borderId="11" xfId="0" applyNumberFormat="1" applyFont="1" applyFill="1" applyBorder="1" applyAlignment="1">
      <alignment horizontal="center"/>
    </xf>
    <xf numFmtId="42" fontId="102" fillId="0" borderId="34" xfId="0" applyNumberFormat="1" applyFont="1" applyBorder="1"/>
    <xf numFmtId="42" fontId="98" fillId="0" borderId="29" xfId="0" applyNumberFormat="1" applyFont="1" applyBorder="1" applyAlignment="1">
      <alignment horizontal="left"/>
    </xf>
    <xf numFmtId="42" fontId="98" fillId="0" borderId="53" xfId="0" applyNumberFormat="1" applyFont="1" applyBorder="1" applyAlignment="1">
      <alignment horizontal="left"/>
    </xf>
    <xf numFmtId="0" fontId="114" fillId="46" borderId="29" xfId="0" applyFont="1" applyFill="1" applyBorder="1" applyAlignment="1">
      <alignment horizontal="center" vertical="center"/>
    </xf>
    <xf numFmtId="42" fontId="114" fillId="46" borderId="29" xfId="0" applyNumberFormat="1" applyFont="1" applyFill="1" applyBorder="1" applyAlignment="1">
      <alignment horizontal="center" vertical="center"/>
    </xf>
    <xf numFmtId="0" fontId="0" fillId="0" borderId="29" xfId="0" applyBorder="1"/>
    <xf numFmtId="42" fontId="0" fillId="0" borderId="29" xfId="0" applyNumberFormat="1" applyBorder="1"/>
    <xf numFmtId="10" fontId="0" fillId="0" borderId="29" xfId="0" applyNumberFormat="1" applyBorder="1" applyAlignment="1">
      <alignment horizontal="center"/>
    </xf>
    <xf numFmtId="42" fontId="23" fillId="0" borderId="29" xfId="0" applyNumberFormat="1" applyFont="1" applyBorder="1"/>
    <xf numFmtId="10" fontId="23" fillId="0" borderId="29" xfId="0" applyNumberFormat="1" applyFont="1" applyBorder="1" applyAlignment="1">
      <alignment horizontal="center"/>
    </xf>
    <xf numFmtId="165" fontId="0" fillId="0" borderId="0" xfId="0" applyNumberFormat="1"/>
    <xf numFmtId="42" fontId="97" fillId="0" borderId="11" xfId="93" applyNumberFormat="1" applyFont="1" applyFill="1" applyBorder="1" applyAlignment="1">
      <alignment horizontal="left"/>
    </xf>
    <xf numFmtId="0" fontId="96" fillId="0" borderId="11" xfId="0" applyFont="1" applyFill="1" applyBorder="1"/>
    <xf numFmtId="42" fontId="10" fillId="0" borderId="11" xfId="0" applyNumberFormat="1" applyFont="1" applyBorder="1" applyAlignment="1">
      <alignment horizontal="center"/>
    </xf>
    <xf numFmtId="164" fontId="17" fillId="43" borderId="43" xfId="69" applyNumberFormat="1" applyFont="1" applyFill="1" applyBorder="1" applyAlignment="1">
      <alignment horizontal="center"/>
    </xf>
    <xf numFmtId="0" fontId="0" fillId="0" borderId="32" xfId="0" applyBorder="1" applyAlignment="1">
      <alignment horizontal="centerContinuous"/>
    </xf>
    <xf numFmtId="0" fontId="0" fillId="0" borderId="36" xfId="0" applyBorder="1" applyAlignment="1">
      <alignment horizontal="centerContinuous"/>
    </xf>
    <xf numFmtId="0" fontId="9" fillId="0" borderId="85" xfId="0" applyFont="1" applyFill="1" applyBorder="1" applyAlignment="1"/>
    <xf numFmtId="168" fontId="3" fillId="0" borderId="79" xfId="82" applyNumberFormat="1" applyFont="1" applyFill="1" applyBorder="1" applyAlignment="1"/>
    <xf numFmtId="168" fontId="3" fillId="0" borderId="17" xfId="82" applyNumberFormat="1" applyFont="1" applyFill="1" applyBorder="1" applyAlignment="1"/>
    <xf numFmtId="0" fontId="9" fillId="0" borderId="72" xfId="0" applyFont="1" applyFill="1" applyBorder="1" applyAlignment="1">
      <alignment horizontal="left" indent="1"/>
    </xf>
    <xf numFmtId="165" fontId="1" fillId="0" borderId="0" xfId="93" applyNumberFormat="1" applyFont="1" applyFill="1" applyBorder="1" applyAlignment="1"/>
    <xf numFmtId="0" fontId="3" fillId="0" borderId="0" xfId="0" applyFont="1" applyFill="1" applyBorder="1" applyAlignment="1"/>
    <xf numFmtId="165" fontId="3" fillId="0" borderId="0" xfId="93" applyNumberFormat="1" applyFont="1" applyFill="1" applyBorder="1" applyAlignment="1"/>
    <xf numFmtId="0" fontId="9" fillId="0" borderId="0" xfId="0" applyFont="1"/>
    <xf numFmtId="0" fontId="3" fillId="0" borderId="0" xfId="0" applyFont="1" applyAlignment="1">
      <alignment horizontal="center"/>
    </xf>
    <xf numFmtId="169" fontId="3" fillId="0" borderId="0" xfId="0" applyNumberFormat="1" applyFont="1"/>
    <xf numFmtId="0" fontId="31" fillId="0" borderId="0" xfId="0" applyFont="1"/>
    <xf numFmtId="0" fontId="115" fillId="0" borderId="0" xfId="0" applyFont="1"/>
    <xf numFmtId="0" fontId="14" fillId="0" borderId="0" xfId="0" applyFont="1" applyAlignment="1">
      <alignment horizontal="left" wrapText="1"/>
    </xf>
    <xf numFmtId="0" fontId="116" fillId="0" borderId="0" xfId="0" applyFont="1" applyAlignment="1">
      <alignment horizontal="center" vertical="top" wrapText="1"/>
    </xf>
    <xf numFmtId="0" fontId="116" fillId="0" borderId="0" xfId="0" applyFont="1" applyAlignment="1">
      <alignment horizontal="left" vertical="top" wrapText="1"/>
    </xf>
    <xf numFmtId="0" fontId="35" fillId="0" borderId="0" xfId="0" applyFont="1" applyAlignment="1">
      <alignment horizontal="left" vertical="top" wrapText="1"/>
    </xf>
    <xf numFmtId="0" fontId="23" fillId="0" borderId="0" xfId="0" applyFont="1" applyAlignment="1">
      <alignment horizontal="center" vertical="top" wrapText="1"/>
    </xf>
    <xf numFmtId="0" fontId="98" fillId="0" borderId="0" xfId="0" applyFont="1" applyAlignment="1">
      <alignment horizontal="center" vertical="center" wrapText="1"/>
    </xf>
    <xf numFmtId="166" fontId="98" fillId="0" borderId="0" xfId="0" applyNumberFormat="1" applyFont="1" applyAlignment="1">
      <alignment horizontal="center" vertical="center" wrapText="1"/>
    </xf>
    <xf numFmtId="169" fontId="98" fillId="0" borderId="0" xfId="0" applyNumberFormat="1" applyFont="1" applyAlignment="1">
      <alignment horizontal="center" vertical="center"/>
    </xf>
    <xf numFmtId="169" fontId="3" fillId="0" borderId="0" xfId="0" applyNumberFormat="1" applyFont="1" applyAlignment="1">
      <alignment horizontal="left"/>
    </xf>
    <xf numFmtId="9" fontId="3" fillId="0" borderId="0" xfId="0" applyNumberFormat="1" applyFont="1" applyAlignment="1">
      <alignment horizontal="center" vertical="top" wrapText="1"/>
    </xf>
    <xf numFmtId="0" fontId="1" fillId="24" borderId="0" xfId="0" applyFont="1" applyFill="1"/>
    <xf numFmtId="169" fontId="1" fillId="0" borderId="0" xfId="0" applyNumberFormat="1" applyFont="1" applyAlignment="1">
      <alignment horizontal="left"/>
    </xf>
    <xf numFmtId="0" fontId="42" fillId="0" borderId="0" xfId="0" applyFont="1" applyAlignment="1">
      <alignment horizontal="center" vertical="center" wrapText="1"/>
    </xf>
    <xf numFmtId="166" fontId="42" fillId="0" borderId="0" xfId="0" applyNumberFormat="1" applyFont="1" applyAlignment="1">
      <alignment horizontal="center" vertical="center" wrapText="1"/>
    </xf>
    <xf numFmtId="169" fontId="42" fillId="0" borderId="0" xfId="0" applyNumberFormat="1" applyFont="1" applyAlignment="1">
      <alignment horizontal="center" vertical="center"/>
    </xf>
    <xf numFmtId="169" fontId="3" fillId="0" borderId="0" xfId="0" applyNumberFormat="1" applyFont="1" applyAlignment="1">
      <alignment horizontal="left" vertical="center"/>
    </xf>
    <xf numFmtId="0" fontId="15" fillId="0" borderId="0" xfId="0" applyFont="1" applyAlignment="1">
      <alignment horizontal="center" vertical="center" wrapText="1"/>
    </xf>
    <xf numFmtId="9" fontId="15" fillId="0" borderId="0" xfId="0" applyNumberFormat="1" applyFont="1" applyAlignment="1">
      <alignment horizontal="center" vertical="center" wrapText="1"/>
    </xf>
    <xf numFmtId="169" fontId="9" fillId="0" borderId="0" xfId="0" applyNumberFormat="1" applyFont="1" applyAlignment="1">
      <alignment horizontal="left"/>
    </xf>
    <xf numFmtId="0" fontId="42" fillId="0" borderId="0" xfId="0" applyFont="1" applyAlignment="1">
      <alignment horizontal="center" wrapText="1"/>
    </xf>
    <xf numFmtId="169" fontId="42" fillId="0" borderId="0" xfId="0" applyNumberFormat="1" applyFont="1" applyAlignment="1" applyProtection="1">
      <alignment horizontal="right" wrapText="1"/>
      <protection hidden="1"/>
    </xf>
    <xf numFmtId="169" fontId="73" fillId="0" borderId="0" xfId="0" applyNumberFormat="1" applyFont="1" applyAlignment="1">
      <alignment horizontal="left"/>
    </xf>
    <xf numFmtId="9" fontId="73" fillId="0" borderId="0" xfId="0" applyNumberFormat="1" applyFont="1" applyAlignment="1">
      <alignment horizontal="center" vertical="top" wrapText="1"/>
    </xf>
    <xf numFmtId="0" fontId="73" fillId="0" borderId="0" xfId="0" applyFont="1" applyAlignment="1">
      <alignment horizontal="center"/>
    </xf>
    <xf numFmtId="169" fontId="73" fillId="0" borderId="0" xfId="0" applyNumberFormat="1" applyFont="1"/>
    <xf numFmtId="0" fontId="42" fillId="0" borderId="0" xfId="0" applyFont="1"/>
    <xf numFmtId="0" fontId="111" fillId="48" borderId="11" xfId="0" applyFont="1" applyFill="1" applyBorder="1" applyAlignment="1">
      <alignment horizontal="center" vertical="center" wrapText="1"/>
    </xf>
    <xf numFmtId="169" fontId="111" fillId="48" borderId="11" xfId="0" applyNumberFormat="1" applyFont="1" applyFill="1" applyBorder="1" applyAlignment="1">
      <alignment vertical="center" wrapText="1"/>
    </xf>
    <xf numFmtId="0" fontId="98" fillId="0" borderId="11" xfId="0" applyFont="1" applyBorder="1" applyAlignment="1">
      <alignment horizontal="center"/>
    </xf>
    <xf numFmtId="10" fontId="98" fillId="0" borderId="11" xfId="149" applyNumberFormat="1" applyFont="1" applyBorder="1" applyAlignment="1">
      <alignment horizontal="center"/>
    </xf>
    <xf numFmtId="0" fontId="98" fillId="0" borderId="11" xfId="0" applyFont="1" applyBorder="1" applyAlignment="1">
      <alignment horizontal="center" vertical="center" wrapText="1"/>
    </xf>
    <xf numFmtId="0" fontId="42" fillId="0" borderId="11" xfId="0" applyFont="1" applyBorder="1" applyAlignment="1">
      <alignment horizontal="center" vertical="center" wrapText="1"/>
    </xf>
    <xf numFmtId="166" fontId="98" fillId="0" borderId="11" xfId="0" applyNumberFormat="1" applyFont="1" applyBorder="1" applyAlignment="1">
      <alignment horizontal="center"/>
    </xf>
    <xf numFmtId="0" fontId="98" fillId="0" borderId="11" xfId="0" applyFont="1" applyBorder="1" applyAlignment="1">
      <alignment horizontal="left" vertical="center" wrapText="1"/>
    </xf>
    <xf numFmtId="194" fontId="42" fillId="0" borderId="11" xfId="95" applyNumberFormat="1" applyFont="1" applyBorder="1" applyAlignment="1">
      <alignment horizontal="center" vertical="center" wrapText="1"/>
    </xf>
    <xf numFmtId="191" fontId="98" fillId="0" borderId="11" xfId="95" applyNumberFormat="1" applyFont="1" applyBorder="1" applyAlignment="1">
      <alignment horizontal="center" vertical="center" wrapText="1"/>
    </xf>
    <xf numFmtId="0" fontId="98" fillId="0" borderId="11" xfId="0" applyFont="1" applyBorder="1"/>
    <xf numFmtId="0" fontId="98" fillId="0" borderId="11" xfId="0" applyFont="1" applyBorder="1" applyAlignment="1">
      <alignment vertical="center" wrapText="1"/>
    </xf>
    <xf numFmtId="169" fontId="42" fillId="0" borderId="11" xfId="0" applyNumberFormat="1" applyFont="1" applyBorder="1" applyAlignment="1">
      <alignment horizontal="center" vertical="center" wrapText="1"/>
    </xf>
    <xf numFmtId="164" fontId="98" fillId="0" borderId="11" xfId="0" applyNumberFormat="1" applyFont="1" applyBorder="1" applyAlignment="1">
      <alignment vertical="center" wrapText="1"/>
    </xf>
    <xf numFmtId="0" fontId="98" fillId="0" borderId="11" xfId="0" applyFont="1" applyBorder="1" applyAlignment="1">
      <alignment horizontal="center" vertical="top" wrapText="1"/>
    </xf>
    <xf numFmtId="199" fontId="98" fillId="0" borderId="11" xfId="0" applyNumberFormat="1" applyFont="1" applyBorder="1" applyAlignment="1">
      <alignment horizontal="center" vertical="center" wrapText="1"/>
    </xf>
    <xf numFmtId="6" fontId="98" fillId="0" borderId="11" xfId="0" applyNumberFormat="1" applyFont="1" applyBorder="1" applyAlignment="1">
      <alignment horizontal="center" vertical="center" wrapText="1"/>
    </xf>
    <xf numFmtId="169" fontId="98" fillId="0" borderId="11" xfId="0" applyNumberFormat="1" applyFont="1" applyBorder="1" applyAlignment="1">
      <alignment horizontal="center" vertical="center" wrapText="1"/>
    </xf>
    <xf numFmtId="200" fontId="98" fillId="0" borderId="11" xfId="0" applyNumberFormat="1" applyFont="1" applyBorder="1" applyAlignment="1">
      <alignment horizontal="center" vertical="center" wrapText="1"/>
    </xf>
    <xf numFmtId="185" fontId="98" fillId="0" borderId="11" xfId="0" applyNumberFormat="1" applyFont="1" applyBorder="1" applyAlignment="1">
      <alignment horizontal="center" vertical="center" wrapText="1"/>
    </xf>
    <xf numFmtId="169" fontId="42" fillId="0" borderId="11" xfId="0" applyNumberFormat="1" applyFont="1" applyBorder="1" applyAlignment="1">
      <alignment horizontal="center" vertical="center"/>
    </xf>
    <xf numFmtId="0" fontId="98" fillId="0" borderId="26" xfId="0" applyFont="1" applyBorder="1" applyAlignment="1">
      <alignment horizontal="center" vertical="center" wrapText="1"/>
    </xf>
    <xf numFmtId="0" fontId="98" fillId="0" borderId="35" xfId="0" applyFont="1" applyBorder="1" applyAlignment="1">
      <alignment horizontal="center" vertical="center" wrapText="1"/>
    </xf>
    <xf numFmtId="0" fontId="98" fillId="0" borderId="32" xfId="0" applyFont="1" applyBorder="1" applyAlignment="1">
      <alignment horizontal="center" vertical="center" wrapText="1"/>
    </xf>
    <xf numFmtId="0" fontId="98" fillId="0" borderId="36" xfId="0" applyFont="1" applyBorder="1" applyAlignment="1">
      <alignment horizontal="center" vertical="center" wrapText="1"/>
    </xf>
    <xf numFmtId="194" fontId="42" fillId="0" borderId="35" xfId="95" applyNumberFormat="1" applyFont="1" applyBorder="1" applyAlignment="1">
      <alignment horizontal="center" vertical="center" wrapText="1"/>
    </xf>
    <xf numFmtId="191" fontId="98" fillId="0" borderId="36" xfId="95" applyNumberFormat="1" applyFont="1" applyFill="1" applyBorder="1" applyAlignment="1">
      <alignment horizontal="center" vertical="center" wrapText="1"/>
    </xf>
    <xf numFmtId="195" fontId="0" fillId="0" borderId="0" xfId="0" applyNumberFormat="1"/>
    <xf numFmtId="0" fontId="42" fillId="45" borderId="11" xfId="0" applyFont="1" applyFill="1" applyBorder="1"/>
    <xf numFmtId="201" fontId="42" fillId="45" borderId="11" xfId="0" applyNumberFormat="1" applyFont="1" applyFill="1" applyBorder="1" applyAlignment="1">
      <alignment horizontal="center" vertical="center"/>
    </xf>
    <xf numFmtId="169" fontId="42" fillId="45" borderId="11" xfId="0" applyNumberFormat="1" applyFont="1" applyFill="1" applyBorder="1" applyAlignment="1">
      <alignment horizontal="center" vertical="center" wrapText="1"/>
    </xf>
    <xf numFmtId="0" fontId="3" fillId="0" borderId="0" xfId="179"/>
    <xf numFmtId="169" fontId="3" fillId="0" borderId="0" xfId="179" applyNumberFormat="1"/>
    <xf numFmtId="0" fontId="98" fillId="0" borderId="0" xfId="179" applyFont="1" applyAlignment="1">
      <alignment vertical="center" wrapText="1"/>
    </xf>
    <xf numFmtId="0" fontId="7" fillId="0" borderId="0" xfId="0" applyFont="1" applyBorder="1" applyAlignment="1">
      <alignment horizontal="center"/>
    </xf>
    <xf numFmtId="165" fontId="14" fillId="0" borderId="0" xfId="93" applyNumberFormat="1" applyFont="1"/>
    <xf numFmtId="5" fontId="6" fillId="0" borderId="0" xfId="0" applyNumberFormat="1" applyFont="1" applyFill="1" applyAlignment="1">
      <alignment horizontal="center"/>
    </xf>
    <xf numFmtId="7" fontId="14" fillId="0" borderId="0" xfId="0" applyNumberFormat="1" applyFont="1"/>
    <xf numFmtId="43" fontId="6" fillId="0" borderId="0" xfId="0" applyNumberFormat="1" applyFont="1"/>
    <xf numFmtId="7" fontId="6" fillId="0" borderId="0" xfId="0" applyNumberFormat="1" applyFont="1"/>
    <xf numFmtId="44" fontId="0" fillId="0" borderId="0" xfId="93" applyFont="1"/>
    <xf numFmtId="0" fontId="0" fillId="0" borderId="0" xfId="0"/>
    <xf numFmtId="5" fontId="10" fillId="0" borderId="11" xfId="0" applyNumberFormat="1" applyFont="1" applyBorder="1" applyAlignment="1">
      <alignment horizontal="center"/>
    </xf>
    <xf numFmtId="42" fontId="10" fillId="0" borderId="11" xfId="0" applyNumberFormat="1" applyFont="1" applyBorder="1" applyAlignment="1">
      <alignment horizontal="center"/>
    </xf>
    <xf numFmtId="0" fontId="44" fillId="0" borderId="0" xfId="0" applyFont="1" applyAlignment="1">
      <alignment horizontal="center"/>
    </xf>
    <xf numFmtId="0" fontId="30" fillId="0" borderId="0" xfId="0" applyFont="1" applyAlignment="1">
      <alignment horizontal="center"/>
    </xf>
    <xf numFmtId="0" fontId="3" fillId="0" borderId="41" xfId="0" applyFont="1" applyBorder="1"/>
    <xf numFmtId="0" fontId="3" fillId="0" borderId="38" xfId="0" applyFont="1" applyFill="1" applyBorder="1" applyAlignment="1">
      <alignment horizontal="left" indent="1"/>
    </xf>
    <xf numFmtId="0" fontId="3" fillId="0" borderId="13" xfId="0" applyFont="1" applyFill="1" applyBorder="1" applyAlignment="1">
      <alignment horizontal="left" indent="1"/>
    </xf>
    <xf numFmtId="0" fontId="3" fillId="0" borderId="72" xfId="0" applyFont="1" applyFill="1" applyBorder="1" applyAlignment="1">
      <alignment horizontal="left" indent="1"/>
    </xf>
    <xf numFmtId="5" fontId="6" fillId="0" borderId="0" xfId="0" applyNumberFormat="1" applyFont="1"/>
    <xf numFmtId="0" fontId="7" fillId="0" borderId="0" xfId="0" applyFont="1" applyAlignment="1">
      <alignment horizontal="center"/>
    </xf>
    <xf numFmtId="0" fontId="7" fillId="0" borderId="0" xfId="0" applyFont="1" applyBorder="1" applyAlignment="1">
      <alignment horizontal="center"/>
    </xf>
    <xf numFmtId="0" fontId="7" fillId="0" borderId="35" xfId="0" applyFont="1" applyBorder="1" applyAlignment="1">
      <alignment horizontal="center"/>
    </xf>
    <xf numFmtId="0" fontId="7" fillId="0" borderId="32" xfId="0" applyFont="1" applyBorder="1" applyAlignment="1">
      <alignment horizontal="center"/>
    </xf>
    <xf numFmtId="0" fontId="7" fillId="0" borderId="36" xfId="0" applyFont="1" applyBorder="1" applyAlignment="1">
      <alignment horizontal="center"/>
    </xf>
    <xf numFmtId="165" fontId="15" fillId="0" borderId="0" xfId="93" applyNumberFormat="1" applyFont="1" applyFill="1" applyBorder="1" applyAlignment="1">
      <alignment horizontal="left"/>
    </xf>
    <xf numFmtId="0" fontId="31" fillId="0" borderId="0" xfId="0" applyFont="1" applyAlignment="1">
      <alignment horizontal="center"/>
    </xf>
    <xf numFmtId="0" fontId="20" fillId="0" borderId="0" xfId="0" applyFont="1" applyAlignment="1">
      <alignment horizontal="center"/>
    </xf>
    <xf numFmtId="0" fontId="20" fillId="0" borderId="0" xfId="122" applyFont="1" applyAlignment="1">
      <alignment horizontal="center"/>
    </xf>
    <xf numFmtId="0" fontId="24" fillId="0" borderId="0" xfId="0" applyFont="1" applyAlignment="1">
      <alignment horizontal="center"/>
    </xf>
    <xf numFmtId="0" fontId="24" fillId="0" borderId="0" xfId="0" quotePrefix="1" applyFont="1" applyAlignment="1">
      <alignment horizontal="center"/>
    </xf>
    <xf numFmtId="0" fontId="4" fillId="0" borderId="0" xfId="0" applyFont="1" applyAlignment="1">
      <alignment horizontal="center"/>
    </xf>
    <xf numFmtId="0" fontId="4" fillId="0" borderId="0" xfId="122" applyFont="1" applyAlignment="1">
      <alignment horizontal="center"/>
    </xf>
    <xf numFmtId="0" fontId="24" fillId="0" borderId="0" xfId="122" applyFont="1" applyAlignment="1">
      <alignment horizontal="center"/>
    </xf>
    <xf numFmtId="0" fontId="24" fillId="0" borderId="0" xfId="122" quotePrefix="1" applyFont="1" applyAlignment="1">
      <alignment horizontal="center"/>
    </xf>
    <xf numFmtId="0" fontId="14" fillId="0" borderId="0" xfId="122" applyFont="1" applyFill="1" applyBorder="1" applyAlignment="1">
      <alignment horizontal="left" wrapText="1"/>
    </xf>
    <xf numFmtId="0" fontId="15" fillId="0" borderId="35" xfId="0" applyFont="1" applyFill="1" applyBorder="1" applyAlignment="1">
      <alignment horizontal="center" wrapText="1"/>
    </xf>
    <xf numFmtId="0" fontId="15" fillId="0" borderId="32" xfId="0" applyFont="1" applyFill="1" applyBorder="1" applyAlignment="1">
      <alignment horizontal="center" wrapText="1"/>
    </xf>
    <xf numFmtId="0" fontId="15" fillId="0" borderId="36" xfId="0" applyFont="1" applyFill="1" applyBorder="1" applyAlignment="1">
      <alignment horizontal="center" wrapText="1"/>
    </xf>
    <xf numFmtId="0" fontId="15" fillId="0" borderId="61" xfId="0" applyFont="1" applyFill="1" applyBorder="1" applyAlignment="1">
      <alignment horizontal="center" wrapText="1"/>
    </xf>
    <xf numFmtId="0" fontId="15" fillId="0" borderId="0" xfId="0" applyFont="1" applyFill="1" applyBorder="1" applyAlignment="1">
      <alignment horizontal="center" wrapText="1"/>
    </xf>
    <xf numFmtId="0" fontId="15" fillId="0" borderId="14" xfId="0" applyFont="1" applyFill="1" applyBorder="1" applyAlignment="1">
      <alignment horizontal="center" wrapText="1"/>
    </xf>
    <xf numFmtId="0" fontId="42" fillId="0" borderId="0" xfId="0" applyFont="1" applyFill="1" applyAlignment="1">
      <alignment horizontal="center"/>
    </xf>
    <xf numFmtId="0" fontId="15" fillId="0" borderId="19" xfId="0" applyFont="1" applyFill="1" applyBorder="1" applyAlignment="1">
      <alignment horizontal="center" wrapText="1"/>
    </xf>
    <xf numFmtId="0" fontId="15" fillId="0" borderId="21" xfId="0" applyFont="1" applyFill="1" applyBorder="1" applyAlignment="1">
      <alignment horizontal="center" wrapText="1"/>
    </xf>
    <xf numFmtId="0" fontId="15" fillId="0" borderId="20" xfId="0" applyFont="1" applyFill="1" applyBorder="1" applyAlignment="1">
      <alignment horizontal="center" wrapText="1"/>
    </xf>
    <xf numFmtId="0" fontId="40" fillId="0" borderId="35" xfId="0" applyFont="1" applyFill="1" applyBorder="1" applyAlignment="1">
      <alignment horizontal="center" wrapText="1"/>
    </xf>
    <xf numFmtId="0" fontId="40" fillId="0" borderId="32" xfId="0" applyFont="1" applyFill="1" applyBorder="1" applyAlignment="1">
      <alignment horizontal="center" wrapText="1"/>
    </xf>
    <xf numFmtId="0" fontId="40" fillId="0" borderId="36" xfId="0" applyFont="1" applyFill="1" applyBorder="1" applyAlignment="1">
      <alignment horizontal="center" wrapText="1"/>
    </xf>
    <xf numFmtId="0" fontId="40" fillId="0" borderId="61" xfId="0" applyFont="1" applyFill="1" applyBorder="1" applyAlignment="1">
      <alignment horizontal="center" wrapText="1"/>
    </xf>
    <xf numFmtId="0" fontId="40" fillId="0" borderId="0" xfId="0" applyFont="1" applyFill="1" applyBorder="1" applyAlignment="1">
      <alignment horizontal="center" wrapText="1"/>
    </xf>
    <xf numFmtId="0" fontId="40" fillId="0" borderId="14" xfId="0" applyFont="1" applyFill="1" applyBorder="1" applyAlignment="1">
      <alignment horizontal="center" wrapText="1"/>
    </xf>
    <xf numFmtId="0" fontId="40" fillId="0" borderId="19" xfId="0" applyFont="1" applyFill="1" applyBorder="1" applyAlignment="1">
      <alignment horizontal="center" wrapText="1"/>
    </xf>
    <xf numFmtId="0" fontId="40" fillId="0" borderId="21" xfId="0" applyFont="1" applyFill="1" applyBorder="1" applyAlignment="1">
      <alignment horizontal="center" wrapText="1"/>
    </xf>
    <xf numFmtId="0" fontId="40" fillId="0" borderId="20" xfId="0" applyFont="1" applyFill="1" applyBorder="1" applyAlignment="1">
      <alignment horizontal="center" wrapText="1"/>
    </xf>
    <xf numFmtId="0" fontId="15" fillId="0" borderId="0" xfId="0" applyFont="1" applyAlignment="1">
      <alignment horizontal="center"/>
    </xf>
    <xf numFmtId="0" fontId="44" fillId="0" borderId="0" xfId="0" applyFont="1" applyAlignment="1">
      <alignment horizontal="center"/>
    </xf>
    <xf numFmtId="0" fontId="15" fillId="0" borderId="61" xfId="0" applyFont="1" applyFill="1" applyBorder="1" applyAlignment="1">
      <alignment horizontal="center"/>
    </xf>
    <xf numFmtId="0" fontId="15" fillId="0" borderId="0" xfId="0" applyFont="1" applyFill="1" applyBorder="1" applyAlignment="1">
      <alignment horizontal="center"/>
    </xf>
    <xf numFmtId="0" fontId="15" fillId="0" borderId="14" xfId="0" applyFont="1" applyFill="1" applyBorder="1" applyAlignment="1">
      <alignment horizontal="center"/>
    </xf>
    <xf numFmtId="0" fontId="15" fillId="0" borderId="26" xfId="0" applyFont="1" applyBorder="1" applyAlignment="1">
      <alignment horizontal="center"/>
    </xf>
    <xf numFmtId="0" fontId="15" fillId="0" borderId="25" xfId="0" applyFont="1" applyBorder="1" applyAlignment="1">
      <alignment horizontal="center"/>
    </xf>
    <xf numFmtId="0" fontId="15" fillId="0" borderId="24" xfId="0" applyFont="1" applyBorder="1" applyAlignment="1">
      <alignment horizontal="center"/>
    </xf>
    <xf numFmtId="0" fontId="15" fillId="0" borderId="19" xfId="0" applyFont="1" applyFill="1" applyBorder="1" applyAlignment="1">
      <alignment horizontal="center"/>
    </xf>
    <xf numFmtId="0" fontId="15" fillId="0" borderId="21" xfId="0" applyFont="1" applyFill="1" applyBorder="1" applyAlignment="1">
      <alignment horizontal="center"/>
    </xf>
    <xf numFmtId="0" fontId="15" fillId="0" borderId="20" xfId="0" applyFont="1" applyFill="1" applyBorder="1" applyAlignment="1">
      <alignment horizontal="center"/>
    </xf>
    <xf numFmtId="0" fontId="15" fillId="0" borderId="61" xfId="0" applyFont="1" applyBorder="1" applyAlignment="1">
      <alignment horizontal="center"/>
    </xf>
    <xf numFmtId="0" fontId="15" fillId="0" borderId="0" xfId="0" applyFont="1" applyBorder="1" applyAlignment="1">
      <alignment horizontal="center"/>
    </xf>
    <xf numFmtId="0" fontId="15" fillId="0" borderId="14" xfId="0" applyFont="1" applyBorder="1" applyAlignment="1">
      <alignment horizontal="center"/>
    </xf>
    <xf numFmtId="0" fontId="15" fillId="0" borderId="19" xfId="122" applyFont="1" applyFill="1" applyBorder="1" applyAlignment="1">
      <alignment horizontal="center"/>
    </xf>
    <xf numFmtId="0" fontId="15" fillId="0" borderId="0" xfId="122" applyFont="1" applyFill="1" applyBorder="1" applyAlignment="1">
      <alignment horizontal="center"/>
    </xf>
    <xf numFmtId="0" fontId="15" fillId="0" borderId="14" xfId="122" applyFont="1" applyFill="1" applyBorder="1" applyAlignment="1">
      <alignment horizontal="center"/>
    </xf>
    <xf numFmtId="0" fontId="15" fillId="0" borderId="61" xfId="122" applyFont="1" applyFill="1" applyBorder="1" applyAlignment="1">
      <alignment horizontal="center"/>
    </xf>
    <xf numFmtId="0" fontId="15" fillId="0" borderId="61" xfId="122" applyFont="1" applyBorder="1" applyAlignment="1">
      <alignment horizontal="center"/>
    </xf>
    <xf numFmtId="0" fontId="15" fillId="0" borderId="0" xfId="122" applyFont="1" applyBorder="1" applyAlignment="1">
      <alignment horizontal="center"/>
    </xf>
    <xf numFmtId="0" fontId="15" fillId="0" borderId="14" xfId="122" applyFont="1" applyBorder="1" applyAlignment="1">
      <alignment horizontal="center"/>
    </xf>
    <xf numFmtId="0" fontId="13" fillId="0" borderId="26" xfId="122" applyFont="1" applyBorder="1" applyAlignment="1">
      <alignment horizontal="center"/>
    </xf>
    <xf numFmtId="0" fontId="13" fillId="0" borderId="25" xfId="122" applyFont="1" applyBorder="1" applyAlignment="1">
      <alignment horizontal="center"/>
    </xf>
    <xf numFmtId="0" fontId="13" fillId="0" borderId="24" xfId="122" applyFont="1" applyBorder="1" applyAlignment="1">
      <alignment horizontal="center"/>
    </xf>
    <xf numFmtId="0" fontId="13" fillId="0" borderId="19" xfId="122" applyFont="1" applyFill="1" applyBorder="1" applyAlignment="1">
      <alignment horizontal="center"/>
    </xf>
    <xf numFmtId="0" fontId="13" fillId="0" borderId="21" xfId="122" applyFont="1" applyFill="1" applyBorder="1" applyAlignment="1">
      <alignment horizontal="center"/>
    </xf>
    <xf numFmtId="0" fontId="13" fillId="0" borderId="20" xfId="122" applyFont="1" applyFill="1" applyBorder="1" applyAlignment="1">
      <alignment horizontal="center"/>
    </xf>
    <xf numFmtId="0" fontId="13" fillId="0" borderId="35" xfId="122" applyFont="1" applyFill="1" applyBorder="1" applyAlignment="1">
      <alignment horizontal="center"/>
    </xf>
    <xf numFmtId="0" fontId="13" fillId="0" borderId="32" xfId="122" applyFont="1" applyFill="1" applyBorder="1" applyAlignment="1">
      <alignment horizontal="center"/>
    </xf>
    <xf numFmtId="0" fontId="13" fillId="0" borderId="36" xfId="122" applyFont="1" applyFill="1" applyBorder="1" applyAlignment="1">
      <alignment horizontal="center"/>
    </xf>
    <xf numFmtId="0" fontId="13" fillId="0" borderId="22" xfId="122" applyFont="1" applyFill="1" applyBorder="1" applyAlignment="1">
      <alignment horizontal="center"/>
    </xf>
    <xf numFmtId="0" fontId="13" fillId="0" borderId="41" xfId="122" applyFont="1" applyFill="1" applyBorder="1" applyAlignment="1">
      <alignment horizontal="center"/>
    </xf>
    <xf numFmtId="0" fontId="13" fillId="0" borderId="79" xfId="122" applyFont="1" applyFill="1" applyBorder="1" applyAlignment="1">
      <alignment horizontal="center"/>
    </xf>
    <xf numFmtId="0" fontId="15" fillId="0" borderId="0" xfId="122" applyFont="1" applyAlignment="1">
      <alignment horizontal="center"/>
    </xf>
    <xf numFmtId="0" fontId="15" fillId="0" borderId="26" xfId="122" applyFont="1" applyBorder="1" applyAlignment="1">
      <alignment horizontal="center"/>
    </xf>
    <xf numFmtId="0" fontId="15" fillId="0" borderId="25" xfId="122" applyFont="1" applyBorder="1" applyAlignment="1">
      <alignment horizontal="center"/>
    </xf>
    <xf numFmtId="0" fontId="15" fillId="0" borderId="24" xfId="122" applyFont="1" applyBorder="1" applyAlignment="1">
      <alignment horizontal="center"/>
    </xf>
    <xf numFmtId="0" fontId="13" fillId="0" borderId="35" xfId="122" applyFont="1" applyBorder="1" applyAlignment="1">
      <alignment horizontal="center"/>
    </xf>
    <xf numFmtId="0" fontId="13" fillId="0" borderId="32" xfId="122" applyFont="1" applyBorder="1" applyAlignment="1">
      <alignment horizontal="center"/>
    </xf>
    <xf numFmtId="0" fontId="13" fillId="0" borderId="36" xfId="122" applyFont="1" applyBorder="1" applyAlignment="1">
      <alignment horizontal="center"/>
    </xf>
    <xf numFmtId="0" fontId="13" fillId="0" borderId="61" xfId="122" applyFont="1" applyFill="1" applyBorder="1" applyAlignment="1">
      <alignment horizontal="center"/>
    </xf>
    <xf numFmtId="0" fontId="13" fillId="0" borderId="0" xfId="122" applyFont="1" applyFill="1" applyBorder="1" applyAlignment="1">
      <alignment horizontal="center"/>
    </xf>
    <xf numFmtId="0" fontId="13" fillId="0" borderId="14" xfId="122" applyFont="1" applyFill="1" applyBorder="1" applyAlignment="1">
      <alignment horizontal="center"/>
    </xf>
    <xf numFmtId="0" fontId="13" fillId="0" borderId="35" xfId="0" applyFont="1" applyBorder="1" applyAlignment="1">
      <alignment horizontal="center"/>
    </xf>
    <xf numFmtId="0" fontId="13" fillId="0" borderId="32" xfId="0" applyFont="1" applyBorder="1" applyAlignment="1">
      <alignment horizontal="center"/>
    </xf>
    <xf numFmtId="0" fontId="13" fillId="0" borderId="36" xfId="0" applyFont="1" applyBorder="1" applyAlignment="1">
      <alignment horizontal="center"/>
    </xf>
    <xf numFmtId="0" fontId="13" fillId="0" borderId="35" xfId="0" applyFont="1" applyFill="1" applyBorder="1" applyAlignment="1">
      <alignment horizontal="center"/>
    </xf>
    <xf numFmtId="0" fontId="13" fillId="0" borderId="32" xfId="0" applyFont="1" applyFill="1" applyBorder="1" applyAlignment="1">
      <alignment horizontal="center"/>
    </xf>
    <xf numFmtId="0" fontId="13" fillId="0" borderId="36" xfId="0" applyFont="1" applyFill="1" applyBorder="1" applyAlignment="1">
      <alignment horizontal="center"/>
    </xf>
    <xf numFmtId="0" fontId="13" fillId="0" borderId="18" xfId="0" applyFont="1" applyFill="1" applyBorder="1" applyAlignment="1">
      <alignment horizontal="center"/>
    </xf>
    <xf numFmtId="0" fontId="13" fillId="0" borderId="69" xfId="0" applyFont="1" applyFill="1" applyBorder="1" applyAlignment="1">
      <alignment horizontal="center"/>
    </xf>
    <xf numFmtId="0" fontId="13" fillId="0" borderId="16" xfId="0" applyFont="1" applyFill="1" applyBorder="1" applyAlignment="1">
      <alignment horizontal="center"/>
    </xf>
    <xf numFmtId="0" fontId="15" fillId="0" borderId="35" xfId="0" applyFont="1" applyFill="1" applyBorder="1" applyAlignment="1">
      <alignment horizontal="center"/>
    </xf>
    <xf numFmtId="0" fontId="15" fillId="0" borderId="32" xfId="0" applyFont="1" applyFill="1" applyBorder="1" applyAlignment="1">
      <alignment horizontal="center"/>
    </xf>
    <xf numFmtId="0" fontId="15" fillId="0" borderId="36" xfId="0" applyFont="1" applyFill="1" applyBorder="1" applyAlignment="1">
      <alignment horizontal="center"/>
    </xf>
    <xf numFmtId="0" fontId="15" fillId="0" borderId="35" xfId="0" applyFont="1" applyBorder="1" applyAlignment="1">
      <alignment horizontal="center"/>
    </xf>
    <xf numFmtId="0" fontId="15" fillId="0" borderId="32" xfId="0" applyFont="1" applyBorder="1" applyAlignment="1">
      <alignment horizontal="center"/>
    </xf>
    <xf numFmtId="0" fontId="15" fillId="0" borderId="36" xfId="0" applyFont="1" applyBorder="1" applyAlignment="1">
      <alignment horizontal="center"/>
    </xf>
    <xf numFmtId="0" fontId="13" fillId="0" borderId="22" xfId="0" applyFont="1" applyFill="1" applyBorder="1" applyAlignment="1">
      <alignment horizontal="center"/>
    </xf>
    <xf numFmtId="0" fontId="13" fillId="0" borderId="41" xfId="0" applyFont="1" applyFill="1" applyBorder="1" applyAlignment="1">
      <alignment horizontal="center"/>
    </xf>
    <xf numFmtId="0" fontId="13" fillId="0" borderId="79" xfId="0" applyFont="1" applyFill="1" applyBorder="1" applyAlignment="1">
      <alignment horizontal="center"/>
    </xf>
    <xf numFmtId="0" fontId="30" fillId="0" borderId="0" xfId="0" applyFont="1" applyAlignment="1">
      <alignment horizontal="center"/>
    </xf>
    <xf numFmtId="0" fontId="74" fillId="0" borderId="0" xfId="0" applyFont="1" applyBorder="1" applyAlignment="1">
      <alignment horizontal="center"/>
    </xf>
    <xf numFmtId="0" fontId="7" fillId="0" borderId="0" xfId="122" applyFont="1" applyAlignment="1">
      <alignment horizontal="center"/>
    </xf>
    <xf numFmtId="0" fontId="22" fillId="42" borderId="25" xfId="0" applyFont="1" applyFill="1" applyBorder="1" applyAlignment="1">
      <alignment horizontal="center" wrapText="1"/>
    </xf>
    <xf numFmtId="0" fontId="10" fillId="0" borderId="25" xfId="0" applyFont="1" applyBorder="1" applyAlignment="1">
      <alignment horizontal="center" wrapText="1"/>
    </xf>
    <xf numFmtId="0" fontId="22" fillId="42" borderId="32" xfId="0" applyFont="1" applyFill="1" applyBorder="1" applyAlignment="1">
      <alignment horizontal="center" wrapText="1"/>
    </xf>
    <xf numFmtId="0" fontId="10" fillId="0" borderId="32" xfId="0" applyFont="1" applyBorder="1" applyAlignment="1">
      <alignment horizontal="center" wrapText="1"/>
    </xf>
    <xf numFmtId="0" fontId="114" fillId="42" borderId="30" xfId="0" applyFont="1" applyFill="1" applyBorder="1" applyAlignment="1">
      <alignment horizontal="center"/>
    </xf>
    <xf numFmtId="0" fontId="114" fillId="42" borderId="29" xfId="0" applyFont="1" applyFill="1" applyBorder="1" applyAlignment="1">
      <alignment horizontal="center"/>
    </xf>
    <xf numFmtId="0" fontId="114" fillId="42" borderId="46" xfId="0" applyFont="1" applyFill="1" applyBorder="1" applyAlignment="1">
      <alignment horizontal="center"/>
    </xf>
    <xf numFmtId="0" fontId="0" fillId="0" borderId="30" xfId="0" applyBorder="1" applyAlignment="1">
      <alignment horizontal="center"/>
    </xf>
    <xf numFmtId="0" fontId="0" fillId="0" borderId="29" xfId="0" applyBorder="1" applyAlignment="1">
      <alignment horizontal="center"/>
    </xf>
    <xf numFmtId="0" fontId="0" fillId="0" borderId="46" xfId="0" applyBorder="1" applyAlignment="1">
      <alignment horizontal="center"/>
    </xf>
    <xf numFmtId="0" fontId="78" fillId="0" borderId="14" xfId="122" applyFont="1" applyBorder="1" applyAlignment="1">
      <alignment horizontal="center" vertical="top" wrapText="1"/>
    </xf>
    <xf numFmtId="195" fontId="78" fillId="0" borderId="13" xfId="122" applyNumberFormat="1" applyFont="1" applyBorder="1" applyAlignment="1">
      <alignment horizontal="center" vertical="top" wrapText="1"/>
    </xf>
    <xf numFmtId="6" fontId="78" fillId="0" borderId="13" xfId="122" applyNumberFormat="1" applyFont="1" applyBorder="1" applyAlignment="1">
      <alignment horizontal="center" vertical="top" wrapText="1"/>
    </xf>
    <xf numFmtId="0" fontId="14" fillId="0" borderId="0" xfId="122" applyFont="1" applyAlignment="1">
      <alignment horizontal="left"/>
    </xf>
    <xf numFmtId="0" fontId="79" fillId="0" borderId="0" xfId="122" applyFont="1" applyBorder="1" applyAlignment="1">
      <alignment horizontal="center" vertical="top" wrapText="1"/>
    </xf>
    <xf numFmtId="0" fontId="79" fillId="0" borderId="26" xfId="122" applyFont="1" applyBorder="1" applyAlignment="1">
      <alignment horizontal="center" vertical="center" wrapText="1"/>
    </xf>
    <xf numFmtId="0" fontId="79" fillId="0" borderId="24" xfId="122" applyFont="1" applyBorder="1" applyAlignment="1">
      <alignment horizontal="center" vertical="center" wrapText="1"/>
    </xf>
    <xf numFmtId="0" fontId="79" fillId="0" borderId="19" xfId="122" applyFont="1" applyBorder="1" applyAlignment="1">
      <alignment horizontal="center" vertical="center" wrapText="1"/>
    </xf>
    <xf numFmtId="0" fontId="79" fillId="0" borderId="20" xfId="122" applyFont="1" applyBorder="1" applyAlignment="1">
      <alignment horizontal="center" vertical="center" wrapText="1"/>
    </xf>
    <xf numFmtId="0" fontId="79" fillId="0" borderId="32" xfId="122" applyFont="1" applyBorder="1" applyAlignment="1">
      <alignment horizontal="center" vertical="top" wrapText="1"/>
    </xf>
    <xf numFmtId="0" fontId="79" fillId="0" borderId="36" xfId="122" applyFont="1" applyBorder="1" applyAlignment="1">
      <alignment horizontal="center" vertical="top" wrapText="1"/>
    </xf>
    <xf numFmtId="0" fontId="79" fillId="0" borderId="26" xfId="122" applyFont="1" applyBorder="1" applyAlignment="1">
      <alignment horizontal="center" vertical="top" wrapText="1"/>
    </xf>
    <xf numFmtId="0" fontId="79" fillId="0" borderId="24" xfId="122" applyFont="1" applyBorder="1" applyAlignment="1">
      <alignment horizontal="center" vertical="top" wrapText="1"/>
    </xf>
    <xf numFmtId="0" fontId="79" fillId="0" borderId="19" xfId="122" applyFont="1" applyBorder="1" applyAlignment="1">
      <alignment horizontal="center" vertical="top" wrapText="1"/>
    </xf>
    <xf numFmtId="0" fontId="79" fillId="0" borderId="20" xfId="122" applyFont="1" applyBorder="1" applyAlignment="1">
      <alignment horizontal="center" vertical="top" wrapText="1"/>
    </xf>
    <xf numFmtId="0" fontId="78" fillId="0" borderId="13" xfId="122" applyFont="1" applyBorder="1" applyAlignment="1">
      <alignment horizontal="center" vertical="top" wrapText="1"/>
    </xf>
    <xf numFmtId="0" fontId="78" fillId="0" borderId="35" xfId="122" applyFont="1" applyBorder="1" applyAlignment="1">
      <alignment horizontal="center" vertical="center" wrapText="1"/>
    </xf>
    <xf numFmtId="0" fontId="78" fillId="0" borderId="36" xfId="122" applyFont="1" applyBorder="1" applyAlignment="1">
      <alignment horizontal="center" vertical="center" wrapText="1"/>
    </xf>
    <xf numFmtId="0" fontId="86" fillId="0" borderId="0" xfId="122" applyFont="1" applyFill="1" applyAlignment="1">
      <alignment horizontal="center"/>
    </xf>
    <xf numFmtId="0" fontId="15" fillId="0" borderId="0" xfId="122" applyFont="1" applyFill="1" applyAlignment="1">
      <alignment horizontal="center"/>
    </xf>
    <xf numFmtId="0" fontId="31" fillId="0" borderId="0" xfId="122" applyFont="1" applyAlignment="1">
      <alignment horizontal="left"/>
    </xf>
    <xf numFmtId="0" fontId="98" fillId="0" borderId="0" xfId="179" applyFont="1" applyAlignment="1">
      <alignment horizontal="left" vertical="center" wrapText="1"/>
    </xf>
    <xf numFmtId="0" fontId="42" fillId="0" borderId="0" xfId="0" quotePrefix="1" applyFont="1" applyAlignment="1">
      <alignment horizontal="center" vertical="center"/>
    </xf>
    <xf numFmtId="0" fontId="42" fillId="0" borderId="0" xfId="0" applyFont="1" applyAlignment="1">
      <alignment horizontal="center" wrapText="1"/>
    </xf>
    <xf numFmtId="0" fontId="111" fillId="48" borderId="11" xfId="0" applyFont="1" applyFill="1" applyBorder="1" applyAlignment="1">
      <alignment horizontal="center" vertical="center" wrapText="1"/>
    </xf>
    <xf numFmtId="0" fontId="111" fillId="48" borderId="11" xfId="0" applyFont="1" applyFill="1" applyBorder="1" applyAlignment="1">
      <alignment horizontal="center" vertical="top" wrapText="1"/>
    </xf>
    <xf numFmtId="0" fontId="42" fillId="0" borderId="35" xfId="0" applyFont="1" applyBorder="1" applyAlignment="1">
      <alignment horizontal="center" vertical="top" wrapText="1"/>
    </xf>
    <xf numFmtId="0" fontId="42" fillId="0" borderId="32" xfId="0" applyFont="1" applyBorder="1" applyAlignment="1">
      <alignment horizontal="center" vertical="top" wrapText="1"/>
    </xf>
    <xf numFmtId="0" fontId="42" fillId="0" borderId="36" xfId="0" applyFont="1" applyBorder="1" applyAlignment="1">
      <alignment horizontal="center" vertical="top" wrapText="1"/>
    </xf>
    <xf numFmtId="0" fontId="111" fillId="48" borderId="26" xfId="0" applyFont="1" applyFill="1" applyBorder="1" applyAlignment="1">
      <alignment horizontal="center" vertical="center" wrapText="1"/>
    </xf>
    <xf numFmtId="0" fontId="111" fillId="48" borderId="24" xfId="0" applyFont="1" applyFill="1" applyBorder="1" applyAlignment="1">
      <alignment horizontal="center" vertical="center" wrapText="1"/>
    </xf>
    <xf numFmtId="0" fontId="111" fillId="48" borderId="19" xfId="0" applyFont="1" applyFill="1" applyBorder="1" applyAlignment="1">
      <alignment horizontal="center" vertical="center" wrapText="1"/>
    </xf>
    <xf numFmtId="0" fontId="111" fillId="48" borderId="20" xfId="0" applyFont="1" applyFill="1" applyBorder="1" applyAlignment="1">
      <alignment horizontal="center" vertical="center" wrapText="1"/>
    </xf>
    <xf numFmtId="0" fontId="111" fillId="48" borderId="12" xfId="0" applyFont="1" applyFill="1" applyBorder="1" applyAlignment="1">
      <alignment horizontal="center" vertical="center" wrapText="1"/>
    </xf>
    <xf numFmtId="0" fontId="111" fillId="48" borderId="15" xfId="0" applyFont="1" applyFill="1" applyBorder="1" applyAlignment="1">
      <alignment horizontal="center" vertical="center" wrapText="1"/>
    </xf>
    <xf numFmtId="49" fontId="111" fillId="48" borderId="12" xfId="0" applyNumberFormat="1" applyFont="1" applyFill="1" applyBorder="1" applyAlignment="1">
      <alignment horizontal="center" vertical="center" wrapText="1"/>
    </xf>
    <xf numFmtId="49" fontId="111" fillId="48" borderId="15" xfId="0" applyNumberFormat="1" applyFont="1" applyFill="1" applyBorder="1" applyAlignment="1">
      <alignment horizontal="center" vertical="center" wrapText="1"/>
    </xf>
    <xf numFmtId="0" fontId="112" fillId="48" borderId="12" xfId="0" applyFont="1" applyFill="1" applyBorder="1" applyAlignment="1">
      <alignment horizontal="center" vertical="top" wrapText="1"/>
    </xf>
    <xf numFmtId="0" fontId="112" fillId="48" borderId="15" xfId="0" applyFont="1" applyFill="1" applyBorder="1" applyAlignment="1">
      <alignment horizontal="center" vertical="top" wrapText="1"/>
    </xf>
    <xf numFmtId="169" fontId="112" fillId="48" borderId="12" xfId="0" applyNumberFormat="1" applyFont="1" applyFill="1" applyBorder="1" applyAlignment="1">
      <alignment horizontal="center" vertical="top" wrapText="1"/>
    </xf>
    <xf numFmtId="169" fontId="112" fillId="48" borderId="15" xfId="0" applyNumberFormat="1" applyFont="1" applyFill="1" applyBorder="1" applyAlignment="1">
      <alignment horizontal="center" vertical="top" wrapText="1"/>
    </xf>
    <xf numFmtId="0" fontId="98" fillId="0" borderId="12" xfId="0" applyFont="1" applyBorder="1" applyAlignment="1">
      <alignment horizontal="center" vertical="center" wrapText="1"/>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169" fontId="42" fillId="0" borderId="12" xfId="0" applyNumberFormat="1" applyFont="1" applyBorder="1" applyAlignment="1">
      <alignment horizontal="center" vertical="center" wrapText="1"/>
    </xf>
    <xf numFmtId="169" fontId="42" fillId="0" borderId="13" xfId="0" applyNumberFormat="1" applyFont="1" applyBorder="1" applyAlignment="1">
      <alignment horizontal="center" vertical="center" wrapText="1"/>
    </xf>
    <xf numFmtId="169" fontId="42" fillId="0" borderId="15" xfId="0" applyNumberFormat="1" applyFont="1" applyBorder="1" applyAlignment="1">
      <alignment horizontal="center" vertical="center" wrapText="1"/>
    </xf>
    <xf numFmtId="0" fontId="42" fillId="0" borderId="26" xfId="0" applyFont="1" applyBorder="1" applyAlignment="1">
      <alignment horizontal="center"/>
    </xf>
    <xf numFmtId="0" fontId="42" fillId="0" borderId="25" xfId="0" applyFont="1" applyBorder="1" applyAlignment="1">
      <alignment horizontal="center"/>
    </xf>
    <xf numFmtId="0" fontId="42" fillId="0" borderId="24" xfId="0" applyFont="1" applyBorder="1" applyAlignment="1">
      <alignment horizontal="center"/>
    </xf>
    <xf numFmtId="0" fontId="42" fillId="0" borderId="19" xfId="0" applyFont="1" applyBorder="1" applyAlignment="1">
      <alignment horizontal="center"/>
    </xf>
    <xf numFmtId="0" fontId="42" fillId="0" borderId="21" xfId="0" applyFont="1" applyBorder="1" applyAlignment="1">
      <alignment horizontal="center"/>
    </xf>
    <xf numFmtId="0" fontId="42" fillId="0" borderId="20" xfId="0" applyFont="1" applyBorder="1" applyAlignment="1">
      <alignment horizontal="center"/>
    </xf>
    <xf numFmtId="0" fontId="98" fillId="0" borderId="12" xfId="0" applyFont="1" applyBorder="1" applyAlignment="1">
      <alignment horizontal="center" vertical="top" wrapText="1"/>
    </xf>
    <xf numFmtId="0" fontId="98" fillId="0" borderId="13" xfId="0" applyFont="1" applyBorder="1" applyAlignment="1">
      <alignment horizontal="center" vertical="top" wrapText="1"/>
    </xf>
    <xf numFmtId="0" fontId="98" fillId="0" borderId="15" xfId="0" applyFont="1" applyBorder="1" applyAlignment="1">
      <alignment horizontal="center" vertical="top" wrapText="1"/>
    </xf>
    <xf numFmtId="164" fontId="98" fillId="0" borderId="35" xfId="82" applyNumberFormat="1" applyFont="1" applyBorder="1" applyAlignment="1">
      <alignment horizontal="center" vertical="center" wrapText="1"/>
    </xf>
    <xf numFmtId="164" fontId="98" fillId="0" borderId="36" xfId="82" applyNumberFormat="1" applyFont="1" applyBorder="1" applyAlignment="1">
      <alignment horizontal="center" vertical="center" wrapText="1"/>
    </xf>
    <xf numFmtId="169" fontId="42" fillId="0" borderId="12" xfId="0" applyNumberFormat="1" applyFont="1" applyBorder="1" applyAlignment="1">
      <alignment horizontal="center" vertical="top" wrapText="1"/>
    </xf>
    <xf numFmtId="169" fontId="42" fillId="0" borderId="13" xfId="0" applyNumberFormat="1" applyFont="1" applyBorder="1" applyAlignment="1">
      <alignment horizontal="center" vertical="top" wrapText="1"/>
    </xf>
    <xf numFmtId="169" fontId="42" fillId="0" borderId="15" xfId="0" applyNumberFormat="1" applyFont="1" applyBorder="1" applyAlignment="1">
      <alignment horizontal="center" vertical="top" wrapText="1"/>
    </xf>
    <xf numFmtId="164" fontId="42" fillId="0" borderId="35" xfId="0" applyNumberFormat="1" applyFont="1" applyBorder="1" applyAlignment="1">
      <alignment horizontal="center" vertical="center" wrapText="1"/>
    </xf>
    <xf numFmtId="164" fontId="42" fillId="0" borderId="36" xfId="0" applyNumberFormat="1" applyFont="1" applyBorder="1" applyAlignment="1">
      <alignment horizontal="center" vertical="center" wrapText="1"/>
    </xf>
    <xf numFmtId="0" fontId="98" fillId="0" borderId="35" xfId="0" applyFont="1" applyBorder="1" applyAlignment="1">
      <alignment horizontal="center" vertical="center" wrapText="1"/>
    </xf>
    <xf numFmtId="0" fontId="98" fillId="0" borderId="32" xfId="0" applyFont="1" applyBorder="1" applyAlignment="1">
      <alignment horizontal="center" vertical="center" wrapText="1"/>
    </xf>
    <xf numFmtId="0" fontId="98" fillId="0" borderId="36" xfId="0" applyFont="1" applyBorder="1" applyAlignment="1">
      <alignment horizontal="center" vertical="center" wrapText="1"/>
    </xf>
    <xf numFmtId="164" fontId="98" fillId="0" borderId="35" xfId="0" applyNumberFormat="1" applyFont="1" applyBorder="1" applyAlignment="1">
      <alignment horizontal="center" vertical="center" wrapText="1"/>
    </xf>
    <xf numFmtId="164" fontId="98" fillId="0" borderId="32" xfId="0" applyNumberFormat="1" applyFont="1" applyBorder="1" applyAlignment="1">
      <alignment horizontal="center" vertical="center" wrapText="1"/>
    </xf>
    <xf numFmtId="164" fontId="98" fillId="0" borderId="36" xfId="0" applyNumberFormat="1" applyFont="1" applyBorder="1" applyAlignment="1">
      <alignment horizontal="center" vertical="center" wrapText="1"/>
    </xf>
    <xf numFmtId="199" fontId="98" fillId="0" borderId="12" xfId="0" applyNumberFormat="1" applyFont="1" applyBorder="1" applyAlignment="1">
      <alignment horizontal="center" vertical="center" wrapText="1"/>
    </xf>
    <xf numFmtId="199" fontId="98" fillId="0" borderId="13" xfId="0" applyNumberFormat="1" applyFont="1" applyBorder="1" applyAlignment="1">
      <alignment horizontal="center" vertical="center" wrapText="1"/>
    </xf>
    <xf numFmtId="199" fontId="98" fillId="0" borderId="15" xfId="0" applyNumberFormat="1" applyFont="1" applyBorder="1" applyAlignment="1">
      <alignment horizontal="center" vertical="center" wrapText="1"/>
    </xf>
    <xf numFmtId="169" fontId="98" fillId="0" borderId="11" xfId="0" applyNumberFormat="1" applyFont="1" applyBorder="1" applyAlignment="1">
      <alignment horizontal="center" vertical="center" wrapText="1"/>
    </xf>
    <xf numFmtId="169" fontId="42" fillId="0" borderId="32" xfId="0" applyNumberFormat="1" applyFont="1" applyBorder="1" applyAlignment="1">
      <alignment horizontal="center" vertical="center" wrapText="1"/>
    </xf>
    <xf numFmtId="169" fontId="42" fillId="0" borderId="36" xfId="0" applyNumberFormat="1" applyFont="1" applyBorder="1" applyAlignment="1">
      <alignment horizontal="center" vertical="center" wrapText="1"/>
    </xf>
    <xf numFmtId="0" fontId="112" fillId="48" borderId="12" xfId="0" applyFont="1" applyFill="1" applyBorder="1" applyAlignment="1">
      <alignment horizontal="center" vertical="center" wrapText="1"/>
    </xf>
    <xf numFmtId="0" fontId="112" fillId="48" borderId="15" xfId="0" applyFont="1" applyFill="1" applyBorder="1" applyAlignment="1">
      <alignment horizontal="center" vertical="center" wrapText="1"/>
    </xf>
    <xf numFmtId="169" fontId="112" fillId="48" borderId="12" xfId="0" applyNumberFormat="1" applyFont="1" applyFill="1" applyBorder="1" applyAlignment="1">
      <alignment horizontal="center" vertical="center" wrapText="1"/>
    </xf>
    <xf numFmtId="169" fontId="112" fillId="48" borderId="15" xfId="0" applyNumberFormat="1" applyFont="1" applyFill="1" applyBorder="1" applyAlignment="1">
      <alignment horizontal="center" vertical="center" wrapText="1"/>
    </xf>
    <xf numFmtId="164" fontId="98" fillId="0" borderId="35" xfId="82" applyNumberFormat="1" applyFont="1" applyFill="1" applyBorder="1" applyAlignment="1">
      <alignment horizontal="left" vertical="center" wrapText="1"/>
    </xf>
    <xf numFmtId="164" fontId="98" fillId="0" borderId="36" xfId="82" applyNumberFormat="1" applyFont="1" applyFill="1" applyBorder="1" applyAlignment="1">
      <alignment horizontal="left" vertical="center" wrapText="1"/>
    </xf>
    <xf numFmtId="0" fontId="98" fillId="0" borderId="11" xfId="0" applyFont="1" applyBorder="1" applyAlignment="1">
      <alignment horizontal="center" vertical="center" wrapText="1"/>
    </xf>
    <xf numFmtId="164" fontId="42" fillId="0" borderId="35" xfId="0" applyNumberFormat="1" applyFont="1" applyBorder="1" applyAlignment="1">
      <alignment horizontal="left" vertical="center" wrapText="1"/>
    </xf>
    <xf numFmtId="164" fontId="42" fillId="0" borderId="36" xfId="0" applyNumberFormat="1" applyFont="1" applyBorder="1" applyAlignment="1">
      <alignment horizontal="left" vertical="center" wrapText="1"/>
    </xf>
    <xf numFmtId="0" fontId="98" fillId="0" borderId="12" xfId="0" applyFont="1" applyBorder="1" applyAlignment="1">
      <alignment horizontal="center"/>
    </xf>
    <xf numFmtId="0" fontId="98" fillId="0" borderId="15" xfId="0" applyFont="1" applyBorder="1" applyAlignment="1">
      <alignment horizontal="center"/>
    </xf>
    <xf numFmtId="169" fontId="42" fillId="0" borderId="35" xfId="0" applyNumberFormat="1" applyFont="1" applyBorder="1" applyAlignment="1">
      <alignment horizontal="center" vertical="center" wrapText="1"/>
    </xf>
    <xf numFmtId="0" fontId="98" fillId="0" borderId="35" xfId="0" applyFont="1" applyBorder="1" applyAlignment="1">
      <alignment horizontal="center" vertical="top" wrapText="1"/>
    </xf>
    <xf numFmtId="0" fontId="98" fillId="0" borderId="32" xfId="0" applyFont="1" applyBorder="1" applyAlignment="1">
      <alignment horizontal="center" vertical="top" wrapText="1"/>
    </xf>
    <xf numFmtId="0" fontId="98" fillId="0" borderId="36" xfId="0" applyFont="1" applyBorder="1" applyAlignment="1">
      <alignment horizontal="center" vertical="top" wrapText="1"/>
    </xf>
    <xf numFmtId="0" fontId="98" fillId="0" borderId="11" xfId="0" applyFont="1" applyBorder="1" applyAlignment="1">
      <alignment horizontal="center" vertical="center"/>
    </xf>
    <xf numFmtId="169" fontId="42" fillId="0" borderId="11" xfId="0" applyNumberFormat="1" applyFont="1" applyBorder="1" applyAlignment="1">
      <alignment horizontal="center" vertical="center" wrapText="1"/>
    </xf>
    <xf numFmtId="0" fontId="42" fillId="45" borderId="35" xfId="122" applyFont="1" applyFill="1" applyBorder="1" applyAlignment="1">
      <alignment horizontal="left" vertical="center" wrapText="1"/>
    </xf>
    <xf numFmtId="0" fontId="42" fillId="45" borderId="32" xfId="122" applyFont="1" applyFill="1" applyBorder="1" applyAlignment="1">
      <alignment horizontal="left" vertical="center" wrapText="1"/>
    </xf>
    <xf numFmtId="0" fontId="42" fillId="45" borderId="36" xfId="122" applyFont="1" applyFill="1" applyBorder="1" applyAlignment="1">
      <alignment horizontal="left" vertical="center" wrapText="1"/>
    </xf>
    <xf numFmtId="169" fontId="98" fillId="0" borderId="12" xfId="0" applyNumberFormat="1" applyFont="1" applyBorder="1" applyAlignment="1">
      <alignment horizontal="center" vertical="center" wrapText="1"/>
    </xf>
    <xf numFmtId="169" fontId="98" fillId="0" borderId="13" xfId="0" applyNumberFormat="1" applyFont="1" applyBorder="1" applyAlignment="1">
      <alignment horizontal="center" vertical="center" wrapText="1"/>
    </xf>
    <xf numFmtId="169" fontId="98" fillId="0" borderId="15" xfId="0" applyNumberFormat="1" applyFont="1" applyBorder="1" applyAlignment="1">
      <alignment horizontal="center" vertical="center" wrapText="1"/>
    </xf>
    <xf numFmtId="0" fontId="15" fillId="0" borderId="0" xfId="0" applyFont="1" applyFill="1" applyAlignment="1">
      <alignment horizontal="center"/>
    </xf>
    <xf numFmtId="0" fontId="4" fillId="0" borderId="0" xfId="0" applyFont="1" applyBorder="1"/>
    <xf numFmtId="0" fontId="98" fillId="0" borderId="0" xfId="179" applyFont="1" applyAlignment="1">
      <alignment horizontal="center" vertical="center" wrapText="1"/>
    </xf>
    <xf numFmtId="166" fontId="98" fillId="0" borderId="0" xfId="179" applyNumberFormat="1" applyFont="1" applyAlignment="1">
      <alignment horizontal="center" vertical="center" wrapText="1"/>
    </xf>
    <xf numFmtId="9" fontId="98" fillId="0" borderId="0" xfId="179" applyNumberFormat="1" applyFont="1" applyAlignment="1">
      <alignment horizontal="center" vertical="center" wrapText="1"/>
    </xf>
  </cellXfs>
  <cellStyles count="180">
    <cellStyle name="_x0013_" xfId="1" xr:uid="{00000000-0005-0000-0000-000000000000}"/>
    <cellStyle name="$/kW" xfId="2" xr:uid="{00000000-0005-0000-0000-000001000000}"/>
    <cellStyle name="$/kW 2" xfId="3" xr:uid="{00000000-0005-0000-0000-000002000000}"/>
    <cellStyle name="$/kWh" xfId="4" xr:uid="{00000000-0005-0000-0000-000003000000}"/>
    <cellStyle name="$/kWh 2" xfId="5" xr:uid="{00000000-0005-0000-0000-000004000000}"/>
    <cellStyle name="$/kW-yr" xfId="6" xr:uid="{00000000-0005-0000-0000-000005000000}"/>
    <cellStyle name="$/kW-yr 2" xfId="7" xr:uid="{00000000-0005-0000-0000-000006000000}"/>
    <cellStyle name="$/MWh" xfId="8" xr:uid="{00000000-0005-0000-0000-000007000000}"/>
    <cellStyle name="$/MWh 2" xfId="9" xr:uid="{00000000-0005-0000-0000-000008000000}"/>
    <cellStyle name="$M" xfId="10" xr:uid="{00000000-0005-0000-0000-000009000000}"/>
    <cellStyle name="$M 2" xfId="11" xr:uid="{00000000-0005-0000-0000-00000A000000}"/>
    <cellStyle name="20% - Accent1" xfId="12" builtinId="30" customBuiltin="1"/>
    <cellStyle name="20% - Accent1 2" xfId="13" xr:uid="{00000000-0005-0000-0000-00000C000000}"/>
    <cellStyle name="20% - Accent2" xfId="14" builtinId="34" customBuiltin="1"/>
    <cellStyle name="20% - Accent2 2" xfId="15" xr:uid="{00000000-0005-0000-0000-00000E000000}"/>
    <cellStyle name="20% - Accent3" xfId="16" builtinId="38" customBuiltin="1"/>
    <cellStyle name="20% - Accent3 2" xfId="17" xr:uid="{00000000-0005-0000-0000-000010000000}"/>
    <cellStyle name="20% - Accent4" xfId="18" builtinId="42" customBuiltin="1"/>
    <cellStyle name="20% - Accent4 2" xfId="19" xr:uid="{00000000-0005-0000-0000-000012000000}"/>
    <cellStyle name="20% - Accent5" xfId="20" builtinId="46" customBuiltin="1"/>
    <cellStyle name="20% - Accent5 2" xfId="21" xr:uid="{00000000-0005-0000-0000-000014000000}"/>
    <cellStyle name="20% - Accent6" xfId="22" builtinId="50" customBuiltin="1"/>
    <cellStyle name="20% - Accent6 2" xfId="23" xr:uid="{00000000-0005-0000-0000-000016000000}"/>
    <cellStyle name="40% - Accent1" xfId="24" builtinId="31" customBuiltin="1"/>
    <cellStyle name="40% - Accent1 2" xfId="25" xr:uid="{00000000-0005-0000-0000-000018000000}"/>
    <cellStyle name="40% - Accent2" xfId="26" builtinId="35" customBuiltin="1"/>
    <cellStyle name="40% - Accent2 2" xfId="27" xr:uid="{00000000-0005-0000-0000-00001A000000}"/>
    <cellStyle name="40% - Accent3" xfId="28" builtinId="39" customBuiltin="1"/>
    <cellStyle name="40% - Accent3 2" xfId="29" xr:uid="{00000000-0005-0000-0000-00001C000000}"/>
    <cellStyle name="40% - Accent4" xfId="30" builtinId="43" customBuiltin="1"/>
    <cellStyle name="40% - Accent4 2" xfId="31" xr:uid="{00000000-0005-0000-0000-00001E000000}"/>
    <cellStyle name="40% - Accent5" xfId="32" builtinId="47" customBuiltin="1"/>
    <cellStyle name="40% - Accent5 2" xfId="33" xr:uid="{00000000-0005-0000-0000-000020000000}"/>
    <cellStyle name="40% - Accent6" xfId="34" builtinId="51" customBuiltin="1"/>
    <cellStyle name="40% - Accent6 2" xfId="35" xr:uid="{00000000-0005-0000-0000-000022000000}"/>
    <cellStyle name="60% - Accent1" xfId="36" builtinId="32" customBuiltin="1"/>
    <cellStyle name="60% - Accent1 2" xfId="37" xr:uid="{00000000-0005-0000-0000-000024000000}"/>
    <cellStyle name="60% - Accent2" xfId="38" builtinId="36" customBuiltin="1"/>
    <cellStyle name="60% - Accent2 2" xfId="39" xr:uid="{00000000-0005-0000-0000-000026000000}"/>
    <cellStyle name="60% - Accent3" xfId="40" builtinId="40" customBuiltin="1"/>
    <cellStyle name="60% - Accent3 2" xfId="41" xr:uid="{00000000-0005-0000-0000-000028000000}"/>
    <cellStyle name="60% - Accent4" xfId="42" builtinId="44" customBuiltin="1"/>
    <cellStyle name="60% - Accent4 2" xfId="43" xr:uid="{00000000-0005-0000-0000-00002A000000}"/>
    <cellStyle name="60% - Accent5" xfId="44" builtinId="48" customBuiltin="1"/>
    <cellStyle name="60% - Accent5 2" xfId="45" xr:uid="{00000000-0005-0000-0000-00002C000000}"/>
    <cellStyle name="60% - Accent6" xfId="46" builtinId="52" customBuiltin="1"/>
    <cellStyle name="60% - Accent6 2" xfId="47" xr:uid="{00000000-0005-0000-0000-00002E000000}"/>
    <cellStyle name="Accent1" xfId="48" builtinId="29" customBuiltin="1"/>
    <cellStyle name="Accent1 2" xfId="49" xr:uid="{00000000-0005-0000-0000-000030000000}"/>
    <cellStyle name="Accent2" xfId="50" builtinId="33" customBuiltin="1"/>
    <cellStyle name="Accent2 2" xfId="51" xr:uid="{00000000-0005-0000-0000-000032000000}"/>
    <cellStyle name="Accent3" xfId="52" builtinId="37" customBuiltin="1"/>
    <cellStyle name="Accent3 2" xfId="53" xr:uid="{00000000-0005-0000-0000-000034000000}"/>
    <cellStyle name="Accent4" xfId="54" builtinId="41" customBuiltin="1"/>
    <cellStyle name="Accent4 2" xfId="55" xr:uid="{00000000-0005-0000-0000-000036000000}"/>
    <cellStyle name="Accent5" xfId="56" builtinId="45" customBuiltin="1"/>
    <cellStyle name="Accent5 2" xfId="57" xr:uid="{00000000-0005-0000-0000-000038000000}"/>
    <cellStyle name="Accent6" xfId="58" builtinId="49" customBuiltin="1"/>
    <cellStyle name="Accent6 2" xfId="59" xr:uid="{00000000-0005-0000-0000-00003A000000}"/>
    <cellStyle name="Bad" xfId="60" builtinId="27" customBuiltin="1"/>
    <cellStyle name="Bad 2" xfId="61" xr:uid="{00000000-0005-0000-0000-00003C000000}"/>
    <cellStyle name="Bad 3" xfId="62" xr:uid="{00000000-0005-0000-0000-00003D000000}"/>
    <cellStyle name="Calculation" xfId="63" builtinId="22" customBuiltin="1"/>
    <cellStyle name="Calculation 2" xfId="64" xr:uid="{00000000-0005-0000-0000-00003F000000}"/>
    <cellStyle name="cents" xfId="65" xr:uid="{00000000-0005-0000-0000-000040000000}"/>
    <cellStyle name="cents 2" xfId="66" xr:uid="{00000000-0005-0000-0000-000041000000}"/>
    <cellStyle name="Check Cell" xfId="67" builtinId="23" customBuiltin="1"/>
    <cellStyle name="Check Cell 2" xfId="68" xr:uid="{00000000-0005-0000-0000-000043000000}"/>
    <cellStyle name="Comma" xfId="69" builtinId="3"/>
    <cellStyle name="Comma [0] 2" xfId="70" xr:uid="{00000000-0005-0000-0000-000045000000}"/>
    <cellStyle name="Comma 10" xfId="71" xr:uid="{00000000-0005-0000-0000-000046000000}"/>
    <cellStyle name="Comma 11" xfId="72" xr:uid="{00000000-0005-0000-0000-000047000000}"/>
    <cellStyle name="Comma 12" xfId="73" xr:uid="{00000000-0005-0000-0000-000048000000}"/>
    <cellStyle name="Comma 13" xfId="74" xr:uid="{00000000-0005-0000-0000-000049000000}"/>
    <cellStyle name="Comma 14" xfId="75" xr:uid="{00000000-0005-0000-0000-00004A000000}"/>
    <cellStyle name="Comma 15" xfId="76" xr:uid="{00000000-0005-0000-0000-00004B000000}"/>
    <cellStyle name="Comma 16" xfId="77" xr:uid="{00000000-0005-0000-0000-00004C000000}"/>
    <cellStyle name="Comma 17" xfId="78" xr:uid="{00000000-0005-0000-0000-00004D000000}"/>
    <cellStyle name="Comma 18" xfId="79" xr:uid="{00000000-0005-0000-0000-00004E000000}"/>
    <cellStyle name="Comma 19" xfId="80" xr:uid="{00000000-0005-0000-0000-00004F000000}"/>
    <cellStyle name="Comma 2" xfId="81" xr:uid="{00000000-0005-0000-0000-000050000000}"/>
    <cellStyle name="Comma 2 2" xfId="82" xr:uid="{00000000-0005-0000-0000-000051000000}"/>
    <cellStyle name="Comma 2 3" xfId="83" xr:uid="{00000000-0005-0000-0000-000052000000}"/>
    <cellStyle name="Comma 20" xfId="84" xr:uid="{00000000-0005-0000-0000-000053000000}"/>
    <cellStyle name="Comma 21" xfId="85" xr:uid="{00000000-0005-0000-0000-000054000000}"/>
    <cellStyle name="Comma 3" xfId="86" xr:uid="{00000000-0005-0000-0000-000055000000}"/>
    <cellStyle name="Comma 4" xfId="87" xr:uid="{00000000-0005-0000-0000-000056000000}"/>
    <cellStyle name="Comma 5" xfId="88" xr:uid="{00000000-0005-0000-0000-000057000000}"/>
    <cellStyle name="Comma 6" xfId="89" xr:uid="{00000000-0005-0000-0000-000058000000}"/>
    <cellStyle name="Comma 7" xfId="90" xr:uid="{00000000-0005-0000-0000-000059000000}"/>
    <cellStyle name="Comma 8" xfId="91" xr:uid="{00000000-0005-0000-0000-00005A000000}"/>
    <cellStyle name="Comma 9" xfId="92" xr:uid="{00000000-0005-0000-0000-00005B000000}"/>
    <cellStyle name="Currency" xfId="93" builtinId="4"/>
    <cellStyle name="Currency 2" xfId="94" xr:uid="{00000000-0005-0000-0000-00005D000000}"/>
    <cellStyle name="Currency 2 2" xfId="95" xr:uid="{00000000-0005-0000-0000-00005E000000}"/>
    <cellStyle name="Currency 2 3" xfId="96" xr:uid="{00000000-0005-0000-0000-00005F000000}"/>
    <cellStyle name="Currency 3" xfId="97" xr:uid="{00000000-0005-0000-0000-000060000000}"/>
    <cellStyle name="Currency 3 2" xfId="98" xr:uid="{00000000-0005-0000-0000-000061000000}"/>
    <cellStyle name="Currency 4" xfId="99" xr:uid="{00000000-0005-0000-0000-000062000000}"/>
    <cellStyle name="Currency 5" xfId="100" xr:uid="{00000000-0005-0000-0000-000063000000}"/>
    <cellStyle name="Currency 6" xfId="101" xr:uid="{00000000-0005-0000-0000-000064000000}"/>
    <cellStyle name="Explanatory Text" xfId="102" builtinId="53" customBuiltin="1"/>
    <cellStyle name="Explanatory Text 2" xfId="103" xr:uid="{00000000-0005-0000-0000-000066000000}"/>
    <cellStyle name="Good" xfId="104" builtinId="26" customBuiltin="1"/>
    <cellStyle name="Good 2" xfId="105" xr:uid="{00000000-0005-0000-0000-000068000000}"/>
    <cellStyle name="Heading 1" xfId="106" builtinId="16" customBuiltin="1"/>
    <cellStyle name="Heading 1 2" xfId="107" xr:uid="{00000000-0005-0000-0000-00006A000000}"/>
    <cellStyle name="Heading 2" xfId="108" builtinId="17" customBuiltin="1"/>
    <cellStyle name="Heading 2 2" xfId="109" xr:uid="{00000000-0005-0000-0000-00006C000000}"/>
    <cellStyle name="Heading 3" xfId="110" builtinId="18" customBuiltin="1"/>
    <cellStyle name="Heading 3 2" xfId="111" xr:uid="{00000000-0005-0000-0000-00006E000000}"/>
    <cellStyle name="Heading 4" xfId="112" builtinId="19" customBuiltin="1"/>
    <cellStyle name="Heading 4 2" xfId="113" xr:uid="{00000000-0005-0000-0000-000070000000}"/>
    <cellStyle name="Hyperlink 2" xfId="114" xr:uid="{00000000-0005-0000-0000-000071000000}"/>
    <cellStyle name="Hyperlink 3" xfId="115" xr:uid="{00000000-0005-0000-0000-000072000000}"/>
    <cellStyle name="Input" xfId="116" builtinId="20" customBuiltin="1"/>
    <cellStyle name="Input 2" xfId="117" xr:uid="{00000000-0005-0000-0000-000074000000}"/>
    <cellStyle name="Linked Cell" xfId="118" builtinId="24" customBuiltin="1"/>
    <cellStyle name="Linked Cell 2" xfId="119" xr:uid="{00000000-0005-0000-0000-000076000000}"/>
    <cellStyle name="Neutral" xfId="120" builtinId="28" customBuiltin="1"/>
    <cellStyle name="Neutral 2" xfId="121" xr:uid="{00000000-0005-0000-0000-000078000000}"/>
    <cellStyle name="Normal" xfId="0" builtinId="0"/>
    <cellStyle name="Normal 10" xfId="179" xr:uid="{81887D4A-B46A-42A2-B5A6-CC5E59858CD7}"/>
    <cellStyle name="Normal 2" xfId="122" xr:uid="{00000000-0005-0000-0000-00007A000000}"/>
    <cellStyle name="Normal 2 2" xfId="123" xr:uid="{00000000-0005-0000-0000-00007B000000}"/>
    <cellStyle name="Normal 2 3" xfId="124" xr:uid="{00000000-0005-0000-0000-00007C000000}"/>
    <cellStyle name="Normal 2 3 2" xfId="125" xr:uid="{00000000-0005-0000-0000-00007D000000}"/>
    <cellStyle name="Normal 2 4" xfId="126" xr:uid="{00000000-0005-0000-0000-00007E000000}"/>
    <cellStyle name="Normal 3" xfId="127" xr:uid="{00000000-0005-0000-0000-00007F000000}"/>
    <cellStyle name="Normal 3 2" xfId="128" xr:uid="{00000000-0005-0000-0000-000080000000}"/>
    <cellStyle name="Normal 3 3" xfId="129" xr:uid="{00000000-0005-0000-0000-000081000000}"/>
    <cellStyle name="Normal 4" xfId="130" xr:uid="{00000000-0005-0000-0000-000082000000}"/>
    <cellStyle name="Normal 4 2" xfId="131" xr:uid="{00000000-0005-0000-0000-000083000000}"/>
    <cellStyle name="Normal 5" xfId="132" xr:uid="{00000000-0005-0000-0000-000084000000}"/>
    <cellStyle name="Normal 5 2" xfId="133" xr:uid="{00000000-0005-0000-0000-000085000000}"/>
    <cellStyle name="Normal 6" xfId="134" xr:uid="{00000000-0005-0000-0000-000086000000}"/>
    <cellStyle name="Normal 6 2" xfId="135" xr:uid="{00000000-0005-0000-0000-000087000000}"/>
    <cellStyle name="Normal 7" xfId="136" xr:uid="{00000000-0005-0000-0000-000088000000}"/>
    <cellStyle name="Normal 7 2" xfId="137" xr:uid="{00000000-0005-0000-0000-000089000000}"/>
    <cellStyle name="Normal 8" xfId="138" xr:uid="{00000000-0005-0000-0000-00008A000000}"/>
    <cellStyle name="Note" xfId="139" builtinId="10" customBuiltin="1"/>
    <cellStyle name="Note 2" xfId="140" xr:uid="{00000000-0005-0000-0000-00008C000000}"/>
    <cellStyle name="Note 2 2" xfId="141" xr:uid="{00000000-0005-0000-0000-00008D000000}"/>
    <cellStyle name="Note 2 2 2" xfId="142" xr:uid="{00000000-0005-0000-0000-00008E000000}"/>
    <cellStyle name="Note 2 2 3" xfId="143" xr:uid="{00000000-0005-0000-0000-00008F000000}"/>
    <cellStyle name="Note 2 3" xfId="144" xr:uid="{00000000-0005-0000-0000-000090000000}"/>
    <cellStyle name="Note 2 4" xfId="145" xr:uid="{00000000-0005-0000-0000-000091000000}"/>
    <cellStyle name="Note 3" xfId="146" xr:uid="{00000000-0005-0000-0000-000092000000}"/>
    <cellStyle name="Output" xfId="147" builtinId="21" customBuiltin="1"/>
    <cellStyle name="Output 2" xfId="148" xr:uid="{00000000-0005-0000-0000-000094000000}"/>
    <cellStyle name="Percent" xfId="149" builtinId="5"/>
    <cellStyle name="Percent 2" xfId="150" xr:uid="{00000000-0005-0000-0000-000096000000}"/>
    <cellStyle name="Percent 2 2" xfId="151" xr:uid="{00000000-0005-0000-0000-000097000000}"/>
    <cellStyle name="Percent 2 3" xfId="152" xr:uid="{00000000-0005-0000-0000-000098000000}"/>
    <cellStyle name="Percent 3" xfId="153" xr:uid="{00000000-0005-0000-0000-000099000000}"/>
    <cellStyle name="Percent 3 2" xfId="154" xr:uid="{00000000-0005-0000-0000-00009A000000}"/>
    <cellStyle name="Percent 4" xfId="155" xr:uid="{00000000-0005-0000-0000-00009B000000}"/>
    <cellStyle name="Percent 4 2" xfId="156" xr:uid="{00000000-0005-0000-0000-00009C000000}"/>
    <cellStyle name="Percent 4 3" xfId="157" xr:uid="{00000000-0005-0000-0000-00009D000000}"/>
    <cellStyle name="Percent 5" xfId="158" xr:uid="{00000000-0005-0000-0000-00009E000000}"/>
    <cellStyle name="Percent 6" xfId="159" xr:uid="{00000000-0005-0000-0000-00009F000000}"/>
    <cellStyle name="Percent 7" xfId="160" xr:uid="{00000000-0005-0000-0000-0000A0000000}"/>
    <cellStyle name="PSChar" xfId="161" xr:uid="{00000000-0005-0000-0000-0000A1000000}"/>
    <cellStyle name="SEM-BPS-input-on" xfId="162" xr:uid="{00000000-0005-0000-0000-0000A2000000}"/>
    <cellStyle name="Style 29" xfId="163" xr:uid="{00000000-0005-0000-0000-0000A3000000}"/>
    <cellStyle name="Style 29 2" xfId="164" xr:uid="{00000000-0005-0000-0000-0000A4000000}"/>
    <cellStyle name="Style 35" xfId="165" xr:uid="{00000000-0005-0000-0000-0000A5000000}"/>
    <cellStyle name="Style 35 2" xfId="166" xr:uid="{00000000-0005-0000-0000-0000A6000000}"/>
    <cellStyle name="Style 36" xfId="167" xr:uid="{00000000-0005-0000-0000-0000A7000000}"/>
    <cellStyle name="Style 36 2" xfId="168" xr:uid="{00000000-0005-0000-0000-0000A8000000}"/>
    <cellStyle name="Table" xfId="169" xr:uid="{00000000-0005-0000-0000-0000A9000000}"/>
    <cellStyle name="Title" xfId="170" builtinId="15" customBuiltin="1"/>
    <cellStyle name="Title 2" xfId="171" xr:uid="{00000000-0005-0000-0000-0000AB000000}"/>
    <cellStyle name="Total" xfId="172" builtinId="25" customBuiltin="1"/>
    <cellStyle name="Total 2" xfId="173" xr:uid="{00000000-0005-0000-0000-0000AD000000}"/>
    <cellStyle name="Warning Text" xfId="174" builtinId="11" customBuiltin="1"/>
    <cellStyle name="Warning Text 2" xfId="175" xr:uid="{00000000-0005-0000-0000-0000AF000000}"/>
    <cellStyle name="桁区切り [0.00]_NG price &amp; consumption-2007-06-01" xfId="176" xr:uid="{00000000-0005-0000-0000-0000B0000000}"/>
    <cellStyle name="桁区切り_NG price &amp; consumption-2007-06-01" xfId="177" xr:uid="{00000000-0005-0000-0000-0000B1000000}"/>
    <cellStyle name="標準_NG price &amp; consumption-2007-06-01" xfId="178" xr:uid="{00000000-0005-0000-0000-0000B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externalLink" Target="externalLinks/externalLink1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externalLink" Target="externalLinks/externalLink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1.xml"/><Relationship Id="rId187"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3.xml"/><Relationship Id="rId189" Type="http://schemas.openxmlformats.org/officeDocument/2006/relationships/externalLink" Target="externalLinks/externalLink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alcChain" Target="calcChain.xml"/><Relationship Id="rId190" Type="http://schemas.openxmlformats.org/officeDocument/2006/relationships/externalLink" Target="externalLinks/externalLink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a:t>Budget By Customer Class</a:t>
            </a:r>
          </a:p>
        </c:rich>
      </c:tx>
      <c:layout>
        <c:manualLayout>
          <c:xMode val="edge"/>
          <c:yMode val="edge"/>
          <c:x val="0.33800011525505419"/>
          <c:y val="3.1496062992125984E-2"/>
        </c:manualLayout>
      </c:layout>
      <c:overlay val="0"/>
      <c:spPr>
        <a:noFill/>
        <a:ln w="25400">
          <a:noFill/>
        </a:ln>
      </c:spPr>
    </c:title>
    <c:autoTitleDeleted val="0"/>
    <c:plotArea>
      <c:layout>
        <c:manualLayout>
          <c:layoutTarget val="inner"/>
          <c:xMode val="edge"/>
          <c:yMode val="edge"/>
          <c:x val="0.29399999999999998"/>
          <c:y val="0.30971207992966682"/>
          <c:w val="0.378"/>
          <c:h val="0.49606426361616124"/>
        </c:manualLayout>
      </c:layout>
      <c:pieChart>
        <c:varyColors val="1"/>
        <c:ser>
          <c:idx val="0"/>
          <c:order val="1"/>
          <c:spPr>
            <a:ln w="12700">
              <a:solidFill>
                <a:srgbClr val="000000"/>
              </a:solidFill>
              <a:prstDash val="solid"/>
            </a:ln>
          </c:spPr>
          <c:dPt>
            <c:idx val="0"/>
            <c:bubble3D val="0"/>
            <c:extLst>
              <c:ext xmlns:c16="http://schemas.microsoft.com/office/drawing/2014/chart" uri="{C3380CC4-5D6E-409C-BE32-E72D297353CC}">
                <c16:uniqueId val="{00000000-883F-4EB8-9F45-2CE867FF222F}"/>
              </c:ext>
            </c:extLst>
          </c:dPt>
          <c:cat>
            <c:strRef>
              <c:f>('2013 Table A1 Pies'!$A$29:$A$30,'2013 Table A1 Pies'!$A$33)</c:f>
              <c:strCache>
                <c:ptCount val="3"/>
                <c:pt idx="0">
                  <c:v>Res. Income Eligible</c:v>
                </c:pt>
                <c:pt idx="1">
                  <c:v>Res. Non Income Eligible</c:v>
                </c:pt>
                <c:pt idx="2">
                  <c:v>Commercial and Industrial</c:v>
                </c:pt>
              </c:strCache>
            </c:strRef>
          </c:cat>
          <c:val>
            <c:numLit>
              <c:formatCode>General</c:formatCode>
              <c:ptCount val="1"/>
              <c:pt idx="0">
                <c:v>0</c:v>
              </c:pt>
            </c:numLit>
          </c:val>
          <c:extLst>
            <c:ext xmlns:c16="http://schemas.microsoft.com/office/drawing/2014/chart" uri="{C3380CC4-5D6E-409C-BE32-E72D297353CC}">
              <c16:uniqueId val="{00000001-883F-4EB8-9F45-2CE867FF222F}"/>
            </c:ext>
          </c:extLst>
        </c:ser>
        <c:dLbls>
          <c:showLegendKey val="0"/>
          <c:showVal val="0"/>
          <c:showCatName val="0"/>
          <c:showSerName val="0"/>
          <c:showPercent val="0"/>
          <c:showBubbleSize val="0"/>
          <c:showLeaderLines val="1"/>
        </c:dLbls>
        <c:firstSliceAng val="0"/>
      </c:pieChar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2-883F-4EB8-9F45-2CE867FF222F}"/>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883F-4EB8-9F45-2CE867FF222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4-883F-4EB8-9F45-2CE867FF222F}"/>
              </c:ext>
            </c:extLst>
          </c:dPt>
          <c:dLbls>
            <c:dLbl>
              <c:idx val="0"/>
              <c:layout>
                <c:manualLayout>
                  <c:x val="6.6658897637795339E-2"/>
                  <c:y val="3.2620413176475016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3F-4EB8-9F45-2CE867FF222F}"/>
                </c:ext>
              </c:extLst>
            </c:dLbl>
            <c:dLbl>
              <c:idx val="1"/>
              <c:layout>
                <c:manualLayout>
                  <c:x val="5.5516850393700863E-2"/>
                  <c:y val="-1.1958608938379618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3F-4EB8-9F45-2CE867FF222F}"/>
                </c:ext>
              </c:extLst>
            </c:dLbl>
            <c:dLbl>
              <c:idx val="2"/>
              <c:layout>
                <c:manualLayout>
                  <c:x val="-4.2040524934383199E-2"/>
                  <c:y val="-1.2835496553823211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3F-4EB8-9F45-2CE867FF222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('2013 Table A1 Pies'!$A$29:$A$30,'2013 Table A1 Pies'!$A$33)</c:f>
              <c:strCache>
                <c:ptCount val="3"/>
                <c:pt idx="0">
                  <c:v>Res. Income Eligible</c:v>
                </c:pt>
                <c:pt idx="1">
                  <c:v>Res. Non Income Eligible</c:v>
                </c:pt>
                <c:pt idx="2">
                  <c:v>Commercial and Industrial</c:v>
                </c:pt>
              </c:strCache>
            </c:strRef>
          </c:cat>
          <c:val>
            <c:numRef>
              <c:f>('2013 Table A1 Pies'!$E$29:$E$30,'2013 Table A1 Pies'!$E$33)</c:f>
              <c:numCache>
                <c:formatCode>0.00%</c:formatCode>
                <c:ptCount val="3"/>
                <c:pt idx="0">
                  <c:v>0</c:v>
                </c:pt>
                <c:pt idx="1">
                  <c:v>0</c:v>
                </c:pt>
                <c:pt idx="2">
                  <c:v>0</c:v>
                </c:pt>
              </c:numCache>
            </c:numRef>
          </c:val>
          <c:extLst>
            <c:ext xmlns:c16="http://schemas.microsoft.com/office/drawing/2014/chart" uri="{C3380CC4-5D6E-409C-BE32-E72D297353CC}">
              <c16:uniqueId val="{00000005-883F-4EB8-9F45-2CE867FF222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'CNG 2017 Table A Pie Charts'!$B$48</c:f>
              <c:strCache>
                <c:ptCount val="1"/>
                <c:pt idx="0">
                  <c:v>% of Residential &amp; C&amp;I Budget</c:v>
                </c:pt>
              </c:strCache>
            </c:strRef>
          </c:tx>
          <c:dPt>
            <c:idx val="0"/>
            <c:bubble3D val="0"/>
            <c:extLst>
              <c:ext xmlns:c16="http://schemas.microsoft.com/office/drawing/2014/chart" uri="{C3380CC4-5D6E-409C-BE32-E72D297353CC}">
                <c16:uniqueId val="{00000000-11B6-4A40-AA03-EAA3EF7C0951}"/>
              </c:ext>
            </c:extLst>
          </c:dPt>
          <c:dPt>
            <c:idx val="1"/>
            <c:bubble3D val="0"/>
            <c:extLst>
              <c:ext xmlns:c16="http://schemas.microsoft.com/office/drawing/2014/chart" uri="{C3380CC4-5D6E-409C-BE32-E72D297353CC}">
                <c16:uniqueId val="{00000001-11B6-4A40-AA03-EAA3EF7C0951}"/>
              </c:ext>
            </c:extLst>
          </c:dPt>
          <c:dPt>
            <c:idx val="2"/>
            <c:bubble3D val="0"/>
            <c:extLst>
              <c:ext xmlns:c16="http://schemas.microsoft.com/office/drawing/2014/chart" uri="{C3380CC4-5D6E-409C-BE32-E72D297353CC}">
                <c16:uniqueId val="{00000002-11B6-4A40-AA03-EAA3EF7C0951}"/>
              </c:ext>
            </c:extLst>
          </c:dPt>
          <c:dLbls>
            <c:dLbl>
              <c:idx val="0"/>
              <c:layout>
                <c:manualLayout>
                  <c:x val="9.9537729658792651E-2"/>
                  <c:y val="-4.2833187518226887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B6-4A40-AA03-EAA3EF7C0951}"/>
                </c:ext>
              </c:extLst>
            </c:dLbl>
            <c:dLbl>
              <c:idx val="1"/>
              <c:layout>
                <c:manualLayout>
                  <c:x val="0.19327690288713911"/>
                  <c:y val="-0.1499303732866725"/>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B6-4A40-AA03-EAA3EF7C0951}"/>
                </c:ext>
              </c:extLst>
            </c:dLbl>
            <c:dLbl>
              <c:idx val="2"/>
              <c:layout>
                <c:manualLayout>
                  <c:x val="-6.9842082239720035E-2"/>
                  <c:y val="6.2559146666805567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B6-4A40-AA03-EAA3EF7C095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'CNG 2017 Table A Pie Charts'!$A$49:$A$51</c:f>
              <c:strCache>
                <c:ptCount val="3"/>
                <c:pt idx="0">
                  <c:v>Res. Income Eligible</c:v>
                </c:pt>
                <c:pt idx="1">
                  <c:v>Res. Non Income Eligible</c:v>
                </c:pt>
                <c:pt idx="2">
                  <c:v>Commercial and Industrial</c:v>
                </c:pt>
              </c:strCache>
            </c:strRef>
          </c:cat>
          <c:val>
            <c:numRef>
              <c:f>'CNG 2017 Table A Pie Charts'!$B$49:$B$51</c:f>
              <c:numCache>
                <c:formatCode>0.00%</c:formatCode>
                <c:ptCount val="3"/>
                <c:pt idx="0">
                  <c:v>0</c:v>
                </c:pt>
                <c:pt idx="1">
                  <c:v>0</c:v>
                </c:pt>
                <c:pt idx="2">
                  <c:v>0</c:v>
                </c:pt>
              </c:numCache>
            </c:numRef>
          </c:val>
          <c:extLst>
            <c:ext xmlns:c16="http://schemas.microsoft.com/office/drawing/2014/chart" uri="{C3380CC4-5D6E-409C-BE32-E72D297353CC}">
              <c16:uniqueId val="{00000003-11B6-4A40-AA03-EAA3EF7C095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'CNG 2022 Table A Pie Chart'!$B$48</c:f>
              <c:strCache>
                <c:ptCount val="1"/>
                <c:pt idx="0">
                  <c:v>% of Residential &amp; C&amp;I Budget</c:v>
                </c:pt>
              </c:strCache>
            </c:strRef>
          </c:tx>
          <c:dPt>
            <c:idx val="0"/>
            <c:bubble3D val="0"/>
            <c:extLst>
              <c:ext xmlns:c16="http://schemas.microsoft.com/office/drawing/2014/chart" uri="{C3380CC4-5D6E-409C-BE32-E72D297353CC}">
                <c16:uniqueId val="{00000000-E9DF-4B8D-9FFF-CFF61DDABBC9}"/>
              </c:ext>
            </c:extLst>
          </c:dPt>
          <c:dPt>
            <c:idx val="1"/>
            <c:bubble3D val="0"/>
            <c:extLst>
              <c:ext xmlns:c16="http://schemas.microsoft.com/office/drawing/2014/chart" uri="{C3380CC4-5D6E-409C-BE32-E72D297353CC}">
                <c16:uniqueId val="{00000001-E9DF-4B8D-9FFF-CFF61DDABBC9}"/>
              </c:ext>
            </c:extLst>
          </c:dPt>
          <c:dPt>
            <c:idx val="2"/>
            <c:bubble3D val="0"/>
            <c:extLst>
              <c:ext xmlns:c16="http://schemas.microsoft.com/office/drawing/2014/chart" uri="{C3380CC4-5D6E-409C-BE32-E72D297353CC}">
                <c16:uniqueId val="{00000002-E9DF-4B8D-9FFF-CFF61DDABBC9}"/>
              </c:ext>
            </c:extLst>
          </c:dPt>
          <c:dLbls>
            <c:dLbl>
              <c:idx val="0"/>
              <c:layout>
                <c:manualLayout>
                  <c:x val="5.2781066159833467E-2"/>
                  <c:y val="3.2491975654745944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DF-4B8D-9FFF-CFF61DDABBC9}"/>
                </c:ext>
              </c:extLst>
            </c:dLbl>
            <c:dLbl>
              <c:idx val="1"/>
              <c:layout>
                <c:manualLayout>
                  <c:x val="0.2561855371526835"/>
                  <c:y val="-0.11285861713106295"/>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DF-4B8D-9FFF-CFF61DDABBC9}"/>
                </c:ext>
              </c:extLst>
            </c:dLbl>
            <c:dLbl>
              <c:idx val="2"/>
              <c:layout>
                <c:manualLayout>
                  <c:x val="-8.1259752013756903E-2"/>
                  <c:y val="6.2845534401079123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DF-4B8D-9FFF-CFF61DDABBC9}"/>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'CNG 2022 Table A Pie Chart'!$A$49:$A$51</c:f>
              <c:strCache>
                <c:ptCount val="3"/>
                <c:pt idx="0">
                  <c:v>Res. Income Eligible</c:v>
                </c:pt>
                <c:pt idx="1">
                  <c:v>Res. Non Income Eligible</c:v>
                </c:pt>
                <c:pt idx="2">
                  <c:v>Commercial and Industrial</c:v>
                </c:pt>
              </c:strCache>
            </c:strRef>
          </c:cat>
          <c:val>
            <c:numRef>
              <c:f>'CNG 2022 Table A Pie Chart'!$B$49:$B$51</c:f>
              <c:numCache>
                <c:formatCode>0.00%</c:formatCode>
                <c:ptCount val="3"/>
                <c:pt idx="0">
                  <c:v>0.29237902571488489</c:v>
                </c:pt>
                <c:pt idx="1">
                  <c:v>0.39390719030278237</c:v>
                </c:pt>
                <c:pt idx="2">
                  <c:v>0.31371378398233279</c:v>
                </c:pt>
              </c:numCache>
            </c:numRef>
          </c:val>
          <c:extLst>
            <c:ext xmlns:c16="http://schemas.microsoft.com/office/drawing/2014/chart" uri="{C3380CC4-5D6E-409C-BE32-E72D297353CC}">
              <c16:uniqueId val="{00000003-E9DF-4B8D-9FFF-CFF61DDABBC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'CNG 2023 Table A Pie Chart'!$B$48</c:f>
              <c:strCache>
                <c:ptCount val="1"/>
                <c:pt idx="0">
                  <c:v>% of Residential &amp; C&amp;I Budget</c:v>
                </c:pt>
              </c:strCache>
            </c:strRef>
          </c:tx>
          <c:dPt>
            <c:idx val="0"/>
            <c:bubble3D val="0"/>
            <c:extLst>
              <c:ext xmlns:c16="http://schemas.microsoft.com/office/drawing/2014/chart" uri="{C3380CC4-5D6E-409C-BE32-E72D297353CC}">
                <c16:uniqueId val="{00000000-7A9E-4982-AEAD-3E8D512A0928}"/>
              </c:ext>
            </c:extLst>
          </c:dPt>
          <c:dPt>
            <c:idx val="1"/>
            <c:bubble3D val="0"/>
            <c:extLst>
              <c:ext xmlns:c16="http://schemas.microsoft.com/office/drawing/2014/chart" uri="{C3380CC4-5D6E-409C-BE32-E72D297353CC}">
                <c16:uniqueId val="{00000001-7A9E-4982-AEAD-3E8D512A0928}"/>
              </c:ext>
            </c:extLst>
          </c:dPt>
          <c:dPt>
            <c:idx val="2"/>
            <c:bubble3D val="0"/>
            <c:extLst>
              <c:ext xmlns:c16="http://schemas.microsoft.com/office/drawing/2014/chart" uri="{C3380CC4-5D6E-409C-BE32-E72D297353CC}">
                <c16:uniqueId val="{00000002-7A9E-4982-AEAD-3E8D512A0928}"/>
              </c:ext>
            </c:extLst>
          </c:dPt>
          <c:dLbls>
            <c:dLbl>
              <c:idx val="0"/>
              <c:layout>
                <c:manualLayout>
                  <c:x val="5.2781066159833467E-2"/>
                  <c:y val="3.2491975654745944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9E-4982-AEAD-3E8D512A0928}"/>
                </c:ext>
              </c:extLst>
            </c:dLbl>
            <c:dLbl>
              <c:idx val="1"/>
              <c:layout>
                <c:manualLayout>
                  <c:x val="0.2561855371526835"/>
                  <c:y val="-0.11285861713106295"/>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9E-4982-AEAD-3E8D512A0928}"/>
                </c:ext>
              </c:extLst>
            </c:dLbl>
            <c:dLbl>
              <c:idx val="2"/>
              <c:layout>
                <c:manualLayout>
                  <c:x val="-8.1259752013756903E-2"/>
                  <c:y val="6.2845534401079123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9E-4982-AEAD-3E8D512A092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'CNG 2023 Table A Pie Chart'!$A$49:$A$51</c:f>
              <c:strCache>
                <c:ptCount val="3"/>
                <c:pt idx="0">
                  <c:v>Res. Income Eligible</c:v>
                </c:pt>
                <c:pt idx="1">
                  <c:v>Res. Non Income Eligible</c:v>
                </c:pt>
                <c:pt idx="2">
                  <c:v>Commercial and Industrial</c:v>
                </c:pt>
              </c:strCache>
            </c:strRef>
          </c:cat>
          <c:val>
            <c:numRef>
              <c:f>'CNG 2023 Table A Pie Chart'!$B$49:$B$51</c:f>
              <c:numCache>
                <c:formatCode>0.00%</c:formatCode>
                <c:ptCount val="3"/>
                <c:pt idx="0">
                  <c:v>0.32519356558941098</c:v>
                </c:pt>
                <c:pt idx="1">
                  <c:v>0.36355911825195103</c:v>
                </c:pt>
                <c:pt idx="2">
                  <c:v>0.31124731615863793</c:v>
                </c:pt>
              </c:numCache>
            </c:numRef>
          </c:val>
          <c:extLst>
            <c:ext xmlns:c16="http://schemas.microsoft.com/office/drawing/2014/chart" uri="{C3380CC4-5D6E-409C-BE32-E72D297353CC}">
              <c16:uniqueId val="{00000003-7A9E-4982-AEAD-3E8D512A092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'CNG 2024 Table A Pie Chart'!$B$48</c:f>
              <c:strCache>
                <c:ptCount val="1"/>
                <c:pt idx="0">
                  <c:v>% of Residential &amp; C&amp;I Budget</c:v>
                </c:pt>
              </c:strCache>
            </c:strRef>
          </c:tx>
          <c:dPt>
            <c:idx val="0"/>
            <c:bubble3D val="0"/>
            <c:extLst>
              <c:ext xmlns:c16="http://schemas.microsoft.com/office/drawing/2014/chart" uri="{C3380CC4-5D6E-409C-BE32-E72D297353CC}">
                <c16:uniqueId val="{00000000-BBEE-4AFB-A86C-2C6E16E7E7A5}"/>
              </c:ext>
            </c:extLst>
          </c:dPt>
          <c:dPt>
            <c:idx val="1"/>
            <c:bubble3D val="0"/>
            <c:extLst>
              <c:ext xmlns:c16="http://schemas.microsoft.com/office/drawing/2014/chart" uri="{C3380CC4-5D6E-409C-BE32-E72D297353CC}">
                <c16:uniqueId val="{00000001-BBEE-4AFB-A86C-2C6E16E7E7A5}"/>
              </c:ext>
            </c:extLst>
          </c:dPt>
          <c:dPt>
            <c:idx val="2"/>
            <c:bubble3D val="0"/>
            <c:extLst>
              <c:ext xmlns:c16="http://schemas.microsoft.com/office/drawing/2014/chart" uri="{C3380CC4-5D6E-409C-BE32-E72D297353CC}">
                <c16:uniqueId val="{00000002-BBEE-4AFB-A86C-2C6E16E7E7A5}"/>
              </c:ext>
            </c:extLst>
          </c:dPt>
          <c:dLbls>
            <c:dLbl>
              <c:idx val="0"/>
              <c:layout>
                <c:manualLayout>
                  <c:x val="5.2781066159833467E-2"/>
                  <c:y val="3.2491975654745944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EE-4AFB-A86C-2C6E16E7E7A5}"/>
                </c:ext>
              </c:extLst>
            </c:dLbl>
            <c:dLbl>
              <c:idx val="1"/>
              <c:layout>
                <c:manualLayout>
                  <c:x val="0.2561855371526835"/>
                  <c:y val="-0.11285861713106295"/>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EE-4AFB-A86C-2C6E16E7E7A5}"/>
                </c:ext>
              </c:extLst>
            </c:dLbl>
            <c:dLbl>
              <c:idx val="2"/>
              <c:layout>
                <c:manualLayout>
                  <c:x val="-8.1259752013756903E-2"/>
                  <c:y val="6.2845534401079123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EE-4AFB-A86C-2C6E16E7E7A5}"/>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'CNG 2024 Table A Pie Chart'!$A$49:$A$51</c:f>
              <c:strCache>
                <c:ptCount val="3"/>
                <c:pt idx="0">
                  <c:v>Res. Income Eligible</c:v>
                </c:pt>
                <c:pt idx="1">
                  <c:v>Res. Non Income Eligible</c:v>
                </c:pt>
                <c:pt idx="2">
                  <c:v>Commercial and Industrial</c:v>
                </c:pt>
              </c:strCache>
            </c:strRef>
          </c:cat>
          <c:val>
            <c:numRef>
              <c:f>'CNG 2024 Table A Pie Chart'!$B$49:$B$51</c:f>
              <c:numCache>
                <c:formatCode>0.00%</c:formatCode>
                <c:ptCount val="3"/>
                <c:pt idx="0">
                  <c:v>0.33172373076244505</c:v>
                </c:pt>
                <c:pt idx="1">
                  <c:v>0.35099676560337068</c:v>
                </c:pt>
                <c:pt idx="2">
                  <c:v>0.31727950363418433</c:v>
                </c:pt>
              </c:numCache>
            </c:numRef>
          </c:val>
          <c:extLst>
            <c:ext xmlns:c16="http://schemas.microsoft.com/office/drawing/2014/chart" uri="{C3380CC4-5D6E-409C-BE32-E72D297353CC}">
              <c16:uniqueId val="{00000003-BBEE-4AFB-A86C-2C6E16E7E7A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8104149317"/>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08D5-405E-943D-BD63DD54AF1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8D5-405E-943D-BD63DD54AF1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08D5-405E-943D-BD63DD54AF1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08D5-405E-943D-BD63DD54AF19}"/>
              </c:ext>
            </c:extLst>
          </c:dPt>
          <c:dLbls>
            <c:dLbl>
              <c:idx val="0"/>
              <c:layout>
                <c:manualLayout>
                  <c:x val="5.2488020409264188E-2"/>
                  <c:y val="-3.6839458416040638E-2"/>
                </c:manualLayout>
              </c:layout>
              <c:tx>
                <c:rich>
                  <a:bodyPr/>
                  <a:lstStyle/>
                  <a:p>
                    <a:pPr>
                      <a:defRPr sz="1000" b="0" i="0" u="none" strike="noStrike" baseline="0">
                        <a:solidFill>
                          <a:srgbClr val="000000"/>
                        </a:solidFill>
                        <a:latin typeface="Arial"/>
                        <a:ea typeface="Arial"/>
                        <a:cs typeface="Arial"/>
                      </a:defRPr>
                    </a:pPr>
                    <a:r>
                      <a:rPr lang="en-US"/>
                      <a:t>Res. Income Eligible
22.89%</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8D5-405E-943D-BD63DD54AF19}"/>
                </c:ext>
              </c:extLst>
            </c:dLbl>
            <c:dLbl>
              <c:idx val="1"/>
              <c:layout>
                <c:manualLayout>
                  <c:x val="0.11432460354757762"/>
                  <c:y val="9.1757347542868774E-3"/>
                </c:manualLayout>
              </c:layout>
              <c:tx>
                <c:rich>
                  <a:bodyPr/>
                  <a:lstStyle/>
                  <a:p>
                    <a:pPr>
                      <a:defRPr sz="1000" b="0" i="0" u="none" strike="noStrike" baseline="0">
                        <a:solidFill>
                          <a:srgbClr val="000000"/>
                        </a:solidFill>
                        <a:latin typeface="Arial"/>
                        <a:ea typeface="Arial"/>
                        <a:cs typeface="Arial"/>
                      </a:defRPr>
                    </a:pPr>
                    <a:r>
                      <a:rPr lang="en-US"/>
                      <a:t>Res. Non Income Eligible
48.20%</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D5-405E-943D-BD63DD54AF19}"/>
                </c:ext>
              </c:extLst>
            </c:dLbl>
            <c:dLbl>
              <c:idx val="2"/>
              <c:delete val="1"/>
              <c:extLst>
                <c:ext xmlns:c15="http://schemas.microsoft.com/office/drawing/2012/chart" uri="{CE6537A1-D6FC-4f65-9D91-7224C49458BB}"/>
                <c:ext xmlns:c16="http://schemas.microsoft.com/office/drawing/2014/chart" uri="{C3380CC4-5D6E-409C-BE32-E72D297353CC}">
                  <c16:uniqueId val="{00000002-08D5-405E-943D-BD63DD54AF19}"/>
                </c:ext>
              </c:extLst>
            </c:dLbl>
            <c:dLbl>
              <c:idx val="3"/>
              <c:layout>
                <c:manualLayout>
                  <c:x val="-4.200090187559738E-2"/>
                  <c:y val="5.5690457278335E-2"/>
                </c:manualLayout>
              </c:layout>
              <c:tx>
                <c:rich>
                  <a:bodyPr/>
                  <a:lstStyle/>
                  <a:p>
                    <a:pPr>
                      <a:defRPr sz="1000" b="0" i="0" u="none" strike="noStrike" baseline="0">
                        <a:solidFill>
                          <a:srgbClr val="000000"/>
                        </a:solidFill>
                        <a:latin typeface="Arial"/>
                        <a:ea typeface="Arial"/>
                        <a:cs typeface="Arial"/>
                      </a:defRPr>
                    </a:pPr>
                    <a:r>
                      <a:rPr lang="en-US"/>
                      <a:t>Commercial and Industrial
28.91%</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D5-405E-943D-BD63DD54AF19}"/>
                </c:ext>
              </c:extLst>
            </c:dLbl>
            <c:dLbl>
              <c:idx val="4"/>
              <c:delete val="1"/>
              <c:extLst>
                <c:ext xmlns:c15="http://schemas.microsoft.com/office/drawing/2012/chart" uri="{CE6537A1-D6FC-4f65-9D91-7224C49458BB}"/>
                <c:ext xmlns:c16="http://schemas.microsoft.com/office/drawing/2014/chart" uri="{C3380CC4-5D6E-409C-BE32-E72D297353CC}">
                  <c16:uniqueId val="{00000004-08D5-405E-943D-BD63DD54AF19}"/>
                </c:ext>
              </c:extLst>
            </c:dLbl>
            <c:dLbl>
              <c:idx val="5"/>
              <c:layout>
                <c:manualLayout>
                  <c:xMode val="edge"/>
                  <c:yMode val="edge"/>
                  <c:x val="0.4655501948582163"/>
                  <c:y val="0.13846188517098651"/>
                </c:manualLayout>
              </c:layout>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5-405E-943D-BD63DD54AF19}"/>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2013 Table A Pie Charts'!$A$29:$A$30,'SCG 2013 Table A Pie Charts'!$A$32:$A$33)</c:f>
              <c:strCache>
                <c:ptCount val="4"/>
                <c:pt idx="0">
                  <c:v>Res. Income Eligible</c:v>
                </c:pt>
                <c:pt idx="1">
                  <c:v>Res. Non Income Eligible</c:v>
                </c:pt>
                <c:pt idx="3">
                  <c:v>Commercial and Industrial</c:v>
                </c:pt>
              </c:strCache>
            </c:strRef>
          </c:cat>
          <c:val>
            <c:numRef>
              <c:f>('SCG 2013 Table A Pie Charts'!$D$29:$D$30,'SCG 2013 Table A Pie Charts'!$D$32:$D$33)</c:f>
              <c:numCache>
                <c:formatCode>0.00%</c:formatCode>
                <c:ptCount val="4"/>
                <c:pt idx="0">
                  <c:v>0</c:v>
                </c:pt>
                <c:pt idx="1">
                  <c:v>0</c:v>
                </c:pt>
                <c:pt idx="3">
                  <c:v>0</c:v>
                </c:pt>
              </c:numCache>
            </c:numRef>
          </c:val>
          <c:extLst>
            <c:ext xmlns:c16="http://schemas.microsoft.com/office/drawing/2014/chart" uri="{C3380CC4-5D6E-409C-BE32-E72D297353CC}">
              <c16:uniqueId val="{00000006-08D5-405E-943D-BD63DD54AF1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8104149317"/>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198D-452B-8556-97C310E2CA23}"/>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98D-452B-8556-97C310E2CA2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198D-452B-8556-97C310E2CA2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198D-452B-8556-97C310E2CA23}"/>
              </c:ext>
            </c:extLst>
          </c:dPt>
          <c:dLbls>
            <c:dLbl>
              <c:idx val="0"/>
              <c:layout>
                <c:manualLayout>
                  <c:x val="5.2488020409264188E-2"/>
                  <c:y val="-3.6839458416040638E-2"/>
                </c:manualLayout>
              </c:layout>
              <c:tx>
                <c:rich>
                  <a:bodyPr/>
                  <a:lstStyle/>
                  <a:p>
                    <a:pPr>
                      <a:defRPr sz="1000" b="0" i="0" u="none" strike="noStrike" baseline="0">
                        <a:solidFill>
                          <a:srgbClr val="000000"/>
                        </a:solidFill>
                        <a:latin typeface="Arial"/>
                        <a:ea typeface="Arial"/>
                        <a:cs typeface="Arial"/>
                      </a:defRPr>
                    </a:pPr>
                    <a:r>
                      <a:rPr lang="en-US"/>
                      <a:t>Res. Income Eligible
20.03%</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98D-452B-8556-97C310E2CA23}"/>
                </c:ext>
              </c:extLst>
            </c:dLbl>
            <c:dLbl>
              <c:idx val="1"/>
              <c:layout>
                <c:manualLayout>
                  <c:x val="0.11432460354757762"/>
                  <c:y val="9.1757347542868774E-3"/>
                </c:manualLayout>
              </c:layout>
              <c:tx>
                <c:rich>
                  <a:bodyPr/>
                  <a:lstStyle/>
                  <a:p>
                    <a:pPr>
                      <a:defRPr sz="1000" b="0" i="0" u="none" strike="noStrike" baseline="0">
                        <a:solidFill>
                          <a:srgbClr val="000000"/>
                        </a:solidFill>
                        <a:latin typeface="Arial"/>
                        <a:ea typeface="Arial"/>
                        <a:cs typeface="Arial"/>
                      </a:defRPr>
                    </a:pPr>
                    <a:r>
                      <a:rPr lang="en-US"/>
                      <a:t>Res. Non Income Eligible
46.88%</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8D-452B-8556-97C310E2CA23}"/>
                </c:ext>
              </c:extLst>
            </c:dLbl>
            <c:dLbl>
              <c:idx val="2"/>
              <c:delete val="1"/>
              <c:extLst>
                <c:ext xmlns:c15="http://schemas.microsoft.com/office/drawing/2012/chart" uri="{CE6537A1-D6FC-4f65-9D91-7224C49458BB}"/>
                <c:ext xmlns:c16="http://schemas.microsoft.com/office/drawing/2014/chart" uri="{C3380CC4-5D6E-409C-BE32-E72D297353CC}">
                  <c16:uniqueId val="{00000002-198D-452B-8556-97C310E2CA23}"/>
                </c:ext>
              </c:extLst>
            </c:dLbl>
            <c:dLbl>
              <c:idx val="3"/>
              <c:layout>
                <c:manualLayout>
                  <c:x val="-4.200090187559738E-2"/>
                  <c:y val="5.5690457278335E-2"/>
                </c:manualLayout>
              </c:layout>
              <c:tx>
                <c:rich>
                  <a:bodyPr/>
                  <a:lstStyle/>
                  <a:p>
                    <a:pPr>
                      <a:defRPr sz="1000" b="0" i="0" u="none" strike="noStrike" baseline="0">
                        <a:solidFill>
                          <a:srgbClr val="000000"/>
                        </a:solidFill>
                        <a:latin typeface="Arial"/>
                        <a:ea typeface="Arial"/>
                        <a:cs typeface="Arial"/>
                      </a:defRPr>
                    </a:pPr>
                    <a:r>
                      <a:rPr lang="en-US"/>
                      <a:t>Commercial and Industrial
33.09%</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8D-452B-8556-97C310E2CA23}"/>
                </c:ext>
              </c:extLst>
            </c:dLbl>
            <c:dLbl>
              <c:idx val="4"/>
              <c:delete val="1"/>
              <c:extLst>
                <c:ext xmlns:c15="http://schemas.microsoft.com/office/drawing/2012/chart" uri="{CE6537A1-D6FC-4f65-9D91-7224C49458BB}"/>
                <c:ext xmlns:c16="http://schemas.microsoft.com/office/drawing/2014/chart" uri="{C3380CC4-5D6E-409C-BE32-E72D297353CC}">
                  <c16:uniqueId val="{00000004-198D-452B-8556-97C310E2CA23}"/>
                </c:ext>
              </c:extLst>
            </c:dLbl>
            <c:dLbl>
              <c:idx val="5"/>
              <c:layout>
                <c:manualLayout>
                  <c:xMode val="edge"/>
                  <c:yMode val="edge"/>
                  <c:x val="0.4655501948582163"/>
                  <c:y val="0.13846188517098651"/>
                </c:manualLayout>
              </c:layout>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8D-452B-8556-97C310E2CA23}"/>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2014 Table A Pie Charts '!$A$29:$A$30,'SCG 2014 Table A Pie Charts '!$A$32:$A$33)</c:f>
              <c:strCache>
                <c:ptCount val="4"/>
                <c:pt idx="0">
                  <c:v>Res. Income Eligible</c:v>
                </c:pt>
                <c:pt idx="1">
                  <c:v>Res. Non Income Eligible</c:v>
                </c:pt>
                <c:pt idx="3">
                  <c:v>Commercial and Industrial</c:v>
                </c:pt>
              </c:strCache>
            </c:strRef>
          </c:cat>
          <c:val>
            <c:numRef>
              <c:f>('SCG 2014 Table A Pie Charts '!$D$29:$D$30,'SCG 2014 Table A Pie Charts '!$D$32:$D$33)</c:f>
              <c:numCache>
                <c:formatCode>0.00%</c:formatCode>
                <c:ptCount val="4"/>
                <c:pt idx="0">
                  <c:v>0.17852532363449433</c:v>
                </c:pt>
                <c:pt idx="1">
                  <c:v>0.41785862791782891</c:v>
                </c:pt>
                <c:pt idx="3">
                  <c:v>0.29492010201447066</c:v>
                </c:pt>
              </c:numCache>
            </c:numRef>
          </c:val>
          <c:extLst>
            <c:ext xmlns:c16="http://schemas.microsoft.com/office/drawing/2014/chart" uri="{C3380CC4-5D6E-409C-BE32-E72D297353CC}">
              <c16:uniqueId val="{00000006-198D-452B-8556-97C310E2CA2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'SCG 2016 Table A Pie Charts'!$B$48</c:f>
              <c:strCache>
                <c:ptCount val="1"/>
                <c:pt idx="0">
                  <c:v>% of Residential &amp; C&amp;I Budget</c:v>
                </c:pt>
              </c:strCache>
            </c:strRef>
          </c:tx>
          <c:dPt>
            <c:idx val="0"/>
            <c:bubble3D val="0"/>
            <c:extLst>
              <c:ext xmlns:c16="http://schemas.microsoft.com/office/drawing/2014/chart" uri="{C3380CC4-5D6E-409C-BE32-E72D297353CC}">
                <c16:uniqueId val="{00000000-DBD8-436B-BD6E-ED731C9FF334}"/>
              </c:ext>
            </c:extLst>
          </c:dPt>
          <c:dPt>
            <c:idx val="1"/>
            <c:bubble3D val="0"/>
            <c:extLst>
              <c:ext xmlns:c16="http://schemas.microsoft.com/office/drawing/2014/chart" uri="{C3380CC4-5D6E-409C-BE32-E72D297353CC}">
                <c16:uniqueId val="{00000001-DBD8-436B-BD6E-ED731C9FF334}"/>
              </c:ext>
            </c:extLst>
          </c:dPt>
          <c:dPt>
            <c:idx val="2"/>
            <c:bubble3D val="0"/>
            <c:extLst>
              <c:ext xmlns:c16="http://schemas.microsoft.com/office/drawing/2014/chart" uri="{C3380CC4-5D6E-409C-BE32-E72D297353CC}">
                <c16:uniqueId val="{00000002-DBD8-436B-BD6E-ED731C9FF334}"/>
              </c:ext>
            </c:extLst>
          </c:dPt>
          <c:dLbls>
            <c:dLbl>
              <c:idx val="0"/>
              <c:layout>
                <c:manualLayout>
                  <c:x val="4.1204505686789149E-2"/>
                  <c:y val="8.1196348866288404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D8-436B-BD6E-ED731C9FF334}"/>
                </c:ext>
              </c:extLst>
            </c:dLbl>
            <c:dLbl>
              <c:idx val="1"/>
              <c:layout>
                <c:manualLayout>
                  <c:x val="0.24049912510936133"/>
                  <c:y val="-8.7914856796295862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D8-436B-BD6E-ED731C9FF334}"/>
                </c:ext>
              </c:extLst>
            </c:dLbl>
            <c:dLbl>
              <c:idx val="2"/>
              <c:layout>
                <c:manualLayout>
                  <c:x val="-2.2619860017497825E-2"/>
                  <c:y val="3.9330844683579412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D8-436B-BD6E-ED731C9FF334}"/>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'SCG 2016 Table A Pie Charts'!$A$49:$A$51</c:f>
              <c:strCache>
                <c:ptCount val="3"/>
                <c:pt idx="0">
                  <c:v>Res. Income Eligible</c:v>
                </c:pt>
                <c:pt idx="1">
                  <c:v>Res. Non Income Eligible</c:v>
                </c:pt>
                <c:pt idx="2">
                  <c:v>Commercial and Industrial</c:v>
                </c:pt>
              </c:strCache>
            </c:strRef>
          </c:cat>
          <c:val>
            <c:numRef>
              <c:f>'SCG 2016 Table A Pie Charts'!$B$49:$B$51</c:f>
              <c:numCache>
                <c:formatCode>0.00%</c:formatCode>
                <c:ptCount val="3"/>
                <c:pt idx="0">
                  <c:v>0</c:v>
                </c:pt>
                <c:pt idx="1">
                  <c:v>0</c:v>
                </c:pt>
                <c:pt idx="2">
                  <c:v>0</c:v>
                </c:pt>
              </c:numCache>
            </c:numRef>
          </c:val>
          <c:extLst>
            <c:ext xmlns:c16="http://schemas.microsoft.com/office/drawing/2014/chart" uri="{C3380CC4-5D6E-409C-BE32-E72D297353CC}">
              <c16:uniqueId val="{00000003-DBD8-436B-BD6E-ED731C9FF334}"/>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'SCG 2017 Table A Pie Charts'!$B$48</c:f>
              <c:strCache>
                <c:ptCount val="1"/>
                <c:pt idx="0">
                  <c:v>% of Residential &amp; C&amp;I Budget</c:v>
                </c:pt>
              </c:strCache>
            </c:strRef>
          </c:tx>
          <c:dPt>
            <c:idx val="0"/>
            <c:bubble3D val="0"/>
            <c:extLst>
              <c:ext xmlns:c16="http://schemas.microsoft.com/office/drawing/2014/chart" uri="{C3380CC4-5D6E-409C-BE32-E72D297353CC}">
                <c16:uniqueId val="{00000000-70AB-4BA9-BA55-B02A8BDCEF2E}"/>
              </c:ext>
            </c:extLst>
          </c:dPt>
          <c:dPt>
            <c:idx val="1"/>
            <c:bubble3D val="0"/>
            <c:extLst>
              <c:ext xmlns:c16="http://schemas.microsoft.com/office/drawing/2014/chart" uri="{C3380CC4-5D6E-409C-BE32-E72D297353CC}">
                <c16:uniqueId val="{00000001-70AB-4BA9-BA55-B02A8BDCEF2E}"/>
              </c:ext>
            </c:extLst>
          </c:dPt>
          <c:dPt>
            <c:idx val="2"/>
            <c:bubble3D val="0"/>
            <c:extLst>
              <c:ext xmlns:c16="http://schemas.microsoft.com/office/drawing/2014/chart" uri="{C3380CC4-5D6E-409C-BE32-E72D297353CC}">
                <c16:uniqueId val="{00000002-70AB-4BA9-BA55-B02A8BDCEF2E}"/>
              </c:ext>
            </c:extLst>
          </c:dPt>
          <c:dLbls>
            <c:dLbl>
              <c:idx val="0"/>
              <c:layout>
                <c:manualLayout>
                  <c:x val="4.1204505686789149E-2"/>
                  <c:y val="8.1196348866288404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AB-4BA9-BA55-B02A8BDCEF2E}"/>
                </c:ext>
              </c:extLst>
            </c:dLbl>
            <c:dLbl>
              <c:idx val="1"/>
              <c:layout>
                <c:manualLayout>
                  <c:x val="0.24049912510936133"/>
                  <c:y val="-8.7914856796295862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B-4BA9-BA55-B02A8BDCEF2E}"/>
                </c:ext>
              </c:extLst>
            </c:dLbl>
            <c:dLbl>
              <c:idx val="2"/>
              <c:layout>
                <c:manualLayout>
                  <c:x val="-2.2619860017497825E-2"/>
                  <c:y val="3.9330844683579412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B-4BA9-BA55-B02A8BDCEF2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'SCG 2017 Table A Pie Charts'!$A$49:$A$51</c:f>
              <c:strCache>
                <c:ptCount val="3"/>
                <c:pt idx="0">
                  <c:v>Res. Income Eligible</c:v>
                </c:pt>
                <c:pt idx="1">
                  <c:v>Res. Non Income Eligible</c:v>
                </c:pt>
                <c:pt idx="2">
                  <c:v>Commercial and Industrial</c:v>
                </c:pt>
              </c:strCache>
            </c:strRef>
          </c:cat>
          <c:val>
            <c:numRef>
              <c:f>'SCG 2017 Table A Pie Charts'!$B$49:$B$51</c:f>
              <c:numCache>
                <c:formatCode>0.00%</c:formatCode>
                <c:ptCount val="3"/>
                <c:pt idx="0">
                  <c:v>0</c:v>
                </c:pt>
                <c:pt idx="1">
                  <c:v>0</c:v>
                </c:pt>
                <c:pt idx="2">
                  <c:v>0</c:v>
                </c:pt>
              </c:numCache>
            </c:numRef>
          </c:val>
          <c:extLst>
            <c:ext xmlns:c16="http://schemas.microsoft.com/office/drawing/2014/chart" uri="{C3380CC4-5D6E-409C-BE32-E72D297353CC}">
              <c16:uniqueId val="{00000003-70AB-4BA9-BA55-B02A8BDCEF2E}"/>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'SCG 2022 Table A Pie Chart'!$B$48</c:f>
              <c:strCache>
                <c:ptCount val="1"/>
                <c:pt idx="0">
                  <c:v>% of Residential &amp; C&amp;I Budget</c:v>
                </c:pt>
              </c:strCache>
            </c:strRef>
          </c:tx>
          <c:dPt>
            <c:idx val="0"/>
            <c:bubble3D val="0"/>
            <c:extLst>
              <c:ext xmlns:c16="http://schemas.microsoft.com/office/drawing/2014/chart" uri="{C3380CC4-5D6E-409C-BE32-E72D297353CC}">
                <c16:uniqueId val="{00000000-9429-4EFE-9836-556B83B956AC}"/>
              </c:ext>
            </c:extLst>
          </c:dPt>
          <c:dPt>
            <c:idx val="1"/>
            <c:bubble3D val="0"/>
            <c:extLst>
              <c:ext xmlns:c16="http://schemas.microsoft.com/office/drawing/2014/chart" uri="{C3380CC4-5D6E-409C-BE32-E72D297353CC}">
                <c16:uniqueId val="{00000001-9429-4EFE-9836-556B83B956AC}"/>
              </c:ext>
            </c:extLst>
          </c:dPt>
          <c:dPt>
            <c:idx val="2"/>
            <c:bubble3D val="0"/>
            <c:extLst>
              <c:ext xmlns:c16="http://schemas.microsoft.com/office/drawing/2014/chart" uri="{C3380CC4-5D6E-409C-BE32-E72D297353CC}">
                <c16:uniqueId val="{00000002-9429-4EFE-9836-556B83B956AC}"/>
              </c:ext>
            </c:extLst>
          </c:dPt>
          <c:dLbls>
            <c:dLbl>
              <c:idx val="0"/>
              <c:layout>
                <c:manualLayout>
                  <c:x val="8.9512218739647834E-2"/>
                  <c:y val="6.2459390718575036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29-4EFE-9836-556B83B956AC}"/>
                </c:ext>
              </c:extLst>
            </c:dLbl>
            <c:dLbl>
              <c:idx val="1"/>
              <c:layout>
                <c:manualLayout>
                  <c:x val="0.22064286624366128"/>
                  <c:y val="-7.1578947368421048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29-4EFE-9836-556B83B956AC}"/>
                </c:ext>
              </c:extLst>
            </c:dLbl>
            <c:dLbl>
              <c:idx val="2"/>
              <c:layout>
                <c:manualLayout>
                  <c:x val="-5.4418673393981092E-2"/>
                  <c:y val="8.6056085094626325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29-4EFE-9836-556B83B956A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'SCG 2022 Table A Pie Chart'!$A$49:$A$51</c:f>
              <c:strCache>
                <c:ptCount val="3"/>
                <c:pt idx="0">
                  <c:v>Res. Income Eligible</c:v>
                </c:pt>
                <c:pt idx="1">
                  <c:v>Res. Non Income Eligible</c:v>
                </c:pt>
                <c:pt idx="2">
                  <c:v>Commercial and Industrial</c:v>
                </c:pt>
              </c:strCache>
            </c:strRef>
          </c:cat>
          <c:val>
            <c:numRef>
              <c:f>'SCG 2022 Table A Pie Chart'!$B$49:$B$51</c:f>
              <c:numCache>
                <c:formatCode>0.00%</c:formatCode>
                <c:ptCount val="3"/>
                <c:pt idx="0">
                  <c:v>0.25855056478439969</c:v>
                </c:pt>
                <c:pt idx="1">
                  <c:v>0.44240779596171403</c:v>
                </c:pt>
                <c:pt idx="2">
                  <c:v>0.29904163925388627</c:v>
                </c:pt>
              </c:numCache>
            </c:numRef>
          </c:val>
          <c:extLst>
            <c:ext xmlns:c16="http://schemas.microsoft.com/office/drawing/2014/chart" uri="{C3380CC4-5D6E-409C-BE32-E72D297353CC}">
              <c16:uniqueId val="{00000003-9429-4EFE-9836-556B83B956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'SCG 2023 Table A Pie Chart'!$B$48</c:f>
              <c:strCache>
                <c:ptCount val="1"/>
                <c:pt idx="0">
                  <c:v>% of Residential &amp; C&amp;I Budget</c:v>
                </c:pt>
              </c:strCache>
            </c:strRef>
          </c:tx>
          <c:dPt>
            <c:idx val="0"/>
            <c:bubble3D val="0"/>
            <c:extLst>
              <c:ext xmlns:c16="http://schemas.microsoft.com/office/drawing/2014/chart" uri="{C3380CC4-5D6E-409C-BE32-E72D297353CC}">
                <c16:uniqueId val="{00000000-B1F4-4F1E-8C8A-EA7903D51CA0}"/>
              </c:ext>
            </c:extLst>
          </c:dPt>
          <c:dPt>
            <c:idx val="1"/>
            <c:bubble3D val="0"/>
            <c:extLst>
              <c:ext xmlns:c16="http://schemas.microsoft.com/office/drawing/2014/chart" uri="{C3380CC4-5D6E-409C-BE32-E72D297353CC}">
                <c16:uniqueId val="{00000001-B1F4-4F1E-8C8A-EA7903D51CA0}"/>
              </c:ext>
            </c:extLst>
          </c:dPt>
          <c:dPt>
            <c:idx val="2"/>
            <c:bubble3D val="0"/>
            <c:extLst>
              <c:ext xmlns:c16="http://schemas.microsoft.com/office/drawing/2014/chart" uri="{C3380CC4-5D6E-409C-BE32-E72D297353CC}">
                <c16:uniqueId val="{00000002-B1F4-4F1E-8C8A-EA7903D51CA0}"/>
              </c:ext>
            </c:extLst>
          </c:dPt>
          <c:dLbls>
            <c:dLbl>
              <c:idx val="0"/>
              <c:layout>
                <c:manualLayout>
                  <c:x val="8.9512218739647834E-2"/>
                  <c:y val="6.2459390718575036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F4-4F1E-8C8A-EA7903D51CA0}"/>
                </c:ext>
              </c:extLst>
            </c:dLbl>
            <c:dLbl>
              <c:idx val="1"/>
              <c:layout>
                <c:manualLayout>
                  <c:x val="0.22064286624366128"/>
                  <c:y val="-7.1578947368421048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F4-4F1E-8C8A-EA7903D51CA0}"/>
                </c:ext>
              </c:extLst>
            </c:dLbl>
            <c:dLbl>
              <c:idx val="2"/>
              <c:layout>
                <c:manualLayout>
                  <c:x val="-5.4418673393981092E-2"/>
                  <c:y val="8.6056085094626325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F4-4F1E-8C8A-EA7903D51CA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'SCG 2023 Table A Pie Chart'!$A$49:$A$51</c:f>
              <c:strCache>
                <c:ptCount val="3"/>
                <c:pt idx="0">
                  <c:v>Res. Income Eligible</c:v>
                </c:pt>
                <c:pt idx="1">
                  <c:v>Res. Non Income Eligible</c:v>
                </c:pt>
                <c:pt idx="2">
                  <c:v>Commercial and Industrial</c:v>
                </c:pt>
              </c:strCache>
            </c:strRef>
          </c:cat>
          <c:val>
            <c:numRef>
              <c:f>'SCG 2023 Table A Pie Chart'!$B$49:$B$51</c:f>
              <c:numCache>
                <c:formatCode>0.00%</c:formatCode>
                <c:ptCount val="3"/>
                <c:pt idx="0">
                  <c:v>0.29890006803657121</c:v>
                </c:pt>
                <c:pt idx="1">
                  <c:v>0.40285194021646925</c:v>
                </c:pt>
                <c:pt idx="2">
                  <c:v>0.29824799174695948</c:v>
                </c:pt>
              </c:numCache>
            </c:numRef>
          </c:val>
          <c:extLst>
            <c:ext xmlns:c16="http://schemas.microsoft.com/office/drawing/2014/chart" uri="{C3380CC4-5D6E-409C-BE32-E72D297353CC}">
              <c16:uniqueId val="{00000003-B1F4-4F1E-8C8A-EA7903D51CA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a:t>Budget By Customer Class</a:t>
            </a:r>
          </a:p>
        </c:rich>
      </c:tx>
      <c:layout>
        <c:manualLayout>
          <c:xMode val="edge"/>
          <c:yMode val="edge"/>
          <c:x val="0.33800011525505419"/>
          <c:y val="3.1496062992125984E-2"/>
        </c:manualLayout>
      </c:layout>
      <c:overlay val="0"/>
      <c:spPr>
        <a:noFill/>
        <a:ln w="25400">
          <a:noFill/>
        </a:ln>
      </c:spPr>
    </c:title>
    <c:autoTitleDeleted val="0"/>
    <c:plotArea>
      <c:layout>
        <c:manualLayout>
          <c:layoutTarget val="inner"/>
          <c:xMode val="edge"/>
          <c:yMode val="edge"/>
          <c:x val="0.29399999999999998"/>
          <c:y val="0.30971207992966682"/>
          <c:w val="0.378"/>
          <c:h val="0.49606426361616124"/>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3B37-4E00-BB9F-A1F6EFB25C84}"/>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B37-4E00-BB9F-A1F6EFB25C8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3B37-4E00-BB9F-A1F6EFB25C84}"/>
              </c:ext>
            </c:extLst>
          </c:dPt>
          <c:dLbls>
            <c:dLbl>
              <c:idx val="0"/>
              <c:layout>
                <c:manualLayout>
                  <c:x val="9.0666666666666562E-2"/>
                  <c:y val="1.0498687664041963E-2"/>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37-4E00-BB9F-A1F6EFB25C84}"/>
                </c:ext>
              </c:extLst>
            </c:dLbl>
            <c:dLbl>
              <c:idx val="1"/>
              <c:layout>
                <c:manualLayout>
                  <c:x val="0.13600000000000009"/>
                  <c:y val="-2.4496937882764653E-2"/>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37-4E00-BB9F-A1F6EFB25C84}"/>
                </c:ext>
              </c:extLst>
            </c:dLbl>
            <c:dLbl>
              <c:idx val="2"/>
              <c:layout>
                <c:manualLayout>
                  <c:x val="-6.4000000000000015E-2"/>
                  <c:y val="-6.299212598425194E-2"/>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37-4E00-BB9F-A1F6EFB25C84}"/>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('2014 Table A1 Pies '!$A$29:$A$30,'2014 Table A1 Pies '!$A$33)</c:f>
              <c:strCache>
                <c:ptCount val="3"/>
                <c:pt idx="0">
                  <c:v>Res. Income Eligible</c:v>
                </c:pt>
                <c:pt idx="1">
                  <c:v>Res. Non Income Eligible</c:v>
                </c:pt>
                <c:pt idx="2">
                  <c:v>Commercial and Industrial</c:v>
                </c:pt>
              </c:strCache>
            </c:strRef>
          </c:cat>
          <c:val>
            <c:numRef>
              <c:f>('2014 Table A1 Pies '!$E$29:$E$30,'2014 Table A1 Pies '!$E$33)</c:f>
              <c:numCache>
                <c:formatCode>0.00%</c:formatCode>
                <c:ptCount val="3"/>
                <c:pt idx="0">
                  <c:v>0</c:v>
                </c:pt>
                <c:pt idx="1">
                  <c:v>0</c:v>
                </c:pt>
                <c:pt idx="2">
                  <c:v>0</c:v>
                </c:pt>
              </c:numCache>
            </c:numRef>
          </c:val>
          <c:extLst>
            <c:ext xmlns:c16="http://schemas.microsoft.com/office/drawing/2014/chart" uri="{C3380CC4-5D6E-409C-BE32-E72D297353CC}">
              <c16:uniqueId val="{00000003-3B37-4E00-BB9F-A1F6EFB25C8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'SCG 2024 Table A Pie Chart'!$B$48</c:f>
              <c:strCache>
                <c:ptCount val="1"/>
                <c:pt idx="0">
                  <c:v>% of Residential &amp; C&amp;I Budget</c:v>
                </c:pt>
              </c:strCache>
            </c:strRef>
          </c:tx>
          <c:dPt>
            <c:idx val="0"/>
            <c:bubble3D val="0"/>
            <c:extLst>
              <c:ext xmlns:c16="http://schemas.microsoft.com/office/drawing/2014/chart" uri="{C3380CC4-5D6E-409C-BE32-E72D297353CC}">
                <c16:uniqueId val="{00000000-32F2-4252-B831-6D9A65366E80}"/>
              </c:ext>
            </c:extLst>
          </c:dPt>
          <c:dPt>
            <c:idx val="1"/>
            <c:bubble3D val="0"/>
            <c:extLst>
              <c:ext xmlns:c16="http://schemas.microsoft.com/office/drawing/2014/chart" uri="{C3380CC4-5D6E-409C-BE32-E72D297353CC}">
                <c16:uniqueId val="{00000001-32F2-4252-B831-6D9A65366E80}"/>
              </c:ext>
            </c:extLst>
          </c:dPt>
          <c:dPt>
            <c:idx val="2"/>
            <c:bubble3D val="0"/>
            <c:extLst>
              <c:ext xmlns:c16="http://schemas.microsoft.com/office/drawing/2014/chart" uri="{C3380CC4-5D6E-409C-BE32-E72D297353CC}">
                <c16:uniqueId val="{00000002-32F2-4252-B831-6D9A65366E80}"/>
              </c:ext>
            </c:extLst>
          </c:dPt>
          <c:dLbls>
            <c:dLbl>
              <c:idx val="0"/>
              <c:layout>
                <c:manualLayout>
                  <c:x val="8.9512218739647834E-2"/>
                  <c:y val="6.2459390718575036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F2-4252-B831-6D9A65366E80}"/>
                </c:ext>
              </c:extLst>
            </c:dLbl>
            <c:dLbl>
              <c:idx val="1"/>
              <c:layout>
                <c:manualLayout>
                  <c:x val="0.22064286624366128"/>
                  <c:y val="-7.1578947368421048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F2-4252-B831-6D9A65366E80}"/>
                </c:ext>
              </c:extLst>
            </c:dLbl>
            <c:dLbl>
              <c:idx val="2"/>
              <c:layout>
                <c:manualLayout>
                  <c:x val="-5.4418673393981092E-2"/>
                  <c:y val="8.6056085094626325E-2"/>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F2-4252-B831-6D9A65366E8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'SCG 2024 Table A Pie Chart'!$A$49:$A$51</c:f>
              <c:strCache>
                <c:ptCount val="3"/>
                <c:pt idx="0">
                  <c:v>Res. Income Eligible</c:v>
                </c:pt>
                <c:pt idx="1">
                  <c:v>Res. Non Income Eligible</c:v>
                </c:pt>
                <c:pt idx="2">
                  <c:v>Commercial and Industrial</c:v>
                </c:pt>
              </c:strCache>
            </c:strRef>
          </c:cat>
          <c:val>
            <c:numRef>
              <c:f>'SCG 2024 Table A Pie Chart'!$B$49:$B$51</c:f>
              <c:numCache>
                <c:formatCode>0.00%</c:formatCode>
                <c:ptCount val="3"/>
                <c:pt idx="0">
                  <c:v>0.30898120551715014</c:v>
                </c:pt>
                <c:pt idx="1">
                  <c:v>0.39290876027776028</c:v>
                </c:pt>
                <c:pt idx="2">
                  <c:v>0.29811003420508952</c:v>
                </c:pt>
              </c:numCache>
            </c:numRef>
          </c:val>
          <c:extLst>
            <c:ext xmlns:c16="http://schemas.microsoft.com/office/drawing/2014/chart" uri="{C3380CC4-5D6E-409C-BE32-E72D297353CC}">
              <c16:uniqueId val="{00000003-32F2-4252-B831-6D9A65366E8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FD4E-45FF-A7AF-7C75D385E698}"/>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D4E-45FF-A7AF-7C75D385E69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FD4E-45FF-A7AF-7C75D385E69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FD4E-45FF-A7AF-7C75D385E698}"/>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FD4E-45FF-A7AF-7C75D385E6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FD4E-45FF-A7AF-7C75D385E698}"/>
              </c:ext>
            </c:extLst>
          </c:dPt>
          <c:dLbls>
            <c:dLbl>
              <c:idx val="0"/>
              <c:layout>
                <c:manualLayout>
                  <c:x val="5.1953870279146108E-2"/>
                  <c:y val="-0.1146762619858174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D4E-45FF-A7AF-7C75D385E698}"/>
                </c:ext>
              </c:extLst>
            </c:dLbl>
            <c:dLbl>
              <c:idx val="1"/>
              <c:layout>
                <c:manualLayout>
                  <c:x val="0.12402201325674644"/>
                  <c:y val="2.8777726705760892E-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4E-45FF-A7AF-7C75D385E698}"/>
                </c:ext>
              </c:extLst>
            </c:dLbl>
            <c:dLbl>
              <c:idx val="2"/>
              <c:layout>
                <c:manualLayout>
                  <c:x val="5.0782986608759212E-2"/>
                  <c:y val="0.228943313143039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D4E-45FF-A7AF-7C75D385E698}"/>
                </c:ext>
              </c:extLst>
            </c:dLbl>
            <c:dLbl>
              <c:idx val="3"/>
              <c:layout>
                <c:manualLayout>
                  <c:x val="-7.8577501923054724E-2"/>
                  <c:y val="-5.38153238523416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4E-45FF-A7AF-7C75D385E698}"/>
                </c:ext>
              </c:extLst>
            </c:dLbl>
            <c:dLbl>
              <c:idx val="4"/>
              <c:layout>
                <c:manualLayout>
                  <c:x val="-0.32856479432645858"/>
                  <c:y val="-2.775941220560886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D4E-45FF-A7AF-7C75D385E698}"/>
                </c:ext>
              </c:extLst>
            </c:dLbl>
            <c:dLbl>
              <c:idx val="5"/>
              <c:layout>
                <c:manualLayout>
                  <c:x val="-0.17345326190774588"/>
                  <c:y val="-0.1277419947506561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4E-45FF-A7AF-7C75D385E698}"/>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D4E-45FF-A7AF-7C75D385E698}"/>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4E-45FF-A7AF-7C75D385E698}"/>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'YGS 2013 Table C Pie Chart '!$A$34:$A$39</c:f>
              <c:strCache>
                <c:ptCount val="6"/>
                <c:pt idx="0">
                  <c:v>Labor</c:v>
                </c:pt>
                <c:pt idx="1">
                  <c:v>Materials &amp; Supplies</c:v>
                </c:pt>
                <c:pt idx="2">
                  <c:v>Outside Services</c:v>
                </c:pt>
                <c:pt idx="3">
                  <c:v>Incentives</c:v>
                </c:pt>
                <c:pt idx="4">
                  <c:v>Marketing</c:v>
                </c:pt>
                <c:pt idx="5">
                  <c:v>Administrative Expenses</c:v>
                </c:pt>
              </c:strCache>
            </c:strRef>
          </c:cat>
          <c:val>
            <c:numRef>
              <c:f>'YGS 2013 Table C Pie Chart '!$B$34:$B$39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FD4E-45FF-A7AF-7C75D385E698}"/>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DCA4-48BF-A530-F6590959F69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DCA4-48BF-A530-F6590959F6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DCA4-48BF-A530-F6590959F6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DCA4-48BF-A530-F6590959F699}"/>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DCA4-48BF-A530-F6590959F6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DCA4-48BF-A530-F6590959F699}"/>
              </c:ext>
            </c:extLst>
          </c:dPt>
          <c:dLbls>
            <c:dLbl>
              <c:idx val="0"/>
              <c:layout>
                <c:manualLayout>
                  <c:x val="4.4246125610832236E-2"/>
                  <c:y val="-0.1239566105158243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CA4-48BF-A530-F6590959F699}"/>
                </c:ext>
              </c:extLst>
            </c:dLbl>
            <c:dLbl>
              <c:idx val="1"/>
              <c:layout>
                <c:manualLayout>
                  <c:x val="0.12274157418904702"/>
                  <c:y val="-3.318615334153678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A4-48BF-A530-F6590959F699}"/>
                </c:ext>
              </c:extLst>
            </c:dLbl>
            <c:dLbl>
              <c:idx val="2"/>
              <c:layout>
                <c:manualLayout>
                  <c:x val="0.11237948295648437"/>
                  <c:y val="0.19755915274308078"/>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CA4-48BF-A530-F6590959F699}"/>
                </c:ext>
              </c:extLst>
            </c:dLbl>
            <c:dLbl>
              <c:idx val="3"/>
              <c:layout>
                <c:manualLayout>
                  <c:x val="-8.1976356703181041E-2"/>
                  <c:y val="-3.7449624656879836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A4-48BF-A530-F6590959F699}"/>
                </c:ext>
              </c:extLst>
            </c:dLbl>
            <c:dLbl>
              <c:idx val="4"/>
              <c:layout>
                <c:manualLayout>
                  <c:x val="-0.32853798274404128"/>
                  <c:y val="-3.8473597641001452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CA4-48BF-A530-F6590959F699}"/>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CA4-48BF-A530-F6590959F699}"/>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CA4-48BF-A530-F6590959F699}"/>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CA4-48BF-A530-F6590959F699}"/>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'YGS 2012 Tab C Pie Chart Inc Fu'!$A$34:$A$39</c:f>
              <c:strCache>
                <c:ptCount val="6"/>
                <c:pt idx="0">
                  <c:v>Labor</c:v>
                </c:pt>
                <c:pt idx="1">
                  <c:v>Materials &amp; Supplies</c:v>
                </c:pt>
                <c:pt idx="2">
                  <c:v>Outside Services</c:v>
                </c:pt>
                <c:pt idx="3">
                  <c:v>Incentives</c:v>
                </c:pt>
                <c:pt idx="4">
                  <c:v>Marketing</c:v>
                </c:pt>
                <c:pt idx="5">
                  <c:v>Administrative Expenses</c:v>
                </c:pt>
              </c:strCache>
            </c:strRef>
          </c:cat>
          <c:val>
            <c:numRef>
              <c:f>'YGS 2012 Tab C Pie Chart Inc Fu'!$B$34:$B$39</c:f>
              <c:numCache>
                <c:formatCode>_("$"* #,##0_);_("$"* \(#,##0\);_("$"* "-"_);_(@_)</c:formatCode>
                <c:ptCount val="6"/>
                <c:pt idx="0">
                  <c:v>1232604</c:v>
                </c:pt>
                <c:pt idx="1">
                  <c:v>20830.93</c:v>
                </c:pt>
                <c:pt idx="2">
                  <c:v>1614753.585</c:v>
                </c:pt>
                <c:pt idx="3">
                  <c:v>9995108.4550000001</c:v>
                </c:pt>
                <c:pt idx="4">
                  <c:v>113206.93</c:v>
                </c:pt>
                <c:pt idx="5">
                  <c:v>70679.899999999994</c:v>
                </c:pt>
              </c:numCache>
            </c:numRef>
          </c:val>
          <c:extLst>
            <c:ext xmlns:c16="http://schemas.microsoft.com/office/drawing/2014/chart" uri="{C3380CC4-5D6E-409C-BE32-E72D297353CC}">
              <c16:uniqueId val="{00000008-DCA4-48BF-A530-F6590959F699}"/>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933A-45E0-A70E-DAC72A1EEDE3}"/>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3A-45E0-A70E-DAC72A1EEDE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933A-45E0-A70E-DAC72A1EEDE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933A-45E0-A70E-DAC72A1EEDE3}"/>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933A-45E0-A70E-DAC72A1EEDE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933A-45E0-A70E-DAC72A1EEDE3}"/>
              </c:ext>
            </c:extLst>
          </c:dPt>
          <c:dLbls>
            <c:dLbl>
              <c:idx val="0"/>
              <c:layout>
                <c:manualLayout>
                  <c:x val="4.4246125610832236E-2"/>
                  <c:y val="-0.1239566105158243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33A-45E0-A70E-DAC72A1EEDE3}"/>
                </c:ext>
              </c:extLst>
            </c:dLbl>
            <c:dLbl>
              <c:idx val="1"/>
              <c:layout>
                <c:manualLayout>
                  <c:x val="0.12274157418904702"/>
                  <c:y val="-3.318615334153678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33A-45E0-A70E-DAC72A1EEDE3}"/>
                </c:ext>
              </c:extLst>
            </c:dLbl>
            <c:dLbl>
              <c:idx val="2"/>
              <c:layout>
                <c:manualLayout>
                  <c:x val="0.11237948295648437"/>
                  <c:y val="0.19755915274308078"/>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33A-45E0-A70E-DAC72A1EEDE3}"/>
                </c:ext>
              </c:extLst>
            </c:dLbl>
            <c:dLbl>
              <c:idx val="3"/>
              <c:layout>
                <c:manualLayout>
                  <c:x val="-8.1976356703181041E-2"/>
                  <c:y val="-3.7449624656879836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33A-45E0-A70E-DAC72A1EEDE3}"/>
                </c:ext>
              </c:extLst>
            </c:dLbl>
            <c:dLbl>
              <c:idx val="4"/>
              <c:layout>
                <c:manualLayout>
                  <c:x val="-0.32853798274404128"/>
                  <c:y val="-3.8473597641001452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33A-45E0-A70E-DAC72A1EEDE3}"/>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33A-45E0-A70E-DAC72A1EEDE3}"/>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33A-45E0-A70E-DAC72A1EEDE3}"/>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33A-45E0-A70E-DAC72A1EEDE3}"/>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'YGS 2013 Tab C Pie Chart '!$A$34:$A$39</c:f>
              <c:strCache>
                <c:ptCount val="6"/>
                <c:pt idx="0">
                  <c:v>Labor</c:v>
                </c:pt>
                <c:pt idx="1">
                  <c:v>Materials &amp; Supplies</c:v>
                </c:pt>
                <c:pt idx="2">
                  <c:v>Outside Services</c:v>
                </c:pt>
                <c:pt idx="3">
                  <c:v>Incentives</c:v>
                </c:pt>
                <c:pt idx="4">
                  <c:v>Marketing</c:v>
                </c:pt>
                <c:pt idx="5">
                  <c:v>Administrative Expenses</c:v>
                </c:pt>
              </c:strCache>
            </c:strRef>
          </c:cat>
          <c:val>
            <c:numRef>
              <c:f>'YGS 2013 Tab C Pie Chart '!$B$34:$B$39</c:f>
              <c:numCache>
                <c:formatCode>_("$"* #,##0_);_("$"* \(#,##0\);_("$"* "-"_);_(@_)</c:formatCode>
                <c:ptCount val="6"/>
                <c:pt idx="0">
                  <c:v>1161174.3795583844</c:v>
                </c:pt>
                <c:pt idx="1">
                  <c:v>11490.962715048383</c:v>
                </c:pt>
                <c:pt idx="2">
                  <c:v>1660896.2805233081</c:v>
                </c:pt>
                <c:pt idx="3">
                  <c:v>8901082.803966919</c:v>
                </c:pt>
                <c:pt idx="4">
                  <c:v>229122.89783584699</c:v>
                </c:pt>
                <c:pt idx="5">
                  <c:v>646808.288822509</c:v>
                </c:pt>
              </c:numCache>
            </c:numRef>
          </c:val>
          <c:extLst>
            <c:ext xmlns:c16="http://schemas.microsoft.com/office/drawing/2014/chart" uri="{C3380CC4-5D6E-409C-BE32-E72D297353CC}">
              <c16:uniqueId val="{00000008-933A-45E0-A70E-DAC72A1EEDE3}"/>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4A97-4C6F-A2F9-1994ACF340F1}"/>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A97-4C6F-A2F9-1994ACF340F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4A97-4C6F-A2F9-1994ACF340F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4A97-4C6F-A2F9-1994ACF340F1}"/>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4A97-4C6F-A2F9-1994ACF340F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4A97-4C6F-A2F9-1994ACF340F1}"/>
              </c:ext>
            </c:extLst>
          </c:dPt>
          <c:dLbls>
            <c:dLbl>
              <c:idx val="0"/>
              <c:layout>
                <c:manualLayout>
                  <c:x val="2.4691358024691357E-2"/>
                  <c:y val="-0.1033333333333333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A97-4C6F-A2F9-1994ACF340F1}"/>
                </c:ext>
              </c:extLst>
            </c:dLbl>
            <c:dLbl>
              <c:idx val="1"/>
              <c:layout>
                <c:manualLayout>
                  <c:x val="7.4074074074073973E-2"/>
                  <c:y val="-0.04"/>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97-4C6F-A2F9-1994ACF340F1}"/>
                </c:ext>
              </c:extLst>
            </c:dLbl>
            <c:dLbl>
              <c:idx val="2"/>
              <c:layout>
                <c:manualLayout>
                  <c:x val="0.12345679012345678"/>
                  <c:y val="3.3333333333333333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A97-4C6F-A2F9-1994ACF340F1}"/>
                </c:ext>
              </c:extLst>
            </c:dLbl>
            <c:dLbl>
              <c:idx val="3"/>
              <c:layout>
                <c:manualLayout>
                  <c:x val="-0.15089163237311384"/>
                  <c:y val="0"/>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97-4C6F-A2F9-1994ACF340F1}"/>
                </c:ext>
              </c:extLst>
            </c:dLbl>
            <c:dLbl>
              <c:idx val="4"/>
              <c:layout>
                <c:manualLayout>
                  <c:x val="-0.18381344307270236"/>
                  <c:y val="-0.0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A97-4C6F-A2F9-1994ACF340F1}"/>
                </c:ext>
              </c:extLst>
            </c:dLbl>
            <c:dLbl>
              <c:idx val="5"/>
              <c:layout>
                <c:manualLayout>
                  <c:x val="0"/>
                  <c:y val="-6.000000000000000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A97-4C6F-A2F9-1994ACF340F1}"/>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'YGS 2014 Tab C Pie Chart '!$A$34:$A$39</c:f>
              <c:strCache>
                <c:ptCount val="6"/>
                <c:pt idx="0">
                  <c:v>Labor</c:v>
                </c:pt>
                <c:pt idx="1">
                  <c:v>Materials &amp; Supplies</c:v>
                </c:pt>
                <c:pt idx="2">
                  <c:v>Outside Services</c:v>
                </c:pt>
                <c:pt idx="3">
                  <c:v>Incentives</c:v>
                </c:pt>
                <c:pt idx="4">
                  <c:v>Marketing</c:v>
                </c:pt>
                <c:pt idx="5">
                  <c:v>Administrative Expenses</c:v>
                </c:pt>
              </c:strCache>
            </c:strRef>
          </c:cat>
          <c:val>
            <c:numRef>
              <c:f>'YGS 2014 Tab C Pie Chart '!$B$34:$B$39</c:f>
              <c:numCache>
                <c:formatCode>_("$"* #,##0_);_("$"* \(#,##0\);_("$"* "-"_);_(@_)</c:formatCode>
                <c:ptCount val="6"/>
                <c:pt idx="0">
                  <c:v>1267793.9910433362</c:v>
                </c:pt>
                <c:pt idx="1">
                  <c:v>13167.924027981042</c:v>
                </c:pt>
                <c:pt idx="2">
                  <c:v>1786853.1448310507</c:v>
                </c:pt>
                <c:pt idx="3">
                  <c:v>10163687.451744951</c:v>
                </c:pt>
                <c:pt idx="4">
                  <c:v>263111.33031857479</c:v>
                </c:pt>
                <c:pt idx="5">
                  <c:v>729811.94391827355</c:v>
                </c:pt>
              </c:numCache>
            </c:numRef>
          </c:val>
          <c:extLst>
            <c:ext xmlns:c16="http://schemas.microsoft.com/office/drawing/2014/chart" uri="{C3380CC4-5D6E-409C-BE32-E72D297353CC}">
              <c16:uniqueId val="{00000006-4A97-4C6F-A2F9-1994ACF340F1}"/>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B0DC-48D5-B56B-B5F575183374}"/>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B0DC-48D5-B56B-B5F57518337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B0DC-48D5-B56B-B5F57518337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B0DC-48D5-B56B-B5F575183374}"/>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B0DC-48D5-B56B-B5F57518337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B0DC-48D5-B56B-B5F575183374}"/>
              </c:ext>
            </c:extLst>
          </c:dPt>
          <c:dLbls>
            <c:dLbl>
              <c:idx val="0"/>
              <c:layout>
                <c:manualLayout>
                  <c:x val="4.4246125610832236E-2"/>
                  <c:y val="-0.1239566105158243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0DC-48D5-B56B-B5F575183374}"/>
                </c:ext>
              </c:extLst>
            </c:dLbl>
            <c:dLbl>
              <c:idx val="1"/>
              <c:layout>
                <c:manualLayout>
                  <c:x val="0.12274157418904702"/>
                  <c:y val="-3.318615334153678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DC-48D5-B56B-B5F575183374}"/>
                </c:ext>
              </c:extLst>
            </c:dLbl>
            <c:dLbl>
              <c:idx val="2"/>
              <c:layout>
                <c:manualLayout>
                  <c:x val="0.11237948295648437"/>
                  <c:y val="0.19755915274308078"/>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0DC-48D5-B56B-B5F575183374}"/>
                </c:ext>
              </c:extLst>
            </c:dLbl>
            <c:dLbl>
              <c:idx val="3"/>
              <c:layout>
                <c:manualLayout>
                  <c:x val="-8.1976356703181041E-2"/>
                  <c:y val="-3.7449624656879836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0DC-48D5-B56B-B5F575183374}"/>
                </c:ext>
              </c:extLst>
            </c:dLbl>
            <c:dLbl>
              <c:idx val="4"/>
              <c:layout>
                <c:manualLayout>
                  <c:x val="-0.32853798274404128"/>
                  <c:y val="-3.8473597641001452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0DC-48D5-B56B-B5F575183374}"/>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DC-48D5-B56B-B5F575183374}"/>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0DC-48D5-B56B-B5F575183374}"/>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DC-48D5-B56B-B5F575183374}"/>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'YGS 2015 Tab C Pie Chart '!$A$34:$A$39</c:f>
              <c:strCache>
                <c:ptCount val="6"/>
                <c:pt idx="0">
                  <c:v>Labor</c:v>
                </c:pt>
                <c:pt idx="1">
                  <c:v>Materials &amp; Supplies</c:v>
                </c:pt>
                <c:pt idx="2">
                  <c:v>Outside Services</c:v>
                </c:pt>
                <c:pt idx="3">
                  <c:v>Incentives</c:v>
                </c:pt>
                <c:pt idx="4">
                  <c:v>Marketing</c:v>
                </c:pt>
                <c:pt idx="5">
                  <c:v>Administrative Expenses</c:v>
                </c:pt>
              </c:strCache>
            </c:strRef>
          </c:cat>
          <c:val>
            <c:numRef>
              <c:f>'YGS 2015 Tab C Pie Chart '!$B$34:$B$39</c:f>
              <c:numCache>
                <c:formatCode>_("$"* #,##0_);_("$"* \(#,##0\);_("$"* "-"_);_(@_)</c:formatCode>
                <c:ptCount val="6"/>
                <c:pt idx="0">
                  <c:v>1410537.5901008518</c:v>
                </c:pt>
                <c:pt idx="1">
                  <c:v>15505.001776104298</c:v>
                </c:pt>
                <c:pt idx="2">
                  <c:v>1965105.3600785125</c:v>
                </c:pt>
                <c:pt idx="3">
                  <c:v>11752470.500716135</c:v>
                </c:pt>
                <c:pt idx="4">
                  <c:v>324954.41848801984</c:v>
                </c:pt>
                <c:pt idx="5">
                  <c:v>837477.28192605067</c:v>
                </c:pt>
              </c:numCache>
            </c:numRef>
          </c:val>
          <c:extLst>
            <c:ext xmlns:c16="http://schemas.microsoft.com/office/drawing/2014/chart" uri="{C3380CC4-5D6E-409C-BE32-E72D297353CC}">
              <c16:uniqueId val="{00000008-B0DC-48D5-B56B-B5F575183374}"/>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3A48-42FC-83EF-0B1E568748A7}"/>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A48-42FC-83EF-0B1E568748A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3A48-42FC-83EF-0B1E568748A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3A48-42FC-83EF-0B1E568748A7}"/>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3A48-42FC-83EF-0B1E568748A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3A48-42FC-83EF-0B1E568748A7}"/>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A48-42FC-83EF-0B1E568748A7}"/>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48-42FC-83EF-0B1E568748A7}"/>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A48-42FC-83EF-0B1E568748A7}"/>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48-42FC-83EF-0B1E568748A7}"/>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A48-42FC-83EF-0B1E568748A7}"/>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48-42FC-83EF-0B1E568748A7}"/>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A48-42FC-83EF-0B1E568748A7}"/>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48-42FC-83EF-0B1E568748A7}"/>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2013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'CNG 2013 Table C Pie Chart'!$B$34:$B$39</c:f>
              <c:numCache>
                <c:formatCode>_("$"* #,##0_);_("$"* \(#,##0\);_("$"* "-"_);_(@_)</c:formatCode>
                <c:ptCount val="6"/>
                <c:pt idx="0">
                  <c:v>855060.03997516842</c:v>
                </c:pt>
                <c:pt idx="1">
                  <c:v>13413.482712605226</c:v>
                </c:pt>
                <c:pt idx="2">
                  <c:v>1070456.3159300857</c:v>
                </c:pt>
                <c:pt idx="3">
                  <c:v>6146904.5999999996</c:v>
                </c:pt>
                <c:pt idx="4">
                  <c:v>58580.588712347046</c:v>
                </c:pt>
                <c:pt idx="5">
                  <c:v>442999.94978200004</c:v>
                </c:pt>
              </c:numCache>
            </c:numRef>
          </c:val>
          <c:extLst>
            <c:ext xmlns:c16="http://schemas.microsoft.com/office/drawing/2014/chart" uri="{C3380CC4-5D6E-409C-BE32-E72D297353CC}">
              <c16:uniqueId val="{00000008-3A48-42FC-83EF-0B1E568748A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FBD0-443C-8CEF-5B25783B9E81}"/>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BD0-443C-8CEF-5B25783B9E8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FBD0-443C-8CEF-5B25783B9E8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FBD0-443C-8CEF-5B25783B9E81}"/>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FBD0-443C-8CEF-5B25783B9E8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FBD0-443C-8CEF-5B25783B9E81}"/>
              </c:ext>
            </c:extLst>
          </c:dPt>
          <c:dLbls>
            <c:dLbl>
              <c:idx val="0"/>
              <c:layout>
                <c:manualLayout>
                  <c:x val="5.5568979999775718E-2"/>
                  <c:y val="-0.11993533846625848"/>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D0-443C-8CEF-5B25783B9E81}"/>
                </c:ext>
              </c:extLst>
            </c:dLbl>
            <c:dLbl>
              <c:idx val="1"/>
              <c:layout>
                <c:manualLayout>
                  <c:x val="0.12489427028134523"/>
                  <c:y val="-2.234332236112122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D0-443C-8CEF-5B25783B9E81}"/>
                </c:ext>
              </c:extLst>
            </c:dLbl>
            <c:dLbl>
              <c:idx val="2"/>
              <c:layout>
                <c:manualLayout>
                  <c:x val="9.5122946508694003E-2"/>
                  <c:y val="0.20541090455624925"/>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D0-443C-8CEF-5B25783B9E81}"/>
                </c:ext>
              </c:extLst>
            </c:dLbl>
            <c:dLbl>
              <c:idx val="3"/>
              <c:layout>
                <c:manualLayout>
                  <c:x val="-7.0387391684036377E-2"/>
                  <c:y val="4.7963327788354763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D0-443C-8CEF-5B25783B9E81}"/>
                </c:ext>
              </c:extLst>
            </c:dLbl>
            <c:dLbl>
              <c:idx val="4"/>
              <c:layout>
                <c:manualLayout>
                  <c:x val="-0.33493421419835728"/>
                  <c:y val="-2.8102456825031433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D0-443C-8CEF-5B25783B9E81}"/>
                </c:ext>
              </c:extLst>
            </c:dLbl>
            <c:dLbl>
              <c:idx val="5"/>
              <c:layout>
                <c:manualLayout>
                  <c:x val="-0.17527584272711874"/>
                  <c:y val="-0.12787349081364829"/>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D0-443C-8CEF-5B25783B9E81}"/>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D0-443C-8CEF-5B25783B9E81}"/>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D0-443C-8CEF-5B25783B9E81}"/>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2012 Table C Pie Chart Incr'!$A$34:$A$39</c:f>
              <c:strCache>
                <c:ptCount val="6"/>
                <c:pt idx="0">
                  <c:v>Labor</c:v>
                </c:pt>
                <c:pt idx="1">
                  <c:v>Materials &amp; Supplies</c:v>
                </c:pt>
                <c:pt idx="2">
                  <c:v>Outside Services</c:v>
                </c:pt>
                <c:pt idx="3">
                  <c:v>Incentives</c:v>
                </c:pt>
                <c:pt idx="4">
                  <c:v>Marketing</c:v>
                </c:pt>
                <c:pt idx="5">
                  <c:v>Administrative Expenses</c:v>
                </c:pt>
              </c:strCache>
            </c:strRef>
          </c:cat>
          <c:val>
            <c:numRef>
              <c:f>'CNG 2012 Table C Pie Chart Incr'!$B$34:$B$39</c:f>
              <c:numCache>
                <c:formatCode>_("$"* #,##0_);_("$"* \(#,##0\);_("$"* "-"_);_(@_)</c:formatCode>
                <c:ptCount val="6"/>
                <c:pt idx="0">
                  <c:v>1177022</c:v>
                </c:pt>
                <c:pt idx="1">
                  <c:v>20330</c:v>
                </c:pt>
                <c:pt idx="2">
                  <c:v>1297186</c:v>
                </c:pt>
                <c:pt idx="3">
                  <c:v>7980254</c:v>
                </c:pt>
                <c:pt idx="4">
                  <c:v>86554</c:v>
                </c:pt>
                <c:pt idx="5">
                  <c:v>84475</c:v>
                </c:pt>
              </c:numCache>
            </c:numRef>
          </c:val>
          <c:extLst>
            <c:ext xmlns:c16="http://schemas.microsoft.com/office/drawing/2014/chart" uri="{C3380CC4-5D6E-409C-BE32-E72D297353CC}">
              <c16:uniqueId val="{00000008-FBD0-443C-8CEF-5B25783B9E81}"/>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89CF-4E63-9506-E80F6C7F7740}"/>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9CF-4E63-9506-E80F6C7F774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89CF-4E63-9506-E80F6C7F774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89CF-4E63-9506-E80F6C7F7740}"/>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89CF-4E63-9506-E80F6C7F77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89CF-4E63-9506-E80F6C7F7740}"/>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CF-4E63-9506-E80F6C7F7740}"/>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F-4E63-9506-E80F6C7F7740}"/>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9CF-4E63-9506-E80F6C7F7740}"/>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9CF-4E63-9506-E80F6C7F7740}"/>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9CF-4E63-9506-E80F6C7F7740}"/>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9CF-4E63-9506-E80F6C7F7740}"/>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9CF-4E63-9506-E80F6C7F7740}"/>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9CF-4E63-9506-E80F6C7F7740}"/>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2014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'CNG 2014 Table C Pie Chart'!$B$34:$B$39</c:f>
              <c:numCache>
                <c:formatCode>_("$"* #,##0_);_("$"* \(#,##0\);_("$"* "-"_);_(@_)</c:formatCode>
                <c:ptCount val="6"/>
                <c:pt idx="0">
                  <c:v>0</c:v>
                </c:pt>
                <c:pt idx="1">
                  <c:v>26600</c:v>
                </c:pt>
                <c:pt idx="2">
                  <c:v>0</c:v>
                </c:pt>
                <c:pt idx="3">
                  <c:v>9994585</c:v>
                </c:pt>
                <c:pt idx="4">
                  <c:v>168700</c:v>
                </c:pt>
                <c:pt idx="5">
                  <c:v>0</c:v>
                </c:pt>
              </c:numCache>
            </c:numRef>
          </c:val>
          <c:extLst>
            <c:ext xmlns:c16="http://schemas.microsoft.com/office/drawing/2014/chart" uri="{C3380CC4-5D6E-409C-BE32-E72D297353CC}">
              <c16:uniqueId val="{00000008-89CF-4E63-9506-E80F6C7F774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8884-4268-BC59-42EB786F058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884-4268-BC59-42EB786F058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8884-4268-BC59-42EB786F058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8884-4268-BC59-42EB786F0589}"/>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8884-4268-BC59-42EB786F058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8884-4268-BC59-42EB786F0589}"/>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84-4268-BC59-42EB786F0589}"/>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84-4268-BC59-42EB786F0589}"/>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84-4268-BC59-42EB786F0589}"/>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84-4268-BC59-42EB786F0589}"/>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84-4268-BC59-42EB786F0589}"/>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84-4268-BC59-42EB786F0589}"/>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84-4268-BC59-42EB786F0589}"/>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84-4268-BC59-42EB786F0589}"/>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2016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'CNG 2016 Table C Pie Chart'!$B$34:$B$39</c:f>
              <c:numCache>
                <c:formatCode>_("$"* #,##0_);_("$"* \(#,##0\);_("$"* "-"_);_(@_)</c:formatCode>
                <c:ptCount val="6"/>
                <c:pt idx="0">
                  <c:v>0</c:v>
                </c:pt>
                <c:pt idx="1">
                  <c:v>36361</c:v>
                </c:pt>
                <c:pt idx="2">
                  <c:v>0</c:v>
                </c:pt>
                <c:pt idx="3">
                  <c:v>13973924</c:v>
                </c:pt>
                <c:pt idx="4">
                  <c:v>119788</c:v>
                </c:pt>
                <c:pt idx="5">
                  <c:v>0</c:v>
                </c:pt>
              </c:numCache>
            </c:numRef>
          </c:val>
          <c:extLst>
            <c:ext xmlns:c16="http://schemas.microsoft.com/office/drawing/2014/chart" uri="{C3380CC4-5D6E-409C-BE32-E72D297353CC}">
              <c16:uniqueId val="{00000008-8884-4268-BC59-42EB786F058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a:t>Budget By Customer Class</a:t>
            </a:r>
          </a:p>
        </c:rich>
      </c:tx>
      <c:layout>
        <c:manualLayout>
          <c:xMode val="edge"/>
          <c:yMode val="edge"/>
          <c:x val="0.33800011525505419"/>
          <c:y val="3.1496062992125984E-2"/>
        </c:manualLayout>
      </c:layout>
      <c:overlay val="0"/>
      <c:spPr>
        <a:noFill/>
        <a:ln w="25400">
          <a:noFill/>
        </a:ln>
      </c:spPr>
    </c:title>
    <c:autoTitleDeleted val="0"/>
    <c:plotArea>
      <c:layout>
        <c:manualLayout>
          <c:layoutTarget val="inner"/>
          <c:xMode val="edge"/>
          <c:yMode val="edge"/>
          <c:x val="0.29399999999999998"/>
          <c:y val="0.30971207992966682"/>
          <c:w val="0.378"/>
          <c:h val="0.49606426361616124"/>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70C9-45C9-820F-16BEA7D86EF3}"/>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0C9-45C9-820F-16BEA7D86EF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70C9-45C9-820F-16BEA7D86EF3}"/>
              </c:ext>
            </c:extLst>
          </c:dPt>
          <c:dLbls>
            <c:dLbl>
              <c:idx val="0"/>
              <c:layout>
                <c:manualLayout>
                  <c:x val="6.6658897637795339E-2"/>
                  <c:y val="3.2620413176475016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C9-45C9-820F-16BEA7D86EF3}"/>
                </c:ext>
              </c:extLst>
            </c:dLbl>
            <c:dLbl>
              <c:idx val="1"/>
              <c:layout>
                <c:manualLayout>
                  <c:x val="5.5516850393700863E-2"/>
                  <c:y val="-1.1958608938379618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C9-45C9-820F-16BEA7D86EF3}"/>
                </c:ext>
              </c:extLst>
            </c:dLbl>
            <c:dLbl>
              <c:idx val="2"/>
              <c:layout>
                <c:manualLayout>
                  <c:x val="-4.2040524934383199E-2"/>
                  <c:y val="-1.2835496553823211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C9-45C9-820F-16BEA7D86EF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('2015 Table A1 Pies '!$A$29:$A$30,'2015 Table A1 Pies '!$A$33)</c:f>
              <c:strCache>
                <c:ptCount val="3"/>
                <c:pt idx="0">
                  <c:v>Res. Income Eligible</c:v>
                </c:pt>
                <c:pt idx="1">
                  <c:v>Res. Non Income Eligible</c:v>
                </c:pt>
                <c:pt idx="2">
                  <c:v>Commercial and Industrial</c:v>
                </c:pt>
              </c:strCache>
            </c:strRef>
          </c:cat>
          <c:val>
            <c:numRef>
              <c:f>('2015 Table A1 Pies '!$E$29:$E$30,'2015 Table A1 Pies '!$E$33)</c:f>
              <c:numCache>
                <c:formatCode>0.00%</c:formatCode>
                <c:ptCount val="3"/>
                <c:pt idx="0">
                  <c:v>0</c:v>
                </c:pt>
                <c:pt idx="1">
                  <c:v>0</c:v>
                </c:pt>
                <c:pt idx="2">
                  <c:v>0</c:v>
                </c:pt>
              </c:numCache>
            </c:numRef>
          </c:val>
          <c:extLst>
            <c:ext xmlns:c16="http://schemas.microsoft.com/office/drawing/2014/chart" uri="{C3380CC4-5D6E-409C-BE32-E72D297353CC}">
              <c16:uniqueId val="{00000003-70C9-45C9-820F-16BEA7D86EF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ED1D-4CB0-A207-57DB1F335BC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D1D-4CB0-A207-57DB1F335BC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ED1D-4CB0-A207-57DB1F335BC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ED1D-4CB0-A207-57DB1F335BC9}"/>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ED1D-4CB0-A207-57DB1F335BC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ED1D-4CB0-A207-57DB1F335BC9}"/>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D1D-4CB0-A207-57DB1F335BC9}"/>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1D-4CB0-A207-57DB1F335BC9}"/>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1D-4CB0-A207-57DB1F335BC9}"/>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1D-4CB0-A207-57DB1F335BC9}"/>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1D-4CB0-A207-57DB1F335BC9}"/>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D1D-4CB0-A207-57DB1F335BC9}"/>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D1D-4CB0-A207-57DB1F335BC9}"/>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D1D-4CB0-A207-57DB1F335BC9}"/>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2013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'SCG 2013 Table C Pie Chart'!$B$34:$B$39</c:f>
              <c:numCache>
                <c:formatCode>_("$"* #,##0_);_("$"* \(#,##0\);_("$"* "-"_);_(@_)</c:formatCode>
                <c:ptCount val="6"/>
                <c:pt idx="0">
                  <c:v>800450.28997516842</c:v>
                </c:pt>
                <c:pt idx="1">
                  <c:v>11003.583030605227</c:v>
                </c:pt>
                <c:pt idx="2">
                  <c:v>1081130.8559520857</c:v>
                </c:pt>
                <c:pt idx="3">
                  <c:v>4692742.5823297938</c:v>
                </c:pt>
                <c:pt idx="4">
                  <c:v>59056.17750234704</c:v>
                </c:pt>
                <c:pt idx="5">
                  <c:v>371944</c:v>
                </c:pt>
              </c:numCache>
            </c:numRef>
          </c:val>
          <c:extLst>
            <c:ext xmlns:c16="http://schemas.microsoft.com/office/drawing/2014/chart" uri="{C3380CC4-5D6E-409C-BE32-E72D297353CC}">
              <c16:uniqueId val="{00000008-ED1D-4CB0-A207-57DB1F335BC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1212627822445"/>
          <c:y val="0.26054622138916789"/>
          <c:w val="0.39917775683544887"/>
          <c:h val="0.48139016142379593"/>
        </c:manualLayout>
      </c:layout>
      <c:pieChart>
        <c:varyColors val="1"/>
        <c:ser>
          <c:idx val="0"/>
          <c:order val="0"/>
          <c:spPr>
            <a:solidFill>
              <a:srgbClr val="8080FF"/>
            </a:solidFill>
            <a:ln w="25400">
              <a:noFill/>
            </a:ln>
          </c:spPr>
          <c:dPt>
            <c:idx val="0"/>
            <c:bubble3D val="0"/>
            <c:extLst>
              <c:ext xmlns:c16="http://schemas.microsoft.com/office/drawing/2014/chart" uri="{C3380CC4-5D6E-409C-BE32-E72D297353CC}">
                <c16:uniqueId val="{00000000-1F0C-4A83-AD08-1FB058771D76}"/>
              </c:ext>
            </c:extLst>
          </c:dPt>
          <c:dLbls>
            <c:dLbl>
              <c:idx val="0"/>
              <c:layout>
                <c:manualLayout>
                  <c:x val="4.5230755618500963E-2"/>
                  <c:y val="-0.127362552896215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1F0C-4A83-AD08-1FB058771D76}"/>
                </c:ext>
              </c:extLst>
            </c:dLbl>
            <c:dLbl>
              <c:idx val="1"/>
              <c:layout>
                <c:manualLayout>
                  <c:x val="0.12410796535664666"/>
                  <c:y val="-1.35797628702340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0C-4A83-AD08-1FB058771D76}"/>
                </c:ext>
              </c:extLst>
            </c:dLbl>
            <c:dLbl>
              <c:idx val="2"/>
              <c:layout>
                <c:manualLayout>
                  <c:x val="0.10054761238428563"/>
                  <c:y val="3.63756139393466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F0C-4A83-AD08-1FB058771D76}"/>
                </c:ext>
              </c:extLst>
            </c:dLbl>
            <c:dLbl>
              <c:idx val="3"/>
              <c:layout>
                <c:manualLayout>
                  <c:x val="-8.0647000457225754E-2"/>
                  <c:y val="-4.838678703087779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0C-4A83-AD08-1FB058771D76}"/>
                </c:ext>
              </c:extLst>
            </c:dLbl>
            <c:dLbl>
              <c:idx val="4"/>
              <c:layout>
                <c:manualLayout>
                  <c:x val="-0.31611530364405033"/>
                  <c:y val="0.10211738336498254"/>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F0C-4A83-AD08-1FB058771D76}"/>
                </c:ext>
              </c:extLst>
            </c:dLbl>
            <c:dLbl>
              <c:idx val="5"/>
              <c:layout>
                <c:manualLayout>
                  <c:x val="-0.18439671381901682"/>
                  <c:y val="-7.443355130142602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0C-4A83-AD08-1FB058771D76}"/>
                </c:ext>
              </c:extLst>
            </c:dLbl>
            <c:dLbl>
              <c:idx val="6"/>
              <c:layout>
                <c:manualLayout>
                  <c:xMode val="edge"/>
                  <c:yMode val="edge"/>
                  <c:x val="0.30246974358149992"/>
                  <c:y val="1.4888355507952452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F0C-4A83-AD08-1FB058771D76}"/>
                </c:ext>
              </c:extLst>
            </c:dLbl>
            <c:dLbl>
              <c:idx val="7"/>
              <c:layout>
                <c:manualLayout>
                  <c:xMode val="edge"/>
                  <c:yMode val="edge"/>
                  <c:x val="0.28806642245857134"/>
                  <c:y val="2.9776711015904903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F0C-4A83-AD08-1FB058771D76}"/>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8-1F0C-4A83-AD08-1FB058771D7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CDAF-4C0B-8B6E-EAF8531EFE86}"/>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DAF-4C0B-8B6E-EAF8531EFE8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CDAF-4C0B-8B6E-EAF8531EFE8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CDAF-4C0B-8B6E-EAF8531EFE86}"/>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CDAF-4C0B-8B6E-EAF8531EFE8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CDAF-4C0B-8B6E-EAF8531EFE86}"/>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DAF-4C0B-8B6E-EAF8531EFE86}"/>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C0B-8B6E-EAF8531EFE86}"/>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DAF-4C0B-8B6E-EAF8531EFE86}"/>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DAF-4C0B-8B6E-EAF8531EFE86}"/>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DAF-4C0B-8B6E-EAF8531EFE86}"/>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C0B-8B6E-EAF8531EFE86}"/>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DAF-4C0B-8B6E-EAF8531EFE86}"/>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DAF-4C0B-8B6E-EAF8531EFE86}"/>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2014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'SCG 2014 Table C Pie Chart'!$B$34:$B$39</c:f>
              <c:numCache>
                <c:formatCode>_("$"* #,##0_);_("$"* \(#,##0\);_("$"* "-"_);_(@_)</c:formatCode>
                <c:ptCount val="6"/>
                <c:pt idx="0">
                  <c:v>1139802</c:v>
                </c:pt>
                <c:pt idx="1">
                  <c:v>23070</c:v>
                </c:pt>
                <c:pt idx="2">
                  <c:v>0</c:v>
                </c:pt>
                <c:pt idx="3">
                  <c:v>7058802</c:v>
                </c:pt>
                <c:pt idx="4">
                  <c:v>203580</c:v>
                </c:pt>
                <c:pt idx="5">
                  <c:v>0</c:v>
                </c:pt>
              </c:numCache>
            </c:numRef>
          </c:val>
          <c:extLst>
            <c:ext xmlns:c16="http://schemas.microsoft.com/office/drawing/2014/chart" uri="{C3380CC4-5D6E-409C-BE32-E72D297353CC}">
              <c16:uniqueId val="{00000008-CDAF-4C0B-8B6E-EAF8531EFE8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9F4E-4187-A4F0-AADCA421C79B}"/>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4E-4187-A4F0-AADCA421C79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9F4E-4187-A4F0-AADCA421C79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9F4E-4187-A4F0-AADCA421C79B}"/>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9F4E-4187-A4F0-AADCA421C79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9F4E-4187-A4F0-AADCA421C79B}"/>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F4E-4187-A4F0-AADCA421C79B}"/>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4E-4187-A4F0-AADCA421C79B}"/>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F4E-4187-A4F0-AADCA421C79B}"/>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4E-4187-A4F0-AADCA421C79B}"/>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F4E-4187-A4F0-AADCA421C79B}"/>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4E-4187-A4F0-AADCA421C79B}"/>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F4E-4187-A4F0-AADCA421C79B}"/>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F4E-4187-A4F0-AADCA421C79B}"/>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2017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'CNG 2017 Table C Pie Chart'!$B$34:$B$39</c:f>
              <c:numCache>
                <c:formatCode>_("$"* #,##0_);_("$"* \(#,##0\);_("$"* "-"_);_(@_)</c:formatCode>
                <c:ptCount val="6"/>
                <c:pt idx="0">
                  <c:v>1118103</c:v>
                </c:pt>
                <c:pt idx="1">
                  <c:v>36003</c:v>
                </c:pt>
                <c:pt idx="2">
                  <c:v>0</c:v>
                </c:pt>
                <c:pt idx="3">
                  <c:v>13398607</c:v>
                </c:pt>
                <c:pt idx="4">
                  <c:v>582051</c:v>
                </c:pt>
                <c:pt idx="5">
                  <c:v>0</c:v>
                </c:pt>
              </c:numCache>
            </c:numRef>
          </c:val>
          <c:extLst>
            <c:ext xmlns:c16="http://schemas.microsoft.com/office/drawing/2014/chart" uri="{C3380CC4-5D6E-409C-BE32-E72D297353CC}">
              <c16:uniqueId val="{00000008-9F4E-4187-A4F0-AADCA421C79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1187-4867-ACC6-FFC52C29744B}"/>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187-4867-ACC6-FFC52C297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1187-4867-ACC6-FFC52C297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1187-4867-ACC6-FFC52C29744B}"/>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1187-4867-ACC6-FFC52C29744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1187-4867-ACC6-FFC52C29744B}"/>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87-4867-ACC6-FFC52C29744B}"/>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87-4867-ACC6-FFC52C29744B}"/>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87-4867-ACC6-FFC52C29744B}"/>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87-4867-ACC6-FFC52C29744B}"/>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87-4867-ACC6-FFC52C29744B}"/>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87-4867-ACC6-FFC52C29744B}"/>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87-4867-ACC6-FFC52C29744B}"/>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87-4867-ACC6-FFC52C29744B}"/>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2016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'SCG 2016 Table C Pie Chart'!$B$34:$B$39</c:f>
              <c:numCache>
                <c:formatCode>_("$"* #,##0_);_("$"* \(#,##0\);_("$"* "-"_);_(@_)</c:formatCode>
                <c:ptCount val="6"/>
                <c:pt idx="0">
                  <c:v>1081130.8999999999</c:v>
                </c:pt>
                <c:pt idx="1">
                  <c:v>22233</c:v>
                </c:pt>
                <c:pt idx="2">
                  <c:v>0</c:v>
                </c:pt>
                <c:pt idx="3">
                  <c:v>7326010</c:v>
                </c:pt>
                <c:pt idx="4">
                  <c:v>71975</c:v>
                </c:pt>
                <c:pt idx="5">
                  <c:v>0</c:v>
                </c:pt>
              </c:numCache>
            </c:numRef>
          </c:val>
          <c:extLst>
            <c:ext xmlns:c16="http://schemas.microsoft.com/office/drawing/2014/chart" uri="{C3380CC4-5D6E-409C-BE32-E72D297353CC}">
              <c16:uniqueId val="{00000008-1187-4867-ACC6-FFC52C29744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630F-4FEC-BA5C-15F2BABEE72C}"/>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30F-4FEC-BA5C-15F2BABEE72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630F-4FEC-BA5C-15F2BABEE72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630F-4FEC-BA5C-15F2BABEE72C}"/>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630F-4FEC-BA5C-15F2BABEE72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630F-4FEC-BA5C-15F2BABEE72C}"/>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0F-4FEC-BA5C-15F2BABEE72C}"/>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30F-4FEC-BA5C-15F2BABEE72C}"/>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0F-4FEC-BA5C-15F2BABEE72C}"/>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30F-4FEC-BA5C-15F2BABEE72C}"/>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0F-4FEC-BA5C-15F2BABEE72C}"/>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30F-4FEC-BA5C-15F2BABEE72C}"/>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0F-4FEC-BA5C-15F2BABEE72C}"/>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30F-4FEC-BA5C-15F2BABEE72C}"/>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2017 Table C Pie Chart'!$A$34:$A$39</c:f>
              <c:strCache>
                <c:ptCount val="6"/>
                <c:pt idx="0">
                  <c:v>Labor</c:v>
                </c:pt>
                <c:pt idx="1">
                  <c:v>Materials &amp; Supplies</c:v>
                </c:pt>
                <c:pt idx="2">
                  <c:v>Outside Services</c:v>
                </c:pt>
                <c:pt idx="3">
                  <c:v>Incentives</c:v>
                </c:pt>
                <c:pt idx="4">
                  <c:v>Marketing</c:v>
                </c:pt>
                <c:pt idx="5">
                  <c:v>Administrative Expenses</c:v>
                </c:pt>
              </c:strCache>
            </c:strRef>
          </c:cat>
          <c:val>
            <c:numRef>
              <c:f>'SCG 2017 Table C Pie Chart'!$B$34:$B$39</c:f>
              <c:numCache>
                <c:formatCode>_("$"* #,##0_);_("$"* \(#,##0\);_("$"* "-"_);_(@_)</c:formatCode>
                <c:ptCount val="6"/>
                <c:pt idx="0">
                  <c:v>1101183</c:v>
                </c:pt>
                <c:pt idx="1">
                  <c:v>18472</c:v>
                </c:pt>
                <c:pt idx="2">
                  <c:v>0</c:v>
                </c:pt>
                <c:pt idx="3">
                  <c:v>7185007.9000000004</c:v>
                </c:pt>
                <c:pt idx="4">
                  <c:v>88806</c:v>
                </c:pt>
                <c:pt idx="5">
                  <c:v>0</c:v>
                </c:pt>
              </c:numCache>
            </c:numRef>
          </c:val>
          <c:extLst>
            <c:ext xmlns:c16="http://schemas.microsoft.com/office/drawing/2014/chart" uri="{C3380CC4-5D6E-409C-BE32-E72D297353CC}">
              <c16:uniqueId val="{00000008-630F-4FEC-BA5C-15F2BABEE72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4752-41B4-8B98-93EEE3384A11}"/>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52-41B4-8B98-93EEE3384A11}"/>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52-41B4-8B98-93EEE3384A11}"/>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52-41B4-8B98-93EEE3384A11}"/>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52-41B4-8B98-93EEE3384A11}"/>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52-41B4-8B98-93EEE3384A11}"/>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52-41B4-8B98-93EEE3384A11}"/>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52-41B4-8B98-93EEE3384A11}"/>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52-41B4-8B98-93EEE3384A11}"/>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4752-41B4-8B98-93EEE3384A1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tx>
            <c:strRef>
              <c:f>'CNG 2022 Table C Pie Chart'!$C$32</c:f>
              <c:strCache>
                <c:ptCount val="1"/>
                <c:pt idx="0">
                  <c:v>% of Budget</c:v>
                </c:pt>
              </c:strCache>
            </c:strRef>
          </c:tx>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69F9-482B-A306-EF5191932C86}"/>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9F9-482B-A306-EF5191932C8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69F9-482B-A306-EF5191932C8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69F9-482B-A306-EF5191932C86}"/>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69F9-482B-A306-EF5191932C8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69F9-482B-A306-EF5191932C86}"/>
              </c:ext>
            </c:extLst>
          </c:dPt>
          <c:dPt>
            <c:idx val="6"/>
            <c:bubble3D val="0"/>
            <c:extLst>
              <c:ext xmlns:c16="http://schemas.microsoft.com/office/drawing/2014/chart" uri="{C3380CC4-5D6E-409C-BE32-E72D297353CC}">
                <c16:uniqueId val="{00000006-69F9-482B-A306-EF5191932C86}"/>
              </c:ext>
            </c:extLst>
          </c:dPt>
          <c:dPt>
            <c:idx val="7"/>
            <c:bubble3D val="0"/>
            <c:extLst>
              <c:ext xmlns:c16="http://schemas.microsoft.com/office/drawing/2014/chart" uri="{C3380CC4-5D6E-409C-BE32-E72D297353CC}">
                <c16:uniqueId val="{00000007-69F9-482B-A306-EF5191932C86}"/>
              </c:ext>
            </c:extLst>
          </c:dPt>
          <c:dLbls>
            <c:dLbl>
              <c:idx val="0"/>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69F9-482B-A306-EF5191932C86}"/>
                </c:ext>
              </c:extLst>
            </c:dLbl>
            <c:dLbl>
              <c:idx val="1"/>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69F9-482B-A306-EF5191932C86}"/>
                </c:ext>
              </c:extLst>
            </c:dLbl>
            <c:dLbl>
              <c:idx val="2"/>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69F9-482B-A306-EF5191932C86}"/>
                </c:ext>
              </c:extLst>
            </c:dLbl>
            <c:dLbl>
              <c:idx val="3"/>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69F9-482B-A306-EF5191932C86}"/>
                </c:ext>
              </c:extLst>
            </c:dLbl>
            <c:dLbl>
              <c:idx val="4"/>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9F9-482B-A306-EF5191932C86}"/>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69F9-482B-A306-EF5191932C86}"/>
                </c:ext>
              </c:extLst>
            </c:dLbl>
            <c:dLbl>
              <c:idx val="6"/>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69F9-482B-A306-EF5191932C86}"/>
                </c:ext>
              </c:extLst>
            </c:dLbl>
            <c:dLbl>
              <c:idx val="7"/>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69F9-482B-A306-EF5191932C86}"/>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'CNG 2022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'CNG 2022 Table C Pie Chart'!$C$34:$C$41</c:f>
              <c:numCache>
                <c:formatCode>0.00%</c:formatCode>
                <c:ptCount val="8"/>
                <c:pt idx="0">
                  <c:v>0.10975544214822258</c:v>
                </c:pt>
                <c:pt idx="1">
                  <c:v>3.9093056479506494E-4</c:v>
                </c:pt>
                <c:pt idx="2">
                  <c:v>0.13551657658139141</c:v>
                </c:pt>
                <c:pt idx="3">
                  <c:v>5.1632947533862689E-3</c:v>
                </c:pt>
                <c:pt idx="4">
                  <c:v>0.63353328344967641</c:v>
                </c:pt>
                <c:pt idx="5">
                  <c:v>5.2591632544973607E-2</c:v>
                </c:pt>
                <c:pt idx="6">
                  <c:v>5.5971842035644315E-2</c:v>
                </c:pt>
                <c:pt idx="7">
                  <c:v>7.0769979219103725E-3</c:v>
                </c:pt>
              </c:numCache>
            </c:numRef>
          </c:val>
          <c:extLst>
            <c:ext xmlns:c16="http://schemas.microsoft.com/office/drawing/2014/chart" uri="{C3380CC4-5D6E-409C-BE32-E72D297353CC}">
              <c16:uniqueId val="{00000008-69F9-482B-A306-EF5191932C8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68D2-418B-8A8D-19B37991FEAD}"/>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8D2-418B-8A8D-19B37991FEAD}"/>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D2-418B-8A8D-19B37991FEAD}"/>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8D2-418B-8A8D-19B37991FEAD}"/>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8D2-418B-8A8D-19B37991FEAD}"/>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8D2-418B-8A8D-19B37991FEAD}"/>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8D2-418B-8A8D-19B37991FEAD}"/>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8D2-418B-8A8D-19B37991FEAD}"/>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D2-418B-8A8D-19B37991FEAD}"/>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68D2-418B-8A8D-19B37991FEA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tx>
            <c:strRef>
              <c:f>'CNG 2023 Table C Pie Chart'!$C$32</c:f>
              <c:strCache>
                <c:ptCount val="1"/>
                <c:pt idx="0">
                  <c:v>% of Budget</c:v>
                </c:pt>
              </c:strCache>
            </c:strRef>
          </c:tx>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E046-47A0-84A6-67ECA353D1CD}"/>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46-47A0-84A6-67ECA353D1C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E046-47A0-84A6-67ECA353D1C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E046-47A0-84A6-67ECA353D1CD}"/>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E046-47A0-84A6-67ECA353D1C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E046-47A0-84A6-67ECA353D1CD}"/>
              </c:ext>
            </c:extLst>
          </c:dPt>
          <c:dPt>
            <c:idx val="6"/>
            <c:bubble3D val="0"/>
            <c:extLst>
              <c:ext xmlns:c16="http://schemas.microsoft.com/office/drawing/2014/chart" uri="{C3380CC4-5D6E-409C-BE32-E72D297353CC}">
                <c16:uniqueId val="{00000006-E046-47A0-84A6-67ECA353D1CD}"/>
              </c:ext>
            </c:extLst>
          </c:dPt>
          <c:dPt>
            <c:idx val="7"/>
            <c:bubble3D val="0"/>
            <c:extLst>
              <c:ext xmlns:c16="http://schemas.microsoft.com/office/drawing/2014/chart" uri="{C3380CC4-5D6E-409C-BE32-E72D297353CC}">
                <c16:uniqueId val="{00000007-E046-47A0-84A6-67ECA353D1CD}"/>
              </c:ext>
            </c:extLst>
          </c:dPt>
          <c:dLbls>
            <c:dLbl>
              <c:idx val="0"/>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E046-47A0-84A6-67ECA353D1CD}"/>
                </c:ext>
              </c:extLst>
            </c:dLbl>
            <c:dLbl>
              <c:idx val="1"/>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046-47A0-84A6-67ECA353D1CD}"/>
                </c:ext>
              </c:extLst>
            </c:dLbl>
            <c:dLbl>
              <c:idx val="2"/>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E046-47A0-84A6-67ECA353D1CD}"/>
                </c:ext>
              </c:extLst>
            </c:dLbl>
            <c:dLbl>
              <c:idx val="3"/>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046-47A0-84A6-67ECA353D1CD}"/>
                </c:ext>
              </c:extLst>
            </c:dLbl>
            <c:dLbl>
              <c:idx val="4"/>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46-47A0-84A6-67ECA353D1CD}"/>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046-47A0-84A6-67ECA353D1CD}"/>
                </c:ext>
              </c:extLst>
            </c:dLbl>
            <c:dLbl>
              <c:idx val="6"/>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E046-47A0-84A6-67ECA353D1CD}"/>
                </c:ext>
              </c:extLst>
            </c:dLbl>
            <c:dLbl>
              <c:idx val="7"/>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046-47A0-84A6-67ECA353D1CD}"/>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'CNG 2023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'CNG 2023 Table C Pie Chart'!$C$34:$C$41</c:f>
              <c:numCache>
                <c:formatCode>0.00%</c:formatCode>
                <c:ptCount val="8"/>
                <c:pt idx="0">
                  <c:v>0.10057614312856714</c:v>
                </c:pt>
                <c:pt idx="1">
                  <c:v>3.3678613549941914E-4</c:v>
                </c:pt>
                <c:pt idx="2">
                  <c:v>0.10471037347760996</c:v>
                </c:pt>
                <c:pt idx="3">
                  <c:v>4.4959151072554602E-3</c:v>
                </c:pt>
                <c:pt idx="4">
                  <c:v>0.68207044855868337</c:v>
                </c:pt>
                <c:pt idx="5">
                  <c:v>4.6376363117837181E-2</c:v>
                </c:pt>
                <c:pt idx="6">
                  <c:v>5.5124510176867036E-2</c:v>
                </c:pt>
                <c:pt idx="7">
                  <c:v>6.3094602976804109E-3</c:v>
                </c:pt>
              </c:numCache>
            </c:numRef>
          </c:val>
          <c:extLst>
            <c:ext xmlns:c16="http://schemas.microsoft.com/office/drawing/2014/chart" uri="{C3380CC4-5D6E-409C-BE32-E72D297353CC}">
              <c16:uniqueId val="{00000008-E046-47A0-84A6-67ECA353D1C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3565219485"/>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0-6BC0-40BD-9024-322910FE554D}"/>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BC0-40BD-9024-322910FE554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6BC0-40BD-9024-322910FE554D}"/>
              </c:ext>
            </c:extLst>
          </c:dPt>
          <c:dLbls>
            <c:dLbl>
              <c:idx val="0"/>
              <c:layout>
                <c:manualLayout>
                  <c:x val="6.6298342541436558E-2"/>
                  <c:y val="-3.4188034188034188E-3"/>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BC0-40BD-9024-322910FE554D}"/>
                </c:ext>
              </c:extLst>
            </c:dLbl>
            <c:dLbl>
              <c:idx val="1"/>
              <c:layout>
                <c:manualLayout>
                  <c:x val="8.1031307550644568E-2"/>
                  <c:y val="0"/>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C0-40BD-9024-322910FE554D}"/>
                </c:ext>
              </c:extLst>
            </c:dLbl>
            <c:dLbl>
              <c:idx val="2"/>
              <c:layout>
                <c:manualLayout>
                  <c:x val="-2.2099447513812168E-2"/>
                  <c:y val="-6.1538461538461542E-2"/>
                </c:manualLayout>
              </c:layout>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BC0-40BD-9024-322910FE554D}"/>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('YGS 2013 Table A Pie Charts '!$A$29:$A$30,'YGS 2013 Table A Pie Charts '!$A$33)</c:f>
              <c:strCache>
                <c:ptCount val="3"/>
                <c:pt idx="0">
                  <c:v>Res. Income Eligible</c:v>
                </c:pt>
                <c:pt idx="1">
                  <c:v>Res. Non Income Eligible</c:v>
                </c:pt>
                <c:pt idx="2">
                  <c:v>Commercial and Industrial</c:v>
                </c:pt>
              </c:strCache>
            </c:strRef>
          </c:cat>
          <c:val>
            <c:numRef>
              <c:f>('YGS 2013 Table A Pie Charts '!$E$29:$E$30,'YGS 2013 Table A Pie Charts '!$E$33)</c:f>
              <c:numCache>
                <c:formatCode>0.00%</c:formatCode>
                <c:ptCount val="3"/>
                <c:pt idx="0">
                  <c:v>0.22357142857142856</c:v>
                </c:pt>
                <c:pt idx="1">
                  <c:v>0.4174107142857143</c:v>
                </c:pt>
                <c:pt idx="2">
                  <c:v>0.35901785714285717</c:v>
                </c:pt>
              </c:numCache>
            </c:numRef>
          </c:val>
          <c:extLst>
            <c:ext xmlns:c16="http://schemas.microsoft.com/office/drawing/2014/chart" uri="{C3380CC4-5D6E-409C-BE32-E72D297353CC}">
              <c16:uniqueId val="{00000003-6BC0-40BD-9024-322910FE55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1FD3-433F-86D0-5ADFDD912B29}"/>
              </c:ext>
            </c:extLst>
          </c:dPt>
          <c:dLbls>
            <c:dLbl>
              <c:idx val="0"/>
              <c:layout>
                <c:manualLayout>
                  <c:x val="4.3221739216155866E-2"/>
                  <c:y val="-0.1220552981798663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FD3-433F-86D0-5ADFDD912B29}"/>
                </c:ext>
              </c:extLst>
            </c:dLbl>
            <c:dLbl>
              <c:idx val="1"/>
              <c:layout>
                <c:manualLayout>
                  <c:x val="0.12177771954081147"/>
                  <c:y val="-1.681679181243870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D3-433F-86D0-5ADFDD912B29}"/>
                </c:ext>
              </c:extLst>
            </c:dLbl>
            <c:dLbl>
              <c:idx val="2"/>
              <c:layout>
                <c:manualLayout>
                  <c:x val="7.4995680385063296E-2"/>
                  <c:y val="0.2159400933462246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FD3-433F-86D0-5ADFDD912B29}"/>
                </c:ext>
              </c:extLst>
            </c:dLbl>
            <c:dLbl>
              <c:idx val="3"/>
              <c:layout>
                <c:manualLayout>
                  <c:x val="-8.2463071663342449E-2"/>
                  <c:y val="-4.240030523895115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D3-433F-86D0-5ADFDD912B29}"/>
                </c:ext>
              </c:extLst>
            </c:dLbl>
            <c:dLbl>
              <c:idx val="4"/>
              <c:layout>
                <c:manualLayout>
                  <c:x val="-0.31320763414124408"/>
                  <c:y val="5.5239113699372275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FD3-433F-86D0-5ADFDD912B29}"/>
                </c:ext>
              </c:extLst>
            </c:dLbl>
            <c:dLbl>
              <c:idx val="5"/>
              <c:layout>
                <c:manualLayout>
                  <c:x val="-0.18136893587297584"/>
                  <c:y val="-7.26414057292806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D3-433F-86D0-5ADFDD912B29}"/>
                </c:ext>
              </c:extLst>
            </c:dLbl>
            <c:dLbl>
              <c:idx val="6"/>
              <c:layout>
                <c:manualLayout>
                  <c:xMode val="edge"/>
                  <c:yMode val="edge"/>
                  <c:x val="0.30246974358149992"/>
                  <c:y val="1.5000018310569227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FD3-433F-86D0-5ADFDD912B29}"/>
                </c:ext>
              </c:extLst>
            </c:dLbl>
            <c:dLbl>
              <c:idx val="7"/>
              <c:layout>
                <c:manualLayout>
                  <c:xMode val="edge"/>
                  <c:yMode val="edge"/>
                  <c:x val="0.28806642245857134"/>
                  <c:y val="3.0000036621138454E-2"/>
                </c:manualLayout>
              </c:layout>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D3-433F-86D0-5ADFDD912B29}"/>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1FD3-433F-86D0-5ADFDD912B2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tx>
            <c:strRef>
              <c:f>'CNG 2024 Table C Pie Chart'!$C$32</c:f>
              <c:strCache>
                <c:ptCount val="1"/>
                <c:pt idx="0">
                  <c:v>% of Budget</c:v>
                </c:pt>
              </c:strCache>
            </c:strRef>
          </c:tx>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2755-4F2D-A3EC-E25021A16E2B}"/>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755-4F2D-A3EC-E25021A16E2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2755-4F2D-A3EC-E25021A16E2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2755-4F2D-A3EC-E25021A16E2B}"/>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2755-4F2D-A3EC-E25021A16E2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2755-4F2D-A3EC-E25021A16E2B}"/>
              </c:ext>
            </c:extLst>
          </c:dPt>
          <c:dPt>
            <c:idx val="6"/>
            <c:bubble3D val="0"/>
            <c:extLst>
              <c:ext xmlns:c16="http://schemas.microsoft.com/office/drawing/2014/chart" uri="{C3380CC4-5D6E-409C-BE32-E72D297353CC}">
                <c16:uniqueId val="{00000006-2755-4F2D-A3EC-E25021A16E2B}"/>
              </c:ext>
            </c:extLst>
          </c:dPt>
          <c:dPt>
            <c:idx val="7"/>
            <c:bubble3D val="0"/>
            <c:extLst>
              <c:ext xmlns:c16="http://schemas.microsoft.com/office/drawing/2014/chart" uri="{C3380CC4-5D6E-409C-BE32-E72D297353CC}">
                <c16:uniqueId val="{00000007-2755-4F2D-A3EC-E25021A16E2B}"/>
              </c:ext>
            </c:extLst>
          </c:dPt>
          <c:dLbls>
            <c:dLbl>
              <c:idx val="0"/>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2755-4F2D-A3EC-E25021A16E2B}"/>
                </c:ext>
              </c:extLst>
            </c:dLbl>
            <c:dLbl>
              <c:idx val="1"/>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2755-4F2D-A3EC-E25021A16E2B}"/>
                </c:ext>
              </c:extLst>
            </c:dLbl>
            <c:dLbl>
              <c:idx val="2"/>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2755-4F2D-A3EC-E25021A16E2B}"/>
                </c:ext>
              </c:extLst>
            </c:dLbl>
            <c:dLbl>
              <c:idx val="3"/>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2755-4F2D-A3EC-E25021A16E2B}"/>
                </c:ext>
              </c:extLst>
            </c:dLbl>
            <c:dLbl>
              <c:idx val="4"/>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55-4F2D-A3EC-E25021A16E2B}"/>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2755-4F2D-A3EC-E25021A16E2B}"/>
                </c:ext>
              </c:extLst>
            </c:dLbl>
            <c:dLbl>
              <c:idx val="6"/>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2755-4F2D-A3EC-E25021A16E2B}"/>
                </c:ext>
              </c:extLst>
            </c:dLbl>
            <c:dLbl>
              <c:idx val="7"/>
              <c:numFmt formatCode="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2755-4F2D-A3EC-E25021A16E2B}"/>
                </c:ext>
              </c:extLst>
            </c:dLbl>
            <c:numFmt formatCode="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'CNG 2024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'CNG 2024 Table C Pie Chart'!$C$34:$C$41</c:f>
              <c:numCache>
                <c:formatCode>0.00%</c:formatCode>
                <c:ptCount val="8"/>
                <c:pt idx="0">
                  <c:v>0.10015743084942202</c:v>
                </c:pt>
                <c:pt idx="1">
                  <c:v>3.2930483733440899E-4</c:v>
                </c:pt>
                <c:pt idx="2">
                  <c:v>0.10322981615270298</c:v>
                </c:pt>
                <c:pt idx="3">
                  <c:v>4.431602769845111E-3</c:v>
                </c:pt>
                <c:pt idx="4">
                  <c:v>0.68467847516186531</c:v>
                </c:pt>
                <c:pt idx="5">
                  <c:v>4.5872908879536316E-2</c:v>
                </c:pt>
                <c:pt idx="6">
                  <c:v>5.5066663862311641E-2</c:v>
                </c:pt>
                <c:pt idx="7">
                  <c:v>6.2337974869823834E-3</c:v>
                </c:pt>
              </c:numCache>
            </c:numRef>
          </c:val>
          <c:extLst>
            <c:ext xmlns:c16="http://schemas.microsoft.com/office/drawing/2014/chart" uri="{C3380CC4-5D6E-409C-BE32-E72D297353CC}">
              <c16:uniqueId val="{00000008-2755-4F2D-A3EC-E25021A16E2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9-47AC-8A5F-15C8581ECEFA}"/>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9-47AC-8A5F-15C8581ECEFA}"/>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9-47AC-8A5F-15C8581ECEFA}"/>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9-47AC-8A5F-15C8581ECEFA}"/>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9-47AC-8A5F-15C8581ECEFA}"/>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9-47AC-8A5F-15C8581ECEFA}"/>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9-47AC-8A5F-15C8581ECEFA}"/>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9-47AC-8A5F-15C8581ECEFA}"/>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Ref>
              <c:f>'SCG 2022 Table C Pie Chart'!#REF!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'SCG 2022 Table C Pie Chart'!#REF!</c15:sqref>
                        </c15:formulaRef>
                      </c:ext>
                    </c:extLst>
                  </c:multiLvlStrRef>
                </c15:cat>
              </c15:filteredCategoryTitle>
            </c:ext>
            <c:ext xmlns:c16="http://schemas.microsoft.com/office/drawing/2014/chart" uri="{C3380CC4-5D6E-409C-BE32-E72D297353CC}">
              <c16:uniqueId val="{00000008-1429-47AC-8A5F-15C8581ECEF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C4D7-41A5-A7DF-96BECB4B5A76}"/>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4D7-41A5-A7DF-96BECB4B5A7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C4D7-41A5-A7DF-96BECB4B5A7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C4D7-41A5-A7DF-96BECB4B5A76}"/>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C4D7-41A5-A7DF-96BECB4B5A7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C4D7-41A5-A7DF-96BECB4B5A76}"/>
              </c:ext>
            </c:extLst>
          </c:dPt>
          <c:dPt>
            <c:idx val="6"/>
            <c:bubble3D val="0"/>
            <c:extLst>
              <c:ext xmlns:c16="http://schemas.microsoft.com/office/drawing/2014/chart" uri="{C3380CC4-5D6E-409C-BE32-E72D297353CC}">
                <c16:uniqueId val="{00000006-C4D7-41A5-A7DF-96BECB4B5A76}"/>
              </c:ext>
            </c:extLst>
          </c:dPt>
          <c:dPt>
            <c:idx val="7"/>
            <c:bubble3D val="0"/>
            <c:extLst>
              <c:ext xmlns:c16="http://schemas.microsoft.com/office/drawing/2014/chart" uri="{C3380CC4-5D6E-409C-BE32-E72D297353CC}">
                <c16:uniqueId val="{00000007-C4D7-41A5-A7DF-96BECB4B5A76}"/>
              </c:ext>
            </c:extLst>
          </c:dPt>
          <c:dLbls>
            <c:dLbl>
              <c:idx val="0"/>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C4D7-41A5-A7DF-96BECB4B5A76}"/>
                </c:ext>
              </c:extLst>
            </c:dLbl>
            <c:dLbl>
              <c:idx val="1"/>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C4D7-41A5-A7DF-96BECB4B5A76}"/>
                </c:ext>
              </c:extLst>
            </c:dLbl>
            <c:dLbl>
              <c:idx val="2"/>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C4D7-41A5-A7DF-96BECB4B5A76}"/>
                </c:ext>
              </c:extLst>
            </c:dLbl>
            <c:dLbl>
              <c:idx val="3"/>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C4D7-41A5-A7DF-96BECB4B5A76}"/>
                </c:ext>
              </c:extLst>
            </c:dLbl>
            <c:dLbl>
              <c:idx val="4"/>
              <c:layout>
                <c:manualLayout>
                  <c:x val="-7.3743720179307484E-2"/>
                  <c:y val="2.097200937131180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4D7-41A5-A7DF-96BECB4B5A76}"/>
                </c:ext>
              </c:extLst>
            </c:dLbl>
            <c:dLbl>
              <c:idx val="5"/>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C4D7-41A5-A7DF-96BECB4B5A76}"/>
                </c:ext>
              </c:extLst>
            </c:dLbl>
            <c:dLbl>
              <c:idx val="6"/>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C4D7-41A5-A7DF-96BECB4B5A76}"/>
                </c:ext>
              </c:extLst>
            </c:dLbl>
            <c:dLbl>
              <c:idx val="7"/>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C4D7-41A5-A7DF-96BECB4B5A76}"/>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'SCG 2022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'SCG 2022 Table C Pie Chart'!$B$34:$B$41</c:f>
              <c:numCache>
                <c:formatCode>_("$"* #,##0_);_("$"* \(#,##0\);_("$"* "-"_);_(@_)</c:formatCode>
                <c:ptCount val="8"/>
                <c:pt idx="0">
                  <c:v>1477663</c:v>
                </c:pt>
                <c:pt idx="1">
                  <c:v>5792.0745638642738</c:v>
                </c:pt>
                <c:pt idx="2">
                  <c:v>1854124.2119819759</c:v>
                </c:pt>
                <c:pt idx="3">
                  <c:v>74000</c:v>
                </c:pt>
                <c:pt idx="4">
                  <c:v>7712986.8090203367</c:v>
                </c:pt>
                <c:pt idx="5">
                  <c:v>274553.84315802896</c:v>
                </c:pt>
                <c:pt idx="6">
                  <c:v>755639.10959751613</c:v>
                </c:pt>
                <c:pt idx="7">
                  <c:v>26168.65776785856</c:v>
                </c:pt>
              </c:numCache>
            </c:numRef>
          </c:val>
          <c:extLst>
            <c:ext xmlns:c16="http://schemas.microsoft.com/office/drawing/2014/chart" uri="{C3380CC4-5D6E-409C-BE32-E72D297353CC}">
              <c16:uniqueId val="{00000008-C4D7-41A5-A7DF-96BECB4B5A7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0"/>
          <c:order val="0"/>
          <c:tx>
            <c:strRef>
              <c:f>'YGS 2013 Exhibit 4'!$C$12</c:f>
              <c:strCache>
                <c:ptCount val="1"/>
                <c:pt idx="0">
                  <c:v>Pre-tax Incentive  </c:v>
                </c:pt>
              </c:strCache>
            </c:strRef>
          </c:tx>
          <c:spPr>
            <a:ln w="12700">
              <a:solidFill>
                <a:srgbClr val="3333CC"/>
              </a:solidFill>
              <a:prstDash val="solid"/>
            </a:ln>
          </c:spPr>
          <c:marker>
            <c:spPr>
              <a:solidFill>
                <a:srgbClr val="FF99FF"/>
              </a:solidFill>
              <a:ln w="12700">
                <a:solidFill>
                  <a:srgbClr val="002060"/>
                </a:solidFill>
                <a:prstDash val="solid"/>
              </a:ln>
            </c:spPr>
          </c:marker>
          <c:cat>
            <c:numRef>
              <c:f>'YGS 2013 Exhibit 4'!$A$13:$A$19</c:f>
              <c:numCache>
                <c:formatCode>General</c:formatCode>
                <c:ptCount val="7"/>
                <c:pt idx="0">
                  <c:v>70</c:v>
                </c:pt>
                <c:pt idx="1">
                  <c:v>80</c:v>
                </c:pt>
                <c:pt idx="2">
                  <c:v>90</c:v>
                </c:pt>
                <c:pt idx="3">
                  <c:v>100</c:v>
                </c:pt>
                <c:pt idx="4">
                  <c:v>110</c:v>
                </c:pt>
                <c:pt idx="5">
                  <c:v>120</c:v>
                </c:pt>
                <c:pt idx="6">
                  <c:v>130</c:v>
                </c:pt>
              </c:numCache>
            </c:numRef>
          </c:cat>
          <c:val>
            <c:numRef>
              <c:f>'YGS 2013 Exhibit 4'!$C$13:$C$19</c:f>
              <c:numCache>
                <c:formatCode>"$"#,##0</c:formatCode>
                <c:ptCount val="7"/>
                <c:pt idx="0">
                  <c:v>239730</c:v>
                </c:pt>
                <c:pt idx="1">
                  <c:v>359595</c:v>
                </c:pt>
                <c:pt idx="2">
                  <c:v>479460</c:v>
                </c:pt>
                <c:pt idx="3">
                  <c:v>599325</c:v>
                </c:pt>
                <c:pt idx="4">
                  <c:v>719190</c:v>
                </c:pt>
                <c:pt idx="5">
                  <c:v>839055.00000000012</c:v>
                </c:pt>
                <c:pt idx="6">
                  <c:v>958920</c:v>
                </c:pt>
              </c:numCache>
            </c:numRef>
          </c:val>
          <c:smooth val="1"/>
          <c:extLst>
            <c:ext xmlns:c16="http://schemas.microsoft.com/office/drawing/2014/chart" uri="{C3380CC4-5D6E-409C-BE32-E72D297353CC}">
              <c16:uniqueId val="{00000000-A616-4912-8238-135055455B10}"/>
            </c:ext>
          </c:extLst>
        </c:ser>
        <c:dLbls>
          <c:showLegendKey val="0"/>
          <c:showVal val="0"/>
          <c:showCatName val="0"/>
          <c:showSerName val="0"/>
          <c:showPercent val="0"/>
          <c:showBubbleSize val="0"/>
        </c:dLbls>
        <c:marker val="1"/>
        <c:smooth val="0"/>
        <c:axId val="1023432896"/>
        <c:axId val="1"/>
      </c:lineChart>
      <c:catAx>
        <c:axId val="1023432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layout>
            <c:manualLayout>
              <c:xMode val="edge"/>
              <c:yMode val="edge"/>
              <c:x val="0.31577112071517377"/>
              <c:y val="0.8074654878666482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ax val="1000000"/>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quot;$&quot;#,##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32896"/>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0"/>
          <c:order val="0"/>
          <c:tx>
            <c:strRef>
              <c:f>'YGS 2013 Exhibit 4'!$C$12</c:f>
              <c:strCache>
                <c:ptCount val="1"/>
                <c:pt idx="0">
                  <c:v>Pre-tax Incentive  </c:v>
                </c:pt>
              </c:strCache>
            </c:strRef>
          </c:tx>
          <c:spPr>
            <a:ln w="12700">
              <a:solidFill>
                <a:srgbClr val="3333CC"/>
              </a:solidFill>
              <a:prstDash val="solid"/>
            </a:ln>
          </c:spPr>
          <c:marker>
            <c:spPr>
              <a:solidFill>
                <a:srgbClr val="FF99FF"/>
              </a:solidFill>
              <a:ln w="12700">
                <a:solidFill>
                  <a:srgbClr val="002060"/>
                </a:solidFill>
                <a:prstDash val="solid"/>
              </a:ln>
            </c:spPr>
          </c:marker>
          <c:cat>
            <c:numRef>
              <c:f>'YGS 2013 Exhibit 4'!$A$13:$A$19</c:f>
              <c:numCache>
                <c:formatCode>General</c:formatCode>
                <c:ptCount val="7"/>
                <c:pt idx="0">
                  <c:v>70</c:v>
                </c:pt>
                <c:pt idx="1">
                  <c:v>80</c:v>
                </c:pt>
                <c:pt idx="2">
                  <c:v>90</c:v>
                </c:pt>
                <c:pt idx="3">
                  <c:v>100</c:v>
                </c:pt>
                <c:pt idx="4">
                  <c:v>110</c:v>
                </c:pt>
                <c:pt idx="5">
                  <c:v>120</c:v>
                </c:pt>
                <c:pt idx="6">
                  <c:v>130</c:v>
                </c:pt>
              </c:numCache>
            </c:numRef>
          </c:cat>
          <c:val>
            <c:numRef>
              <c:f>'YGS 2013 Exhibit 4'!$C$13:$C$19</c:f>
              <c:numCache>
                <c:formatCode>"$"#,##0</c:formatCode>
                <c:ptCount val="7"/>
                <c:pt idx="0">
                  <c:v>239730</c:v>
                </c:pt>
                <c:pt idx="1">
                  <c:v>359595</c:v>
                </c:pt>
                <c:pt idx="2">
                  <c:v>479460</c:v>
                </c:pt>
                <c:pt idx="3">
                  <c:v>599325</c:v>
                </c:pt>
                <c:pt idx="4">
                  <c:v>719190</c:v>
                </c:pt>
                <c:pt idx="5">
                  <c:v>839055.00000000012</c:v>
                </c:pt>
                <c:pt idx="6">
                  <c:v>958920</c:v>
                </c:pt>
              </c:numCache>
            </c:numRef>
          </c:val>
          <c:smooth val="1"/>
          <c:extLst>
            <c:ext xmlns:c16="http://schemas.microsoft.com/office/drawing/2014/chart" uri="{C3380CC4-5D6E-409C-BE32-E72D297353CC}">
              <c16:uniqueId val="{00000000-82E3-4186-8176-98B871520FA5}"/>
            </c:ext>
          </c:extLst>
        </c:ser>
        <c:dLbls>
          <c:showLegendKey val="0"/>
          <c:showVal val="0"/>
          <c:showCatName val="0"/>
          <c:showSerName val="0"/>
          <c:showPercent val="0"/>
          <c:showBubbleSize val="0"/>
        </c:dLbls>
        <c:marker val="1"/>
        <c:smooth val="0"/>
        <c:axId val="1023438800"/>
        <c:axId val="1"/>
      </c:lineChart>
      <c:catAx>
        <c:axId val="1023438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layout>
            <c:manualLayout>
              <c:xMode val="edge"/>
              <c:yMode val="edge"/>
              <c:x val="0.31577112071517377"/>
              <c:y val="0.8074654878666482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ax val="1000000"/>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quot;$&quot;#,##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38800"/>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0"/>
          <c:order val="0"/>
          <c:tx>
            <c:v>Pre-tax Incentive  </c:v>
          </c:tx>
          <c:spPr>
            <a:ln w="12700">
              <a:solidFill>
                <a:srgbClr val="3333CC"/>
              </a:solidFill>
              <a:prstDash val="solid"/>
            </a:ln>
          </c:spPr>
          <c:marker>
            <c:spPr>
              <a:solidFill>
                <a:srgbClr val="FF99FF"/>
              </a:solidFill>
              <a:ln w="12700">
                <a:solidFill>
                  <a:srgbClr val="002060"/>
                </a:solidFill>
                <a:prstDash val="solid"/>
              </a:ln>
            </c:spPr>
          </c:marker>
          <c:cat>
            <c:numLit>
              <c:formatCode>General</c:formatCode>
              <c:ptCount val="1"/>
              <c:pt idx="0">
                <c:v>0</c:v>
              </c:pt>
            </c:numLit>
          </c:cat>
          <c:val>
            <c:numLit>
              <c:formatCode>General</c:formatCode>
              <c:ptCount val="1"/>
              <c:pt idx="0">
                <c:v>0</c:v>
              </c:pt>
            </c:numLit>
          </c:val>
          <c:smooth val="1"/>
          <c:extLst>
            <c:ext xmlns:c16="http://schemas.microsoft.com/office/drawing/2014/chart" uri="{C3380CC4-5D6E-409C-BE32-E72D297353CC}">
              <c16:uniqueId val="{00000000-5E9F-4168-A143-F8C8A833B402}"/>
            </c:ext>
          </c:extLst>
        </c:ser>
        <c:dLbls>
          <c:showLegendKey val="0"/>
          <c:showVal val="0"/>
          <c:showCatName val="0"/>
          <c:showSerName val="0"/>
          <c:showPercent val="0"/>
          <c:showBubbleSize val="0"/>
        </c:dLbls>
        <c:marker val="1"/>
        <c:smooth val="0"/>
        <c:axId val="1023449296"/>
        <c:axId val="1"/>
      </c:lineChart>
      <c:catAx>
        <c:axId val="10234492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layout>
            <c:manualLayout>
              <c:xMode val="edge"/>
              <c:yMode val="edge"/>
              <c:x val="0.31577112071517377"/>
              <c:y val="0.8074654878666482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ax val="1000000"/>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49296"/>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0"/>
          <c:order val="0"/>
          <c:tx>
            <c:v>Pre-tax Incentive  </c:v>
          </c:tx>
          <c:spPr>
            <a:ln w="12700">
              <a:solidFill>
                <a:srgbClr val="3333CC"/>
              </a:solidFill>
              <a:prstDash val="solid"/>
            </a:ln>
          </c:spPr>
          <c:marker>
            <c:spPr>
              <a:solidFill>
                <a:srgbClr val="FF99FF"/>
              </a:solidFill>
              <a:ln w="12700">
                <a:solidFill>
                  <a:srgbClr val="002060"/>
                </a:solidFill>
                <a:prstDash val="solid"/>
              </a:ln>
            </c:spPr>
          </c:marker>
          <c:cat>
            <c:numLit>
              <c:formatCode>General</c:formatCode>
              <c:ptCount val="1"/>
              <c:pt idx="0">
                <c:v>0</c:v>
              </c:pt>
            </c:numLit>
          </c:cat>
          <c:val>
            <c:numLit>
              <c:formatCode>General</c:formatCode>
              <c:ptCount val="1"/>
              <c:pt idx="0">
                <c:v>0</c:v>
              </c:pt>
            </c:numLit>
          </c:val>
          <c:smooth val="1"/>
          <c:extLst>
            <c:ext xmlns:c16="http://schemas.microsoft.com/office/drawing/2014/chart" uri="{C3380CC4-5D6E-409C-BE32-E72D297353CC}">
              <c16:uniqueId val="{00000000-05BB-4219-8E66-4DA6B6FD0ACF}"/>
            </c:ext>
          </c:extLst>
        </c:ser>
        <c:dLbls>
          <c:showLegendKey val="0"/>
          <c:showVal val="0"/>
          <c:showCatName val="0"/>
          <c:showSerName val="0"/>
          <c:showPercent val="0"/>
          <c:showBubbleSize val="0"/>
        </c:dLbls>
        <c:marker val="1"/>
        <c:smooth val="0"/>
        <c:axId val="1023448312"/>
        <c:axId val="1"/>
      </c:lineChart>
      <c:catAx>
        <c:axId val="10234483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layout>
            <c:manualLayout>
              <c:xMode val="edge"/>
              <c:yMode val="edge"/>
              <c:x val="0.31577112071517377"/>
              <c:y val="0.8074654878666482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ax val="1000000"/>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48312"/>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1"/>
          <c:order val="0"/>
          <c:tx>
            <c:strRef>
              <c:f>'YGS 2014 Exhibit 4'!$C$12</c:f>
              <c:strCache>
                <c:ptCount val="1"/>
                <c:pt idx="0">
                  <c:v>Pre-tax Incentive  </c:v>
                </c:pt>
              </c:strCache>
            </c:strRef>
          </c:tx>
          <c:spPr>
            <a:ln w="12700">
              <a:solidFill>
                <a:schemeClr val="tx2"/>
              </a:solidFill>
              <a:prstDash val="solid"/>
            </a:ln>
          </c:spPr>
          <c:marker>
            <c:spPr>
              <a:solidFill>
                <a:srgbClr val="FF99FF"/>
              </a:solidFill>
              <a:ln w="12700">
                <a:solidFill>
                  <a:schemeClr val="tx2"/>
                </a:solidFill>
                <a:prstDash val="solid"/>
              </a:ln>
            </c:spPr>
          </c:marker>
          <c:cat>
            <c:numRef>
              <c:f>'YGS 2014 Exhibit 4'!$A$13:$A$19</c:f>
              <c:numCache>
                <c:formatCode>General</c:formatCode>
                <c:ptCount val="7"/>
                <c:pt idx="0">
                  <c:v>70</c:v>
                </c:pt>
                <c:pt idx="1">
                  <c:v>80</c:v>
                </c:pt>
                <c:pt idx="2">
                  <c:v>90</c:v>
                </c:pt>
                <c:pt idx="3">
                  <c:v>100</c:v>
                </c:pt>
                <c:pt idx="4">
                  <c:v>110</c:v>
                </c:pt>
                <c:pt idx="5">
                  <c:v>120</c:v>
                </c:pt>
                <c:pt idx="6">
                  <c:v>130</c:v>
                </c:pt>
              </c:numCache>
            </c:numRef>
          </c:cat>
          <c:val>
            <c:numRef>
              <c:f>'YGS 2014 Exhibit 4'!$C$13:$C$19</c:f>
              <c:numCache>
                <c:formatCode>"$"#,##0</c:formatCode>
                <c:ptCount val="7"/>
                <c:pt idx="0">
                  <c:v>270470</c:v>
                </c:pt>
                <c:pt idx="1">
                  <c:v>405705</c:v>
                </c:pt>
                <c:pt idx="2">
                  <c:v>540940</c:v>
                </c:pt>
                <c:pt idx="3">
                  <c:v>676175</c:v>
                </c:pt>
                <c:pt idx="4">
                  <c:v>811410</c:v>
                </c:pt>
                <c:pt idx="5">
                  <c:v>946645.00000000012</c:v>
                </c:pt>
                <c:pt idx="6">
                  <c:v>1081880</c:v>
                </c:pt>
              </c:numCache>
            </c:numRef>
          </c:val>
          <c:smooth val="0"/>
          <c:extLst>
            <c:ext xmlns:c16="http://schemas.microsoft.com/office/drawing/2014/chart" uri="{C3380CC4-5D6E-409C-BE32-E72D297353CC}">
              <c16:uniqueId val="{00000000-AE66-49CA-A605-6A3C6C727278}"/>
            </c:ext>
          </c:extLst>
        </c:ser>
        <c:dLbls>
          <c:showLegendKey val="0"/>
          <c:showVal val="0"/>
          <c:showCatName val="0"/>
          <c:showSerName val="0"/>
          <c:showPercent val="0"/>
          <c:showBubbleSize val="0"/>
        </c:dLbls>
        <c:marker val="1"/>
        <c:smooth val="0"/>
        <c:axId val="1023453560"/>
        <c:axId val="1"/>
      </c:lineChart>
      <c:catAx>
        <c:axId val="10234535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quot;$&quot;#,##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53560"/>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1"/>
          <c:order val="0"/>
          <c:tx>
            <c:v>Pre-tax Incentive  </c:v>
          </c:tx>
          <c:spPr>
            <a:ln w="12700">
              <a:solidFill>
                <a:schemeClr val="tx2"/>
              </a:solidFill>
              <a:prstDash val="solid"/>
            </a:ln>
          </c:spPr>
          <c:marker>
            <c:spPr>
              <a:solidFill>
                <a:srgbClr val="FF99FF"/>
              </a:solidFill>
              <a:ln w="12700">
                <a:solidFill>
                  <a:schemeClr val="tx2"/>
                </a:solidFill>
                <a:prstDash val="solid"/>
              </a:ln>
            </c:spPr>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5C37-496E-9971-4F65460494AF}"/>
            </c:ext>
          </c:extLst>
        </c:ser>
        <c:dLbls>
          <c:showLegendKey val="0"/>
          <c:showVal val="0"/>
          <c:showCatName val="0"/>
          <c:showSerName val="0"/>
          <c:showPercent val="0"/>
          <c:showBubbleSize val="0"/>
        </c:dLbls>
        <c:marker val="1"/>
        <c:smooth val="0"/>
        <c:axId val="1023445360"/>
        <c:axId val="1"/>
      </c:lineChart>
      <c:catAx>
        <c:axId val="10234453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min val="0"/>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3445360"/>
        <c:crosses val="autoZero"/>
        <c:crossBetween val="between"/>
        <c:majorUnit val="200000"/>
        <c:minorUnit val="100000"/>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737F-4C01-8C28-6DAD5B5D73BA}"/>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37F-4C01-8C28-6DAD5B5D73B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737F-4C01-8C28-6DAD5B5D73BA}"/>
              </c:ext>
            </c:extLst>
          </c:dPt>
          <c:dLbls>
            <c:dLbl>
              <c:idx val="0"/>
              <c:layout>
                <c:manualLayout>
                  <c:x val="3.3472803347280332E-2"/>
                  <c:y val="-9.9750623441396506E-3"/>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7F-4C01-8C28-6DAD5B5D73BA}"/>
                </c:ext>
              </c:extLst>
            </c:dLbl>
            <c:dLbl>
              <c:idx val="1"/>
              <c:layout>
                <c:manualLayout>
                  <c:x val="0.11157601115760121"/>
                  <c:y val="-2.6600166251039069E-2"/>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7F-4C01-8C28-6DAD5B5D73BA}"/>
                </c:ext>
              </c:extLst>
            </c:dLbl>
            <c:dLbl>
              <c:idx val="2"/>
              <c:layout>
                <c:manualLayout>
                  <c:x val="0"/>
                  <c:y val="-9.3100581878636748E-2"/>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7F-4C01-8C28-6DAD5B5D73BA}"/>
                </c:ext>
              </c:extLst>
            </c:dLbl>
            <c:numFmt formatCode="0.00%" sourceLinked="0"/>
            <c:spPr>
              <a:noFill/>
              <a:ln w="25400">
                <a:noFill/>
              </a:ln>
            </c:spPr>
            <c:txPr>
              <a:bodyPr wrap="square" lIns="38100" tIns="19050" rIns="38100" bIns="19050" anchor="ctr">
                <a:spAutoFit/>
              </a:bodyPr>
              <a:lstStyle/>
              <a:p>
                <a:pPr>
                  <a:defRPr sz="11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('YGS 2014 Table A Pie Charts  '!$A$29:$A$30,'YGS 2014 Table A Pie Charts  '!$A$33)</c:f>
              <c:strCache>
                <c:ptCount val="3"/>
                <c:pt idx="0">
                  <c:v>Res. Income Eligible</c:v>
                </c:pt>
                <c:pt idx="1">
                  <c:v>Res. Non Income Eligible</c:v>
                </c:pt>
                <c:pt idx="2">
                  <c:v>Commercial and Industrial</c:v>
                </c:pt>
              </c:strCache>
            </c:strRef>
          </c:cat>
          <c:val>
            <c:numRef>
              <c:f>('YGS 2014 Table A Pie Charts  '!$E$29:$E$30,'YGS 2014 Table A Pie Charts  '!$E$33)</c:f>
              <c:numCache>
                <c:formatCode>0.00%</c:formatCode>
                <c:ptCount val="3"/>
                <c:pt idx="0">
                  <c:v>0.20704153404848913</c:v>
                </c:pt>
                <c:pt idx="1">
                  <c:v>0.41447601084521984</c:v>
                </c:pt>
                <c:pt idx="2">
                  <c:v>0.37848245510629103</c:v>
                </c:pt>
              </c:numCache>
            </c:numRef>
          </c:val>
          <c:extLst>
            <c:ext xmlns:c16="http://schemas.microsoft.com/office/drawing/2014/chart" uri="{C3380CC4-5D6E-409C-BE32-E72D297353CC}">
              <c16:uniqueId val="{00000003-737F-4C01-8C28-6DAD5B5D73B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1"/>
          <c:order val="0"/>
          <c:tx>
            <c:strRef>
              <c:f>'YGS 2015 Exhibit 4'!$B$12</c:f>
              <c:strCache>
                <c:ptCount val="1"/>
                <c:pt idx="0">
                  <c:v>Pretax Incentive</c:v>
                </c:pt>
              </c:strCache>
            </c:strRef>
          </c:tx>
          <c:spPr>
            <a:ln w="12700">
              <a:solidFill>
                <a:schemeClr val="tx2"/>
              </a:solidFill>
            </a:ln>
          </c:spPr>
          <c:marker>
            <c:spPr>
              <a:solidFill>
                <a:srgbClr val="FF99FF"/>
              </a:solidFill>
              <a:ln w="12700">
                <a:solidFill>
                  <a:schemeClr val="tx2"/>
                </a:solidFill>
              </a:ln>
            </c:spPr>
          </c:marker>
          <c:cat>
            <c:numRef>
              <c:f>'YGS 2015 Exhibit 4'!$A$13:$A$19</c:f>
              <c:numCache>
                <c:formatCode>General</c:formatCode>
                <c:ptCount val="7"/>
                <c:pt idx="0">
                  <c:v>70</c:v>
                </c:pt>
                <c:pt idx="1">
                  <c:v>80</c:v>
                </c:pt>
                <c:pt idx="2">
                  <c:v>90</c:v>
                </c:pt>
                <c:pt idx="3">
                  <c:v>100</c:v>
                </c:pt>
                <c:pt idx="4">
                  <c:v>110</c:v>
                </c:pt>
                <c:pt idx="5">
                  <c:v>120</c:v>
                </c:pt>
                <c:pt idx="6">
                  <c:v>130</c:v>
                </c:pt>
              </c:numCache>
            </c:numRef>
          </c:cat>
          <c:val>
            <c:numRef>
              <c:f>'YGS 2015 Exhibit 4'!$C$13:$C$19</c:f>
              <c:numCache>
                <c:formatCode>"$"#,##0</c:formatCode>
                <c:ptCount val="7"/>
                <c:pt idx="0">
                  <c:v>310120</c:v>
                </c:pt>
                <c:pt idx="1">
                  <c:v>465180</c:v>
                </c:pt>
                <c:pt idx="2">
                  <c:v>620240</c:v>
                </c:pt>
                <c:pt idx="3">
                  <c:v>775300</c:v>
                </c:pt>
                <c:pt idx="4">
                  <c:v>930360</c:v>
                </c:pt>
                <c:pt idx="5">
                  <c:v>1085420</c:v>
                </c:pt>
                <c:pt idx="6">
                  <c:v>1240480</c:v>
                </c:pt>
              </c:numCache>
            </c:numRef>
          </c:val>
          <c:smooth val="0"/>
          <c:extLst>
            <c:ext xmlns:c16="http://schemas.microsoft.com/office/drawing/2014/chart" uri="{C3380CC4-5D6E-409C-BE32-E72D297353CC}">
              <c16:uniqueId val="{00000000-AB45-4C1B-9F4D-A47DD83F5053}"/>
            </c:ext>
          </c:extLst>
        </c:ser>
        <c:dLbls>
          <c:showLegendKey val="0"/>
          <c:showVal val="0"/>
          <c:showCatName val="0"/>
          <c:showSerName val="0"/>
          <c:showPercent val="0"/>
          <c:showBubbleSize val="0"/>
        </c:dLbls>
        <c:marker val="1"/>
        <c:smooth val="0"/>
        <c:axId val="1024671176"/>
        <c:axId val="1"/>
      </c:lineChart>
      <c:catAx>
        <c:axId val="10246711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quot;$&quot;#,##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4671176"/>
        <c:crosses val="autoZero"/>
        <c:crossBetween val="between"/>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200" b="1" i="0" u="none" strike="noStrike" baseline="0">
                <a:solidFill>
                  <a:srgbClr val="000000"/>
                </a:solidFill>
                <a:latin typeface="Calibri"/>
                <a:ea typeface="Calibri"/>
                <a:cs typeface="Calibri"/>
              </a:defRPr>
            </a:pPr>
            <a:r>
              <a:rPr lang="en-US"/>
              <a:t>Incentive $ Earned vs Performance Achieved </a:t>
            </a:r>
          </a:p>
        </c:rich>
      </c:tx>
      <c:overlay val="0"/>
    </c:title>
    <c:autoTitleDeleted val="0"/>
    <c:plotArea>
      <c:layout>
        <c:manualLayout>
          <c:layoutTarget val="inner"/>
          <c:xMode val="edge"/>
          <c:yMode val="edge"/>
          <c:x val="0.20336097192396405"/>
          <c:y val="0.17086024483381973"/>
          <c:w val="0.76381074524775316"/>
          <c:h val="0.49776780674594989"/>
        </c:manualLayout>
      </c:layout>
      <c:lineChart>
        <c:grouping val="standard"/>
        <c:varyColors val="0"/>
        <c:ser>
          <c:idx val="1"/>
          <c:order val="0"/>
          <c:tx>
            <c:v>Pretax Incentive</c:v>
          </c:tx>
          <c:spPr>
            <a:ln w="12700">
              <a:solidFill>
                <a:schemeClr val="tx2"/>
              </a:solidFill>
            </a:ln>
          </c:spPr>
          <c:marker>
            <c:spPr>
              <a:solidFill>
                <a:srgbClr val="FF99FF"/>
              </a:solidFill>
              <a:ln w="12700">
                <a:solidFill>
                  <a:schemeClr val="tx2"/>
                </a:solidFill>
              </a:ln>
            </c:spPr>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1C45-4DC8-AA31-DAA2F0582A0B}"/>
            </c:ext>
          </c:extLst>
        </c:ser>
        <c:dLbls>
          <c:showLegendKey val="0"/>
          <c:showVal val="0"/>
          <c:showCatName val="0"/>
          <c:showSerName val="0"/>
          <c:showPercent val="0"/>
          <c:showBubbleSize val="0"/>
        </c:dLbls>
        <c:marker val="1"/>
        <c:smooth val="0"/>
        <c:axId val="1024673144"/>
        <c:axId val="1"/>
      </c:lineChart>
      <c:catAx>
        <c:axId val="10246731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Performance Achieved % of Target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MarkSkip val="1"/>
        <c:noMultiLvlLbl val="0"/>
      </c:catAx>
      <c:valAx>
        <c:axId val="1"/>
        <c:scaling>
          <c:orientation val="minMax"/>
        </c:scaling>
        <c:delete val="0"/>
        <c:axPos val="l"/>
        <c:majorGridlines>
          <c:spPr>
            <a:ln w="9525" cap="flat" cmpd="sng" algn="ctr">
              <a:solidFill>
                <a:schemeClr val="dk1">
                  <a:shade val="95000"/>
                  <a:satMod val="105000"/>
                </a:schemeClr>
              </a:solidFill>
              <a:prstDash val="solid"/>
            </a:ln>
            <a:effectLst/>
          </c:spPr>
        </c:majorGridlines>
        <c:title>
          <c:tx>
            <c:rich>
              <a:bodyPr/>
              <a:lstStyle/>
              <a:p>
                <a:pPr>
                  <a:defRPr sz="1000" b="1" i="0" u="none" strike="noStrike" baseline="0">
                    <a:solidFill>
                      <a:srgbClr val="000000"/>
                    </a:solidFill>
                    <a:latin typeface="Calibri"/>
                    <a:ea typeface="Calibri"/>
                    <a:cs typeface="Calibri"/>
                  </a:defRPr>
                </a:pPr>
                <a:r>
                  <a:rPr lang="en-US"/>
                  <a:t>Incentive Earned </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24673144"/>
        <c:crosses val="autoZero"/>
        <c:crossBetween val="between"/>
      </c:valAx>
      <c:spPr>
        <a:solidFill>
          <a:schemeClr val="bg1">
            <a:lumMod val="75000"/>
          </a:schemeClr>
        </a:solidFill>
        <a:ln w="12700"/>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8790786948"/>
          <c:y val="2.9411764705882353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'CNG 2013 Exhibit 4'!$C$12</c:f>
              <c:strCache>
                <c:ptCount val="1"/>
                <c:pt idx="0">
                  <c:v>Pre-tax Incentive  </c:v>
                </c:pt>
              </c:strCache>
            </c:strRef>
          </c:tx>
          <c:spPr>
            <a:ln w="12700">
              <a:solidFill>
                <a:srgbClr val="000080"/>
              </a:solidFill>
              <a:prstDash val="solid"/>
            </a:ln>
          </c:spPr>
          <c:marker>
            <c:symbol val="none"/>
          </c:marker>
          <c:xVal>
            <c:numRef>
              <c:f>'CNG 2013 Exhibit 4'!$A$13:$A$19</c:f>
              <c:numCache>
                <c:formatCode>General</c:formatCode>
                <c:ptCount val="7"/>
                <c:pt idx="0">
                  <c:v>70</c:v>
                </c:pt>
                <c:pt idx="1">
                  <c:v>80</c:v>
                </c:pt>
                <c:pt idx="2">
                  <c:v>90</c:v>
                </c:pt>
                <c:pt idx="3">
                  <c:v>100</c:v>
                </c:pt>
                <c:pt idx="4">
                  <c:v>110</c:v>
                </c:pt>
                <c:pt idx="5">
                  <c:v>120</c:v>
                </c:pt>
                <c:pt idx="6">
                  <c:v>130</c:v>
                </c:pt>
              </c:numCache>
            </c:numRef>
          </c:xVal>
          <c:yVal>
            <c:numRef>
              <c:f>'CNG 2013 Exhibit 4'!$C$13:$C$19</c:f>
              <c:numCache>
                <c:formatCode>"$"#,##0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0-39EB-42B0-B8F5-FC3424C8556B}"/>
            </c:ext>
          </c:extLst>
        </c:ser>
        <c:dLbls>
          <c:showLegendKey val="0"/>
          <c:showVal val="0"/>
          <c:showCatName val="0"/>
          <c:showSerName val="0"/>
          <c:showPercent val="0"/>
          <c:showBubbleSize val="0"/>
        </c:dLbls>
        <c:axId val="1020791408"/>
        <c:axId val="1"/>
      </c:scatterChart>
      <c:valAx>
        <c:axId val="1020791408"/>
        <c:scaling>
          <c:orientation val="minMax"/>
          <c:max val="130"/>
          <c:min val="6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8714011518"/>
              <c:y val="0.830882352941176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030710172742E-2"/>
              <c:y val="0.22426470588235295"/>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0791408"/>
        <c:crosses val="autoZero"/>
        <c:crossBetween val="midCat"/>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8790786948"/>
          <c:y val="2.9411764705882353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'CNG 2014 Exhibit 4'!$C$12</c:f>
              <c:strCache>
                <c:ptCount val="1"/>
                <c:pt idx="0">
                  <c:v>Pre-tax Incentive  </c:v>
                </c:pt>
              </c:strCache>
            </c:strRef>
          </c:tx>
          <c:spPr>
            <a:ln w="12700">
              <a:solidFill>
                <a:srgbClr val="000080"/>
              </a:solidFill>
              <a:prstDash val="solid"/>
            </a:ln>
          </c:spPr>
          <c:marker>
            <c:symbol val="none"/>
          </c:marker>
          <c:xVal>
            <c:numRef>
              <c:f>'CNG 2014 Exhibit 4'!$A$13:$A$19</c:f>
              <c:numCache>
                <c:formatCode>General</c:formatCode>
                <c:ptCount val="7"/>
                <c:pt idx="0">
                  <c:v>75</c:v>
                </c:pt>
                <c:pt idx="1">
                  <c:v>80</c:v>
                </c:pt>
                <c:pt idx="2">
                  <c:v>90</c:v>
                </c:pt>
                <c:pt idx="3">
                  <c:v>100</c:v>
                </c:pt>
                <c:pt idx="4">
                  <c:v>110</c:v>
                </c:pt>
                <c:pt idx="5">
                  <c:v>120</c:v>
                </c:pt>
                <c:pt idx="6">
                  <c:v>130</c:v>
                </c:pt>
              </c:numCache>
            </c:numRef>
          </c:xVal>
          <c:yVal>
            <c:numRef>
              <c:f>'CNG 2014 Exhibit 4'!$C$13:$C$19</c:f>
              <c:numCache>
                <c:formatCode>"$"#,##0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0-BFD1-4CBA-B8AC-096ADCE4215F}"/>
            </c:ext>
          </c:extLst>
        </c:ser>
        <c:dLbls>
          <c:showLegendKey val="0"/>
          <c:showVal val="0"/>
          <c:showCatName val="0"/>
          <c:showSerName val="0"/>
          <c:showPercent val="0"/>
          <c:showBubbleSize val="0"/>
        </c:dLbls>
        <c:axId val="1020784848"/>
        <c:axId val="1"/>
      </c:scatterChart>
      <c:valAx>
        <c:axId val="1020784848"/>
        <c:scaling>
          <c:orientation val="minMax"/>
          <c:max val="130"/>
          <c:min val="6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8714011518"/>
              <c:y val="0.830882352941176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030710172742E-2"/>
              <c:y val="0.22426470588235295"/>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0784848"/>
        <c:crosses val="autoZero"/>
        <c:crossBetween val="midCat"/>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8790786948"/>
          <c:y val="2.9411764705882353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'SCG 2013 Exhibit 4'!$C$12</c:f>
              <c:strCache>
                <c:ptCount val="1"/>
                <c:pt idx="0">
                  <c:v>Pre-tax Incentive  </c:v>
                </c:pt>
              </c:strCache>
            </c:strRef>
          </c:tx>
          <c:spPr>
            <a:ln w="12700">
              <a:solidFill>
                <a:srgbClr val="000080"/>
              </a:solidFill>
              <a:prstDash val="solid"/>
            </a:ln>
          </c:spPr>
          <c:marker>
            <c:symbol val="none"/>
          </c:marker>
          <c:xVal>
            <c:numRef>
              <c:f>'SCG 2013 Exhibit 4'!$A$13:$A$19</c:f>
              <c:numCache>
                <c:formatCode>General</c:formatCode>
                <c:ptCount val="7"/>
                <c:pt idx="0">
                  <c:v>70</c:v>
                </c:pt>
                <c:pt idx="1">
                  <c:v>80</c:v>
                </c:pt>
                <c:pt idx="2">
                  <c:v>90</c:v>
                </c:pt>
                <c:pt idx="3">
                  <c:v>100</c:v>
                </c:pt>
                <c:pt idx="4">
                  <c:v>110</c:v>
                </c:pt>
                <c:pt idx="5">
                  <c:v>120</c:v>
                </c:pt>
                <c:pt idx="6">
                  <c:v>130</c:v>
                </c:pt>
              </c:numCache>
            </c:numRef>
          </c:xVal>
          <c:yVal>
            <c:numRef>
              <c:f>'SCG 2013 Exhibit 4'!$C$13:$C$19</c:f>
              <c:numCache>
                <c:formatCode>"$"#,##0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0-4ECF-4B47-9642-0F2BFE67D92D}"/>
            </c:ext>
          </c:extLst>
        </c:ser>
        <c:dLbls>
          <c:showLegendKey val="0"/>
          <c:showVal val="0"/>
          <c:showCatName val="0"/>
          <c:showSerName val="0"/>
          <c:showPercent val="0"/>
          <c:showBubbleSize val="0"/>
        </c:dLbls>
        <c:axId val="1021456640"/>
        <c:axId val="1"/>
      </c:scatterChart>
      <c:valAx>
        <c:axId val="1021456640"/>
        <c:scaling>
          <c:orientation val="minMax"/>
          <c:max val="130"/>
          <c:min val="6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8714011518"/>
              <c:y val="0.830882352941176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030710172742E-2"/>
              <c:y val="0.22426470588235295"/>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1456640"/>
        <c:crosses val="autoZero"/>
        <c:crossBetween val="midCat"/>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96802787291"/>
          <c:y val="2.9411705702392297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'CNG 2016 Exhibit 4'!$C$12</c:f>
              <c:strCache>
                <c:ptCount val="1"/>
                <c:pt idx="0">
                  <c:v>Pre-tax Incentive  </c:v>
                </c:pt>
              </c:strCache>
            </c:strRef>
          </c:tx>
          <c:spPr>
            <a:ln w="12700">
              <a:solidFill>
                <a:srgbClr val="000080"/>
              </a:solidFill>
              <a:prstDash val="solid"/>
            </a:ln>
          </c:spPr>
          <c:marker>
            <c:symbol val="none"/>
          </c:marker>
          <c:xVal>
            <c:numRef>
              <c:f>'CNG 2016 Exhibit 4'!$A$13:$A$21</c:f>
              <c:numCache>
                <c:formatCode>General</c:formatCode>
                <c:ptCount val="9"/>
                <c:pt idx="0">
                  <c:v>77.5</c:v>
                </c:pt>
                <c:pt idx="1">
                  <c:v>80</c:v>
                </c:pt>
                <c:pt idx="2">
                  <c:v>90</c:v>
                </c:pt>
                <c:pt idx="3">
                  <c:v>100</c:v>
                </c:pt>
                <c:pt idx="4">
                  <c:v>110</c:v>
                </c:pt>
                <c:pt idx="5">
                  <c:v>120</c:v>
                </c:pt>
                <c:pt idx="6">
                  <c:v>130</c:v>
                </c:pt>
                <c:pt idx="7">
                  <c:v>137.5</c:v>
                </c:pt>
              </c:numCache>
            </c:numRef>
          </c:xVal>
          <c:yVal>
            <c:numRef>
              <c:f>'CNG 2016 Exhibit 4'!$C$13:$C$21</c:f>
              <c:numCache>
                <c:formatCode>"$"#,##0</c:formatCode>
                <c:ptCount val="9"/>
                <c:pt idx="0">
                  <c:v>0</c:v>
                </c:pt>
                <c:pt idx="1">
                  <c:v>0</c:v>
                </c:pt>
                <c:pt idx="2">
                  <c:v>0</c:v>
                </c:pt>
                <c:pt idx="3">
                  <c:v>0</c:v>
                </c:pt>
                <c:pt idx="4">
                  <c:v>0</c:v>
                </c:pt>
                <c:pt idx="5">
                  <c:v>0</c:v>
                </c:pt>
                <c:pt idx="6">
                  <c:v>0</c:v>
                </c:pt>
                <c:pt idx="7">
                  <c:v>0</c:v>
                </c:pt>
              </c:numCache>
            </c:numRef>
          </c:yVal>
          <c:smooth val="1"/>
          <c:extLst>
            <c:ext xmlns:c16="http://schemas.microsoft.com/office/drawing/2014/chart" uri="{C3380CC4-5D6E-409C-BE32-E72D297353CC}">
              <c16:uniqueId val="{00000000-7C77-4507-B493-9924D5B675BA}"/>
            </c:ext>
          </c:extLst>
        </c:ser>
        <c:dLbls>
          <c:showLegendKey val="0"/>
          <c:showVal val="0"/>
          <c:showCatName val="0"/>
          <c:showSerName val="0"/>
          <c:showPercent val="0"/>
          <c:showBubbleSize val="0"/>
        </c:dLbls>
        <c:axId val="1020797312"/>
        <c:axId val="1"/>
      </c:scatterChart>
      <c:valAx>
        <c:axId val="1020797312"/>
        <c:scaling>
          <c:orientation val="minMax"/>
          <c:max val="150"/>
          <c:min val="7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71398659439"/>
              <c:y val="0.83088252503468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155239022092E-2"/>
              <c:y val="0.2242650082752394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0797312"/>
        <c:crosses val="autoZero"/>
        <c:crossBetween val="midCat"/>
        <c:majorUnit val="200000"/>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8790786948"/>
          <c:y val="2.9411764705882353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'SCG 2014 Exhibit 4'!$C$12</c:f>
              <c:strCache>
                <c:ptCount val="1"/>
                <c:pt idx="0">
                  <c:v>Pre-tax Incentive  </c:v>
                </c:pt>
              </c:strCache>
            </c:strRef>
          </c:tx>
          <c:spPr>
            <a:ln w="12700">
              <a:solidFill>
                <a:srgbClr val="000080"/>
              </a:solidFill>
              <a:prstDash val="solid"/>
            </a:ln>
          </c:spPr>
          <c:marker>
            <c:symbol val="none"/>
          </c:marker>
          <c:xVal>
            <c:numRef>
              <c:f>'SCG 2014 Exhibit 4'!$A$13:$A$19</c:f>
              <c:numCache>
                <c:formatCode>General</c:formatCode>
                <c:ptCount val="7"/>
                <c:pt idx="0">
                  <c:v>75</c:v>
                </c:pt>
                <c:pt idx="1">
                  <c:v>80</c:v>
                </c:pt>
                <c:pt idx="2">
                  <c:v>90</c:v>
                </c:pt>
                <c:pt idx="3">
                  <c:v>100</c:v>
                </c:pt>
                <c:pt idx="4">
                  <c:v>110</c:v>
                </c:pt>
                <c:pt idx="5">
                  <c:v>120</c:v>
                </c:pt>
                <c:pt idx="6">
                  <c:v>130</c:v>
                </c:pt>
              </c:numCache>
            </c:numRef>
          </c:xVal>
          <c:yVal>
            <c:numRef>
              <c:f>'SCG 2014 Exhibit 4'!$C$13:$C$19</c:f>
              <c:numCache>
                <c:formatCode>"$"#,##0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0-9AF4-4812-BECF-329C58542CB1}"/>
            </c:ext>
          </c:extLst>
        </c:ser>
        <c:dLbls>
          <c:showLegendKey val="0"/>
          <c:showVal val="0"/>
          <c:showCatName val="0"/>
          <c:showSerName val="0"/>
          <c:showPercent val="0"/>
          <c:showBubbleSize val="0"/>
        </c:dLbls>
        <c:axId val="1021471072"/>
        <c:axId val="1"/>
      </c:scatterChart>
      <c:valAx>
        <c:axId val="1021471072"/>
        <c:scaling>
          <c:orientation val="minMax"/>
          <c:max val="130"/>
          <c:min val="6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8714011518"/>
              <c:y val="0.830882352941176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030710172742E-2"/>
              <c:y val="0.22426470588235295"/>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1471072"/>
        <c:crosses val="autoZero"/>
        <c:crossBetween val="midCat"/>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92242881405"/>
          <c:y val="2.9411705702392297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'CNG 2017 Exhibit 4'!$C$12</c:f>
              <c:strCache>
                <c:ptCount val="1"/>
                <c:pt idx="0">
                  <c:v>Pre-tax Incentive  </c:v>
                </c:pt>
              </c:strCache>
            </c:strRef>
          </c:tx>
          <c:spPr>
            <a:ln w="12700">
              <a:solidFill>
                <a:srgbClr val="000080"/>
              </a:solidFill>
              <a:prstDash val="solid"/>
            </a:ln>
          </c:spPr>
          <c:marker>
            <c:symbol val="none"/>
          </c:marker>
          <c:xVal>
            <c:numRef>
              <c:f>'CNG 2017 Exhibit 4'!$A$13:$A$21</c:f>
              <c:numCache>
                <c:formatCode>General</c:formatCode>
                <c:ptCount val="9"/>
                <c:pt idx="0">
                  <c:v>77.5</c:v>
                </c:pt>
                <c:pt idx="1">
                  <c:v>80</c:v>
                </c:pt>
                <c:pt idx="2">
                  <c:v>90</c:v>
                </c:pt>
                <c:pt idx="3">
                  <c:v>100</c:v>
                </c:pt>
                <c:pt idx="4">
                  <c:v>110</c:v>
                </c:pt>
                <c:pt idx="5">
                  <c:v>120</c:v>
                </c:pt>
                <c:pt idx="6">
                  <c:v>130</c:v>
                </c:pt>
                <c:pt idx="7">
                  <c:v>137.5</c:v>
                </c:pt>
              </c:numCache>
            </c:numRef>
          </c:xVal>
          <c:yVal>
            <c:numRef>
              <c:f>'CNG 2017 Exhibit 4'!$C$13:$C$21</c:f>
              <c:numCache>
                <c:formatCode>"$"#,##0</c:formatCode>
                <c:ptCount val="9"/>
                <c:pt idx="0">
                  <c:v>0</c:v>
                </c:pt>
                <c:pt idx="1">
                  <c:v>0</c:v>
                </c:pt>
                <c:pt idx="2">
                  <c:v>0</c:v>
                </c:pt>
                <c:pt idx="3">
                  <c:v>0</c:v>
                </c:pt>
                <c:pt idx="4">
                  <c:v>0</c:v>
                </c:pt>
                <c:pt idx="5">
                  <c:v>0</c:v>
                </c:pt>
                <c:pt idx="6">
                  <c:v>0</c:v>
                </c:pt>
                <c:pt idx="7">
                  <c:v>0</c:v>
                </c:pt>
              </c:numCache>
            </c:numRef>
          </c:yVal>
          <c:smooth val="1"/>
          <c:extLst>
            <c:ext xmlns:c16="http://schemas.microsoft.com/office/drawing/2014/chart" uri="{C3380CC4-5D6E-409C-BE32-E72D297353CC}">
              <c16:uniqueId val="{00000000-024B-4F1C-B2D0-5851673EFD3F}"/>
            </c:ext>
          </c:extLst>
        </c:ser>
        <c:dLbls>
          <c:showLegendKey val="0"/>
          <c:showVal val="0"/>
          <c:showCatName val="0"/>
          <c:showSerName val="0"/>
          <c:showPercent val="0"/>
          <c:showBubbleSize val="0"/>
        </c:dLbls>
        <c:axId val="1021445160"/>
        <c:axId val="1"/>
      </c:scatterChart>
      <c:valAx>
        <c:axId val="1021445160"/>
        <c:scaling>
          <c:orientation val="minMax"/>
          <c:max val="150"/>
          <c:min val="7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7040737555"/>
              <c:y val="0.83088252503468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5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232559165394E-2"/>
              <c:y val="0.2242650082752394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1445160"/>
        <c:crosses val="autoZero"/>
        <c:crossBetween val="midCat"/>
        <c:majorUnit val="200000"/>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4176-4EEF-8698-622899ED1D21}"/>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176-4EEF-8698-622899ED1D21}"/>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176-4EEF-8698-622899ED1D21}"/>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176-4EEF-8698-622899ED1D21}"/>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76-4EEF-8698-622899ED1D21}"/>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176-4EEF-8698-622899ED1D21}"/>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176-4EEF-8698-622899ED1D21}"/>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176-4EEF-8698-622899ED1D21}"/>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176-4EEF-8698-622899ED1D21}"/>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4176-4EEF-8698-622899ED1D2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7FE1-4774-AB7A-1E01DE0E165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FE1-4774-AB7A-1E01DE0E165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7FE1-4774-AB7A-1E01DE0E165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7FE1-4774-AB7A-1E01DE0E1659}"/>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7FE1-4774-AB7A-1E01DE0E165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7FE1-4774-AB7A-1E01DE0E1659}"/>
              </c:ext>
            </c:extLst>
          </c:dPt>
          <c:dPt>
            <c:idx val="6"/>
            <c:bubble3D val="0"/>
            <c:extLst>
              <c:ext xmlns:c16="http://schemas.microsoft.com/office/drawing/2014/chart" uri="{C3380CC4-5D6E-409C-BE32-E72D297353CC}">
                <c16:uniqueId val="{00000006-7FE1-4774-AB7A-1E01DE0E1659}"/>
              </c:ext>
            </c:extLst>
          </c:dPt>
          <c:dPt>
            <c:idx val="7"/>
            <c:bubble3D val="0"/>
            <c:extLst>
              <c:ext xmlns:c16="http://schemas.microsoft.com/office/drawing/2014/chart" uri="{C3380CC4-5D6E-409C-BE32-E72D297353CC}">
                <c16:uniqueId val="{00000007-7FE1-4774-AB7A-1E01DE0E1659}"/>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E1-4774-AB7A-1E01DE0E1659}"/>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E1-4774-AB7A-1E01DE0E1659}"/>
                </c:ext>
              </c:extLst>
            </c:dLbl>
            <c:dLbl>
              <c:idx val="2"/>
              <c:layout>
                <c:manualLayout>
                  <c:x val="2.7372064011589693E-2"/>
                  <c:y val="1.570109880332749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E1-4774-AB7A-1E01DE0E1659}"/>
                </c:ext>
              </c:extLst>
            </c:dLbl>
            <c:dLbl>
              <c:idx val="3"/>
              <c:layout>
                <c:manualLayout>
                  <c:x val="6.2197480851520479E-2"/>
                  <c:y val="1.2668713021041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E1-4774-AB7A-1E01DE0E1659}"/>
                </c:ext>
              </c:extLst>
            </c:dLbl>
            <c:dLbl>
              <c:idx val="4"/>
              <c:layout>
                <c:manualLayout>
                  <c:x val="-5.4937647274499547E-2"/>
                  <c:y val="1.8176965167488622E-3"/>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E1-4774-AB7A-1E01DE0E1659}"/>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E1-4774-AB7A-1E01DE0E1659}"/>
                </c:ext>
              </c:extLst>
            </c:dLbl>
            <c:dLbl>
              <c:idx val="6"/>
              <c:layout>
                <c:manualLayout>
                  <c:x val="-9.2998394622536062E-2"/>
                  <c:y val="-0.15358817066580874"/>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E1-4774-AB7A-1E01DE0E1659}"/>
                </c:ext>
              </c:extLst>
            </c:dLbl>
            <c:dLbl>
              <c:idx val="7"/>
              <c:layout>
                <c:manualLayout>
                  <c:x val="1.8026622311052686E-3"/>
                  <c:y val="-0.1261773210552070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E1-4774-AB7A-1E01DE0E1659}"/>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2023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'SCG 2023 Table C Pie Chart'!$B$34:$B$41</c:f>
              <c:numCache>
                <c:formatCode>_("$"* #,##0_);_("$"* \(#,##0\);_("$"* "-"_);_(@_)</c:formatCode>
                <c:ptCount val="8"/>
                <c:pt idx="0">
                  <c:v>1477663.2000000002</c:v>
                </c:pt>
                <c:pt idx="1">
                  <c:v>5517.0745638642738</c:v>
                </c:pt>
                <c:pt idx="2">
                  <c:v>1630318.1037401806</c:v>
                </c:pt>
                <c:pt idx="3">
                  <c:v>71150</c:v>
                </c:pt>
                <c:pt idx="4">
                  <c:v>10357515.247744152</c:v>
                </c:pt>
                <c:pt idx="5">
                  <c:v>250740.21865802899</c:v>
                </c:pt>
                <c:pt idx="6">
                  <c:v>874510.8050110531</c:v>
                </c:pt>
                <c:pt idx="7">
                  <c:v>25096.15776785856</c:v>
                </c:pt>
              </c:numCache>
            </c:numRef>
          </c:val>
          <c:extLst>
            <c:ext xmlns:c16="http://schemas.microsoft.com/office/drawing/2014/chart" uri="{C3380CC4-5D6E-409C-BE32-E72D297353CC}">
              <c16:uniqueId val="{00000008-7FE1-4774-AB7A-1E01DE0E165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8104149317"/>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683B-4E70-8017-EC3BCBD84337}"/>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83B-4E70-8017-EC3BCBD8433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683B-4E70-8017-EC3BCBD84337}"/>
              </c:ext>
            </c:extLst>
          </c:dPt>
          <c:dLbls>
            <c:dLbl>
              <c:idx val="0"/>
              <c:layout>
                <c:manualLayout>
                  <c:x val="7.4487895716946001E-2"/>
                  <c:y val="-2.735042735042735E-2"/>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83B-4E70-8017-EC3BCBD84337}"/>
                </c:ext>
              </c:extLst>
            </c:dLbl>
            <c:dLbl>
              <c:idx val="1"/>
              <c:layout>
                <c:manualLayout>
                  <c:x val="0.14152700186219738"/>
                  <c:y val="-6.1538461538461542E-2"/>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3B-4E70-8017-EC3BCBD84337}"/>
                </c:ext>
              </c:extLst>
            </c:dLbl>
            <c:dLbl>
              <c:idx val="2"/>
              <c:layout>
                <c:manualLayout>
                  <c:x val="-7.4487895716945987E-2"/>
                  <c:y val="-1.3675213675213675E-2"/>
                </c:manualLayout>
              </c:layout>
              <c:numFmt formatCode="0.00%" sourceLinked="0"/>
              <c:spPr/>
              <c:txPr>
                <a:bodyPr/>
                <a:lstStyle/>
                <a:p>
                  <a:pPr>
                    <a:defRPr sz="11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83B-4E70-8017-EC3BCBD84337}"/>
                </c:ext>
              </c:extLst>
            </c:dLbl>
            <c:numFmt formatCode="0.00%" sourceLinked="0"/>
            <c:spPr>
              <a:noFill/>
              <a:ln w="25400">
                <a:noFill/>
              </a:ln>
            </c:spPr>
            <c:txPr>
              <a:bodyPr wrap="square" lIns="38100" tIns="19050" rIns="38100" bIns="19050" anchor="ctr">
                <a:spAutoFit/>
              </a:bodyPr>
              <a:lstStyle/>
              <a:p>
                <a:pPr>
                  <a:defRPr sz="11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('YGS 2015 Table A Pie Charts '!$A$29:$A$30,'YGS 2015 Table A Pie Charts '!$A$33)</c:f>
              <c:strCache>
                <c:ptCount val="3"/>
                <c:pt idx="0">
                  <c:v>Res. Income Eligible</c:v>
                </c:pt>
                <c:pt idx="1">
                  <c:v>Res. Non Income Eligible</c:v>
                </c:pt>
                <c:pt idx="2">
                  <c:v>Commercial and Industrial</c:v>
                </c:pt>
              </c:strCache>
            </c:strRef>
          </c:cat>
          <c:val>
            <c:numRef>
              <c:f>('YGS 2015 Table A Pie Charts '!$E$29:$E$30,'YGS 2015 Table A Pie Charts '!$E$33)</c:f>
              <c:numCache>
                <c:formatCode>0.00%</c:formatCode>
                <c:ptCount val="3"/>
                <c:pt idx="0">
                  <c:v>0.18864456395942542</c:v>
                </c:pt>
                <c:pt idx="1">
                  <c:v>0.40996664170467695</c:v>
                </c:pt>
                <c:pt idx="2">
                  <c:v>0.40138879433589764</c:v>
                </c:pt>
              </c:numCache>
            </c:numRef>
          </c:val>
          <c:extLst>
            <c:ext xmlns:c16="http://schemas.microsoft.com/office/drawing/2014/chart" uri="{C3380CC4-5D6E-409C-BE32-E72D297353CC}">
              <c16:uniqueId val="{00000003-683B-4E70-8017-EC3BCBD8433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1C47-4C72-8972-F47169AFAFE0}"/>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47-4C72-8972-F47169AFAFE0}"/>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47-4C72-8972-F47169AFAFE0}"/>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47-4C72-8972-F47169AFAFE0}"/>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47-4C72-8972-F47169AFAFE0}"/>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47-4C72-8972-F47169AFAFE0}"/>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47-4C72-8972-F47169AFAFE0}"/>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47-4C72-8972-F47169AFAFE0}"/>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47-4C72-8972-F47169AFAFE0}"/>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1C47-4C72-8972-F47169AFAFE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7DC6-46E0-A035-DD4A2A3BB078}"/>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DC6-46E0-A035-DD4A2A3BB07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7DC6-46E0-A035-DD4A2A3BB07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7DC6-46E0-A035-DD4A2A3BB078}"/>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4-7DC6-46E0-A035-DD4A2A3BB0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7DC6-46E0-A035-DD4A2A3BB078}"/>
              </c:ext>
            </c:extLst>
          </c:dPt>
          <c:dPt>
            <c:idx val="6"/>
            <c:bubble3D val="0"/>
            <c:extLst>
              <c:ext xmlns:c16="http://schemas.microsoft.com/office/drawing/2014/chart" uri="{C3380CC4-5D6E-409C-BE32-E72D297353CC}">
                <c16:uniqueId val="{00000006-7DC6-46E0-A035-DD4A2A3BB078}"/>
              </c:ext>
            </c:extLst>
          </c:dPt>
          <c:dPt>
            <c:idx val="7"/>
            <c:bubble3D val="0"/>
            <c:extLst>
              <c:ext xmlns:c16="http://schemas.microsoft.com/office/drawing/2014/chart" uri="{C3380CC4-5D6E-409C-BE32-E72D297353CC}">
                <c16:uniqueId val="{00000007-7DC6-46E0-A035-DD4A2A3BB078}"/>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C6-46E0-A035-DD4A2A3BB078}"/>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C6-46E0-A035-DD4A2A3BB078}"/>
                </c:ext>
              </c:extLst>
            </c:dLbl>
            <c:dLbl>
              <c:idx val="2"/>
              <c:layout>
                <c:manualLayout>
                  <c:x val="6.5493094100942395E-2"/>
                  <c:y val="2.959947506561682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DC6-46E0-A035-DD4A2A3BB078}"/>
                </c:ext>
              </c:extLst>
            </c:dLbl>
            <c:dLbl>
              <c:idx val="3"/>
              <c:layout>
                <c:manualLayout>
                  <c:x val="0.10535024310485759"/>
                  <c:y val="4.617165354330708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C6-46E0-A035-DD4A2A3BB078}"/>
                </c:ext>
              </c:extLst>
            </c:dLbl>
            <c:dLbl>
              <c:idx val="4"/>
              <c:layout>
                <c:manualLayout>
                  <c:x val="-4.1638483714125873E-2"/>
                  <c:y val="5.26650918635170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DC6-46E0-A035-DD4A2A3BB078}"/>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C6-46E0-A035-DD4A2A3BB078}"/>
                </c:ext>
              </c:extLst>
            </c:dLbl>
            <c:dLbl>
              <c:idx val="6"/>
              <c:layout>
                <c:manualLayout>
                  <c:x val="-9.362659478604024E-2"/>
                  <c:y val="-0.1535041811644964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DC6-46E0-A035-DD4A2A3BB078}"/>
                </c:ext>
              </c:extLst>
            </c:dLbl>
            <c:dLbl>
              <c:idx val="7"/>
              <c:layout>
                <c:manualLayout>
                  <c:x val="8.8817176541456412E-3"/>
                  <c:y val="-0.1251036745406824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C6-46E0-A035-DD4A2A3BB078}"/>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2024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'SCG 2024 Table C Pie Chart'!$B$34:$B$41</c:f>
              <c:numCache>
                <c:formatCode>_("$"* #,##0_);_("$"* \(#,##0\);_("$"* "-"_);_(@_)</c:formatCode>
                <c:ptCount val="8"/>
                <c:pt idx="0">
                  <c:v>1477663.1999999997</c:v>
                </c:pt>
                <c:pt idx="1">
                  <c:v>5417.0745638642738</c:v>
                </c:pt>
                <c:pt idx="2">
                  <c:v>1635278.2805513809</c:v>
                </c:pt>
                <c:pt idx="3">
                  <c:v>70400</c:v>
                </c:pt>
                <c:pt idx="4">
                  <c:v>10505883.167744424</c:v>
                </c:pt>
                <c:pt idx="5">
                  <c:v>241146.69865802897</c:v>
                </c:pt>
                <c:pt idx="6">
                  <c:v>881205.03401020041</c:v>
                </c:pt>
                <c:pt idx="7">
                  <c:v>24758.65776785856</c:v>
                </c:pt>
              </c:numCache>
            </c:numRef>
          </c:val>
          <c:extLst>
            <c:ext xmlns:c16="http://schemas.microsoft.com/office/drawing/2014/chart" uri="{C3380CC4-5D6E-409C-BE32-E72D297353CC}">
              <c16:uniqueId val="{00000008-7DC6-46E0-A035-DD4A2A3BB07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2C10-42C9-A26E-EE49B151BC2B}"/>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C10-42C9-A26E-EE49B151BC2B}"/>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C10-42C9-A26E-EE49B151BC2B}"/>
                </c:ext>
              </c:extLst>
            </c:dLbl>
            <c:dLbl>
              <c:idx val="2"/>
              <c:layout>
                <c:manualLayout>
                  <c:x val="8.1886590685739113E-2"/>
                  <c:y val="0.21626607149467"/>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C10-42C9-A26E-EE49B151BC2B}"/>
                </c:ext>
              </c:extLst>
            </c:dLbl>
            <c:dLbl>
              <c:idx val="3"/>
              <c:layout>
                <c:manualLayout>
                  <c:x val="-8.3174433360414274E-2"/>
                  <c:y val="-4.38283892284524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C10-42C9-A26E-EE49B151BC2B}"/>
                </c:ext>
              </c:extLst>
            </c:dLbl>
            <c:dLbl>
              <c:idx val="4"/>
              <c:layout>
                <c:manualLayout>
                  <c:x val="-0.32749646753736705"/>
                  <c:y val="5.266509489957926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C10-42C9-A26E-EE49B151BC2B}"/>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C10-42C9-A26E-EE49B151BC2B}"/>
                </c:ext>
              </c:extLst>
            </c:dLbl>
            <c:dLbl>
              <c:idx val="6"/>
              <c:layout>
                <c:manualLayout>
                  <c:xMode val="edge"/>
                  <c:yMode val="edge"/>
                  <c:x val="0.30246974358149992"/>
                  <c:y val="1.500001831056922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C10-42C9-A26E-EE49B151BC2B}"/>
                </c:ext>
              </c:extLst>
            </c:dLbl>
            <c:dLbl>
              <c:idx val="7"/>
              <c:layout>
                <c:manualLayout>
                  <c:xMode val="edge"/>
                  <c:yMode val="edge"/>
                  <c:x val="0.28806642245857134"/>
                  <c:y val="3.0000036621138454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C10-42C9-A26E-EE49B151BC2B}"/>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8-2C10-42C9-A26E-EE49B151BC2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52736088477544"/>
          <c:y val="0.26250032043496146"/>
          <c:w val="0.39300490492562234"/>
          <c:h val="0.47750058288645369"/>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438A-483A-B5EA-38AF43560260}"/>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2-438A-483A-B5EA-38AF4356026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4-438A-483A-B5EA-38AF4356026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6-438A-483A-B5EA-38AF43560260}"/>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8-438A-483A-B5EA-38AF435602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438A-483A-B5EA-38AF43560260}"/>
              </c:ext>
            </c:extLst>
          </c:dPt>
          <c:dPt>
            <c:idx val="6"/>
            <c:bubble3D val="0"/>
            <c:extLst>
              <c:ext xmlns:c16="http://schemas.microsoft.com/office/drawing/2014/chart" uri="{C3380CC4-5D6E-409C-BE32-E72D297353CC}">
                <c16:uniqueId val="{0000000B-438A-483A-B5EA-38AF43560260}"/>
              </c:ext>
            </c:extLst>
          </c:dPt>
          <c:dPt>
            <c:idx val="7"/>
            <c:bubble3D val="0"/>
            <c:extLst>
              <c:ext xmlns:c16="http://schemas.microsoft.com/office/drawing/2014/chart" uri="{C3380CC4-5D6E-409C-BE32-E72D297353CC}">
                <c16:uniqueId val="{0000000C-438A-483A-B5EA-38AF43560260}"/>
              </c:ext>
            </c:extLst>
          </c:dPt>
          <c:dLbls>
            <c:dLbl>
              <c:idx val="0"/>
              <c:layout>
                <c:manualLayout>
                  <c:x val="3.9577861308035915E-2"/>
                  <c:y val="-0.123095983646326"/>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38A-483A-B5EA-38AF43560260}"/>
                </c:ext>
              </c:extLst>
            </c:dLbl>
            <c:dLbl>
              <c:idx val="1"/>
              <c:layout>
                <c:manualLayout>
                  <c:x val="0.1233518704887267"/>
                  <c:y val="-2.58527711800188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38A-483A-B5EA-38AF43560260}"/>
                </c:ext>
              </c:extLst>
            </c:dLbl>
            <c:dLbl>
              <c:idx val="2"/>
              <c:layout>
                <c:manualLayout>
                  <c:x val="6.5493094100942395E-2"/>
                  <c:y val="2.959947506561682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38A-483A-B5EA-38AF43560260}"/>
                </c:ext>
              </c:extLst>
            </c:dLbl>
            <c:dLbl>
              <c:idx val="3"/>
              <c:layout>
                <c:manualLayout>
                  <c:x val="0.10535024310485759"/>
                  <c:y val="4.6171653543307087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38A-483A-B5EA-38AF43560260}"/>
                </c:ext>
              </c:extLst>
            </c:dLbl>
            <c:dLbl>
              <c:idx val="4"/>
              <c:layout>
                <c:manualLayout>
                  <c:x val="-4.1638483714125873E-2"/>
                  <c:y val="5.2665091863517061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38A-483A-B5EA-38AF43560260}"/>
                </c:ext>
              </c:extLst>
            </c:dLbl>
            <c:dLbl>
              <c:idx val="5"/>
              <c:layout>
                <c:manualLayout>
                  <c:x val="-0.1802510200568973"/>
                  <c:y val="-7.2651904416944718E-2"/>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438A-483A-B5EA-38AF43560260}"/>
                </c:ext>
              </c:extLst>
            </c:dLbl>
            <c:dLbl>
              <c:idx val="6"/>
              <c:layout>
                <c:manualLayout>
                  <c:x val="-9.362659478604024E-2"/>
                  <c:y val="-0.1535041811644964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38A-483A-B5EA-38AF43560260}"/>
                </c:ext>
              </c:extLst>
            </c:dLbl>
            <c:dLbl>
              <c:idx val="7"/>
              <c:layout>
                <c:manualLayout>
                  <c:x val="8.8817176541456412E-3"/>
                  <c:y val="-0.12510367454068241"/>
                </c:manualLayout>
              </c:layout>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438A-483A-B5EA-38AF43560260}"/>
                </c:ext>
              </c:extLst>
            </c:dLbl>
            <c:numFmt formatCode="0.0%" sourceLinked="0"/>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'SCG 2025 Table C Pie Chart'!$A$34:$A$41</c:f>
              <c:strCache>
                <c:ptCount val="8"/>
                <c:pt idx="0">
                  <c:v>Labor</c:v>
                </c:pt>
                <c:pt idx="1">
                  <c:v>Materials
 &amp; 
Supplies</c:v>
                </c:pt>
                <c:pt idx="2">
                  <c:v>Outside Services</c:v>
                </c:pt>
                <c:pt idx="3">
                  <c:v>Contract Labor</c:v>
                </c:pt>
                <c:pt idx="4">
                  <c:v>Incentives</c:v>
                </c:pt>
                <c:pt idx="5">
                  <c:v>Marketing</c:v>
                </c:pt>
                <c:pt idx="6">
                  <c:v>Other</c:v>
                </c:pt>
                <c:pt idx="7">
                  <c:v>Administrative Expenses</c:v>
                </c:pt>
              </c:strCache>
            </c:strRef>
          </c:cat>
          <c:val>
            <c:numRef>
              <c:f>'SCG 2025 Table C Pie Chart'!$B$34:$B$41</c:f>
              <c:numCache>
                <c:formatCode>_("$"* #,##0_);_("$"* \(#,##0\);_("$"* "-"_);_(@_)</c:formatCode>
                <c:ptCount val="8"/>
                <c:pt idx="0">
                  <c:v>1477663.2</c:v>
                </c:pt>
                <c:pt idx="1">
                  <c:v>5592.0745638642738</c:v>
                </c:pt>
                <c:pt idx="2">
                  <c:v>1635278.0915513809</c:v>
                </c:pt>
                <c:pt idx="3">
                  <c:v>70400</c:v>
                </c:pt>
                <c:pt idx="4">
                  <c:v>10644860.974623498</c:v>
                </c:pt>
                <c:pt idx="5">
                  <c:v>241146.69865802897</c:v>
                </c:pt>
                <c:pt idx="6">
                  <c:v>892809.66492536652</c:v>
                </c:pt>
                <c:pt idx="7">
                  <c:v>24758.65776785856</c:v>
                </c:pt>
              </c:numCache>
            </c:numRef>
          </c:val>
          <c:extLst>
            <c:ext xmlns:c16="http://schemas.microsoft.com/office/drawing/2014/chart" uri="{C3380CC4-5D6E-409C-BE32-E72D297353CC}">
              <c16:uniqueId val="{0000000D-438A-483A-B5EA-38AF4356026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'CNG 2022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'CNG 2022 Exhibit 4'!$B$7:$B$14</c:f>
              <c:numCache>
                <c:formatCode>General</c:formatCode>
                <c:ptCount val="8"/>
                <c:pt idx="0">
                  <c:v>75</c:v>
                </c:pt>
                <c:pt idx="1">
                  <c:v>85</c:v>
                </c:pt>
                <c:pt idx="2">
                  <c:v>95</c:v>
                </c:pt>
                <c:pt idx="3">
                  <c:v>100</c:v>
                </c:pt>
                <c:pt idx="4">
                  <c:v>105</c:v>
                </c:pt>
                <c:pt idx="5">
                  <c:v>115</c:v>
                </c:pt>
                <c:pt idx="6">
                  <c:v>125</c:v>
                </c:pt>
                <c:pt idx="7">
                  <c:v>135</c:v>
                </c:pt>
              </c:numCache>
            </c:numRef>
          </c:xVal>
          <c:yVal>
            <c:numRef>
              <c:f>'CNG 2022 Exhibit 4'!$D$7:$D$14</c:f>
              <c:numCache>
                <c:formatCode>"$"#,##0</c:formatCode>
                <c:ptCount val="8"/>
                <c:pt idx="0">
                  <c:v>350551.92938361911</c:v>
                </c:pt>
                <c:pt idx="1">
                  <c:v>490772.70113706676</c:v>
                </c:pt>
                <c:pt idx="2">
                  <c:v>630993.4728905143</c:v>
                </c:pt>
                <c:pt idx="3">
                  <c:v>701103.85876723821</c:v>
                </c:pt>
                <c:pt idx="4">
                  <c:v>771214.24464396201</c:v>
                </c:pt>
                <c:pt idx="5">
                  <c:v>821693.7224752031</c:v>
                </c:pt>
                <c:pt idx="6">
                  <c:v>901619.5623746682</c:v>
                </c:pt>
                <c:pt idx="7">
                  <c:v>981545.40227413352</c:v>
                </c:pt>
              </c:numCache>
            </c:numRef>
          </c:yVal>
          <c:smooth val="1"/>
          <c:extLst>
            <c:ext xmlns:c16="http://schemas.microsoft.com/office/drawing/2014/chart" uri="{C3380CC4-5D6E-409C-BE32-E72D297353CC}">
              <c16:uniqueId val="{00000000-EE5E-45C7-AF10-0D603895B66B}"/>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'CNG 2023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'CNG 2023 Exhibit 4'!$B$7:$B$14</c:f>
              <c:numCache>
                <c:formatCode>General</c:formatCode>
                <c:ptCount val="8"/>
                <c:pt idx="0">
                  <c:v>75</c:v>
                </c:pt>
                <c:pt idx="1">
                  <c:v>85</c:v>
                </c:pt>
                <c:pt idx="2">
                  <c:v>95</c:v>
                </c:pt>
                <c:pt idx="3">
                  <c:v>100</c:v>
                </c:pt>
                <c:pt idx="4">
                  <c:v>105</c:v>
                </c:pt>
                <c:pt idx="5">
                  <c:v>115</c:v>
                </c:pt>
                <c:pt idx="6">
                  <c:v>125</c:v>
                </c:pt>
                <c:pt idx="7">
                  <c:v>135</c:v>
                </c:pt>
              </c:numCache>
            </c:numRef>
          </c:xVal>
          <c:yVal>
            <c:numRef>
              <c:f>'CNG 2023 Exhibit 4'!$D$7:$D$14</c:f>
              <c:numCache>
                <c:formatCode>"$"#,##0</c:formatCode>
                <c:ptCount val="8"/>
                <c:pt idx="0">
                  <c:v>387823.73980096244</c:v>
                </c:pt>
                <c:pt idx="1">
                  <c:v>542953.2357213475</c:v>
                </c:pt>
                <c:pt idx="2">
                  <c:v>698082.73164173239</c:v>
                </c:pt>
                <c:pt idx="3">
                  <c:v>775647.47960192489</c:v>
                </c:pt>
                <c:pt idx="4">
                  <c:v>853212.22756211739</c:v>
                </c:pt>
                <c:pt idx="5">
                  <c:v>909058.84609345591</c:v>
                </c:pt>
                <c:pt idx="6">
                  <c:v>997482.65876807529</c:v>
                </c:pt>
                <c:pt idx="7">
                  <c:v>1085906.471442695</c:v>
                </c:pt>
              </c:numCache>
            </c:numRef>
          </c:yVal>
          <c:smooth val="1"/>
          <c:extLst>
            <c:ext xmlns:c16="http://schemas.microsoft.com/office/drawing/2014/chart" uri="{C3380CC4-5D6E-409C-BE32-E72D297353CC}">
              <c16:uniqueId val="{00000000-E347-4286-B654-66BC5784B978}"/>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'CNG 2024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'CNG 2024 Exhibit 4'!$B$7:$B$14</c:f>
              <c:numCache>
                <c:formatCode>General</c:formatCode>
                <c:ptCount val="8"/>
                <c:pt idx="0">
                  <c:v>75</c:v>
                </c:pt>
                <c:pt idx="1">
                  <c:v>85</c:v>
                </c:pt>
                <c:pt idx="2">
                  <c:v>95</c:v>
                </c:pt>
                <c:pt idx="3">
                  <c:v>100</c:v>
                </c:pt>
                <c:pt idx="4">
                  <c:v>105</c:v>
                </c:pt>
                <c:pt idx="5">
                  <c:v>115</c:v>
                </c:pt>
                <c:pt idx="6">
                  <c:v>125</c:v>
                </c:pt>
                <c:pt idx="7">
                  <c:v>135</c:v>
                </c:pt>
              </c:numCache>
            </c:numRef>
          </c:xVal>
          <c:yVal>
            <c:numRef>
              <c:f>'CNG 2024 Exhibit 4'!$D$7:$D$14</c:f>
              <c:numCache>
                <c:formatCode>"$"#,##0</c:formatCode>
                <c:ptCount val="8"/>
                <c:pt idx="0">
                  <c:v>389454.53180624364</c:v>
                </c:pt>
                <c:pt idx="1">
                  <c:v>545236.34452874109</c:v>
                </c:pt>
                <c:pt idx="2">
                  <c:v>701018.15725123847</c:v>
                </c:pt>
                <c:pt idx="3">
                  <c:v>778909.06361248728</c:v>
                </c:pt>
                <c:pt idx="4">
                  <c:v>856799.96997373598</c:v>
                </c:pt>
                <c:pt idx="5">
                  <c:v>912881.42255383509</c:v>
                </c:pt>
                <c:pt idx="6">
                  <c:v>1001677.0558056586</c:v>
                </c:pt>
                <c:pt idx="7">
                  <c:v>1090472.6890574822</c:v>
                </c:pt>
              </c:numCache>
            </c:numRef>
          </c:yVal>
          <c:smooth val="1"/>
          <c:extLst>
            <c:ext xmlns:c16="http://schemas.microsoft.com/office/drawing/2014/chart" uri="{C3380CC4-5D6E-409C-BE32-E72D297353CC}">
              <c16:uniqueId val="{00000000-8D6E-401C-A062-0326BFBED530}"/>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'SCG 2022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'SCG 2022 Exhibit 4'!$B$7:$B$14</c:f>
              <c:numCache>
                <c:formatCode>General</c:formatCode>
                <c:ptCount val="8"/>
                <c:pt idx="0">
                  <c:v>75</c:v>
                </c:pt>
                <c:pt idx="1">
                  <c:v>85</c:v>
                </c:pt>
                <c:pt idx="2">
                  <c:v>95</c:v>
                </c:pt>
                <c:pt idx="3">
                  <c:v>100</c:v>
                </c:pt>
                <c:pt idx="4">
                  <c:v>105</c:v>
                </c:pt>
                <c:pt idx="5">
                  <c:v>115</c:v>
                </c:pt>
                <c:pt idx="6">
                  <c:v>125</c:v>
                </c:pt>
                <c:pt idx="7">
                  <c:v>135</c:v>
                </c:pt>
              </c:numCache>
            </c:numRef>
          </c:xVal>
          <c:yVal>
            <c:numRef>
              <c:f>'SCG 2022 Exhibit 4'!$D$7:$D$14</c:f>
              <c:numCache>
                <c:formatCode>"$"#,##0</c:formatCode>
                <c:ptCount val="8"/>
                <c:pt idx="0">
                  <c:v>287809.23110009567</c:v>
                </c:pt>
                <c:pt idx="1">
                  <c:v>402932.92354013398</c:v>
                </c:pt>
                <c:pt idx="2">
                  <c:v>518056.61598017218</c:v>
                </c:pt>
                <c:pt idx="3">
                  <c:v>575618.46220019134</c:v>
                </c:pt>
                <c:pt idx="4">
                  <c:v>633180.30842021049</c:v>
                </c:pt>
                <c:pt idx="5">
                  <c:v>674624.83769862424</c:v>
                </c:pt>
                <c:pt idx="6">
                  <c:v>740245.34238944598</c:v>
                </c:pt>
                <c:pt idx="7">
                  <c:v>805865.84708026797</c:v>
                </c:pt>
              </c:numCache>
            </c:numRef>
          </c:yVal>
          <c:smooth val="1"/>
          <c:extLst>
            <c:ext xmlns:c16="http://schemas.microsoft.com/office/drawing/2014/chart" uri="{C3380CC4-5D6E-409C-BE32-E72D297353CC}">
              <c16:uniqueId val="{00000000-8A33-47EE-993B-B42C511C1DD8}"/>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'SCG 2023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'SCG 2023 Exhibit 4'!$B$7:$B$14</c:f>
              <c:numCache>
                <c:formatCode>General</c:formatCode>
                <c:ptCount val="8"/>
                <c:pt idx="0">
                  <c:v>75</c:v>
                </c:pt>
                <c:pt idx="1">
                  <c:v>85</c:v>
                </c:pt>
                <c:pt idx="2">
                  <c:v>95</c:v>
                </c:pt>
                <c:pt idx="3">
                  <c:v>100</c:v>
                </c:pt>
                <c:pt idx="4">
                  <c:v>105</c:v>
                </c:pt>
                <c:pt idx="5">
                  <c:v>115</c:v>
                </c:pt>
                <c:pt idx="6">
                  <c:v>125</c:v>
                </c:pt>
                <c:pt idx="7">
                  <c:v>135</c:v>
                </c:pt>
              </c:numCache>
            </c:numRef>
          </c:xVal>
          <c:yVal>
            <c:numRef>
              <c:f>'SCG 2023 Exhibit 4'!$D$7:$D$14</c:f>
              <c:numCache>
                <c:formatCode>"$"#,##0</c:formatCode>
                <c:ptCount val="8"/>
                <c:pt idx="0">
                  <c:v>347608.82874964614</c:v>
                </c:pt>
                <c:pt idx="1">
                  <c:v>486652.36024950462</c:v>
                </c:pt>
                <c:pt idx="2">
                  <c:v>625695.89174936293</c:v>
                </c:pt>
                <c:pt idx="3">
                  <c:v>695217.65749929228</c:v>
                </c:pt>
                <c:pt idx="4">
                  <c:v>764739.42324922141</c:v>
                </c:pt>
                <c:pt idx="5">
                  <c:v>814795.09458917042</c:v>
                </c:pt>
                <c:pt idx="6">
                  <c:v>894049.90754408971</c:v>
                </c:pt>
                <c:pt idx="7">
                  <c:v>973304.72049900924</c:v>
                </c:pt>
              </c:numCache>
            </c:numRef>
          </c:yVal>
          <c:smooth val="1"/>
          <c:extLst>
            <c:ext xmlns:c16="http://schemas.microsoft.com/office/drawing/2014/chart" uri="{C3380CC4-5D6E-409C-BE32-E72D297353CC}">
              <c16:uniqueId val="{00000000-D06B-4714-8D9A-0FBC0FFD6DD6}"/>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a:t>Incentive $ Earned vs Performance Achieved</a:t>
            </a:r>
          </a:p>
        </c:rich>
      </c:tx>
      <c:layout>
        <c:manualLayout>
          <c:xMode val="edge"/>
          <c:yMode val="edge"/>
          <c:x val="0.29256636626715365"/>
          <c:y val="2.9850746268656716E-2"/>
        </c:manualLayout>
      </c:layout>
      <c:overlay val="0"/>
      <c:spPr>
        <a:noFill/>
        <a:ln w="25400">
          <a:noFill/>
        </a:ln>
      </c:spPr>
    </c:title>
    <c:autoTitleDeleted val="0"/>
    <c:plotArea>
      <c:layout>
        <c:manualLayout>
          <c:layoutTarget val="inner"/>
          <c:xMode val="edge"/>
          <c:yMode val="edge"/>
          <c:x val="0.13069559668155711"/>
          <c:y val="0.1455223880597015"/>
          <c:w val="0.84292664648747384"/>
          <c:h val="0.75932835820895528"/>
        </c:manualLayout>
      </c:layout>
      <c:scatterChart>
        <c:scatterStyle val="smoothMarker"/>
        <c:varyColors val="0"/>
        <c:ser>
          <c:idx val="0"/>
          <c:order val="0"/>
          <c:tx>
            <c:strRef>
              <c:f>'SCG 2024 Exhibit 4'!$B$6</c:f>
              <c:strCache>
                <c:ptCount val="1"/>
                <c:pt idx="0">
                  <c:v>Performance %
Minimum</c:v>
                </c:pt>
              </c:strCache>
            </c:strRef>
          </c:tx>
          <c:spPr>
            <a:ln w="41275">
              <a:solidFill>
                <a:schemeClr val="tx2">
                  <a:lumMod val="60000"/>
                  <a:lumOff val="40000"/>
                </a:schemeClr>
              </a:solidFill>
              <a:prstDash val="solid"/>
            </a:ln>
          </c:spPr>
          <c:marker>
            <c:spPr>
              <a:solidFill>
                <a:schemeClr val="tx1"/>
              </a:solidFill>
            </c:spPr>
          </c:marker>
          <c:xVal>
            <c:numRef>
              <c:f>'SCG 2024 Exhibit 4'!$B$7:$B$14</c:f>
              <c:numCache>
                <c:formatCode>General</c:formatCode>
                <c:ptCount val="8"/>
                <c:pt idx="0">
                  <c:v>75</c:v>
                </c:pt>
                <c:pt idx="1">
                  <c:v>85</c:v>
                </c:pt>
                <c:pt idx="2">
                  <c:v>95</c:v>
                </c:pt>
                <c:pt idx="3">
                  <c:v>100</c:v>
                </c:pt>
                <c:pt idx="4">
                  <c:v>105</c:v>
                </c:pt>
                <c:pt idx="5">
                  <c:v>115</c:v>
                </c:pt>
                <c:pt idx="6">
                  <c:v>125</c:v>
                </c:pt>
                <c:pt idx="7">
                  <c:v>135</c:v>
                </c:pt>
              </c:numCache>
            </c:numRef>
          </c:xVal>
          <c:yVal>
            <c:numRef>
              <c:f>'SCG 2024 Exhibit 4'!$D$7:$D$14</c:f>
              <c:numCache>
                <c:formatCode>"$"#,##0</c:formatCode>
                <c:ptCount val="8"/>
                <c:pt idx="0">
                  <c:v>351162.19316993305</c:v>
                </c:pt>
                <c:pt idx="1">
                  <c:v>491627.07043790625</c:v>
                </c:pt>
                <c:pt idx="2">
                  <c:v>632091.94770587934</c:v>
                </c:pt>
                <c:pt idx="3">
                  <c:v>702324.38633986609</c:v>
                </c:pt>
                <c:pt idx="4">
                  <c:v>772556.82497385261</c:v>
                </c:pt>
                <c:pt idx="5">
                  <c:v>823124.18079032295</c:v>
                </c:pt>
                <c:pt idx="6">
                  <c:v>903189.16083306761</c:v>
                </c:pt>
                <c:pt idx="7">
                  <c:v>983254.1408758125</c:v>
                </c:pt>
              </c:numCache>
            </c:numRef>
          </c:yVal>
          <c:smooth val="1"/>
          <c:extLst>
            <c:ext xmlns:c16="http://schemas.microsoft.com/office/drawing/2014/chart" uri="{C3380CC4-5D6E-409C-BE32-E72D297353CC}">
              <c16:uniqueId val="{00000000-D4EC-430F-A730-28B0BE888784}"/>
            </c:ext>
          </c:extLst>
        </c:ser>
        <c:dLbls>
          <c:showLegendKey val="0"/>
          <c:showVal val="0"/>
          <c:showCatName val="0"/>
          <c:showSerName val="0"/>
          <c:showPercent val="0"/>
          <c:showBubbleSize val="0"/>
        </c:dLbls>
        <c:axId val="117820032"/>
        <c:axId val="117826688"/>
      </c:scatterChart>
      <c:valAx>
        <c:axId val="117820032"/>
        <c:scaling>
          <c:orientation val="minMax"/>
          <c:max val="120"/>
          <c:min val="70"/>
        </c:scaling>
        <c:delete val="0"/>
        <c:axPos val="b"/>
        <c:title>
          <c:tx>
            <c:rich>
              <a:bodyPr/>
              <a:lstStyle/>
              <a:p>
                <a:pPr>
                  <a:defRPr sz="950" b="1" i="0" u="none" strike="noStrike" baseline="0">
                    <a:solidFill>
                      <a:srgbClr val="000000"/>
                    </a:solidFill>
                    <a:latin typeface="Arial"/>
                    <a:ea typeface="Arial"/>
                    <a:cs typeface="Arial"/>
                  </a:defRPr>
                </a:pPr>
                <a:r>
                  <a:rPr lang="en-US" sz="1200"/>
                  <a:t>Performance Achieved % of Target</a:t>
                </a:r>
              </a:p>
            </c:rich>
          </c:tx>
          <c:layout>
            <c:manualLayout>
              <c:xMode val="edge"/>
              <c:yMode val="edge"/>
              <c:x val="0.38442703694601382"/>
              <c:y val="0.95021419478886626"/>
            </c:manualLayout>
          </c:layout>
          <c:overlay val="0"/>
          <c:spPr>
            <a:noFill/>
            <a:ln w="25400">
              <a:noFill/>
            </a:ln>
          </c:spPr>
        </c:title>
        <c:numFmt formatCode="General" sourceLinked="1"/>
        <c:majorTickMark val="out"/>
        <c:minorTickMark val="none"/>
        <c:tickLblPos val="nextTo"/>
        <c:crossAx val="117826688"/>
        <c:crosses val="autoZero"/>
        <c:crossBetween val="midCat"/>
        <c:majorUnit val="10"/>
        <c:minorUnit val="5"/>
      </c:valAx>
      <c:valAx>
        <c:axId val="117826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sz="1200"/>
                  <a:t>Incentive $ Earned</a:t>
                </a:r>
              </a:p>
            </c:rich>
          </c:tx>
          <c:layout>
            <c:manualLayout>
              <c:xMode val="edge"/>
              <c:yMode val="edge"/>
              <c:x val="1.4846040849659608E-2"/>
              <c:y val="0.437789761864872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7820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8104149317"/>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5BB5-43FC-BF15-2BAAE4BF0169}"/>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BB5-43FC-BF15-2BAAE4BF016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2-5BB5-43FC-BF15-2BAAE4BF016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3-5BB5-43FC-BF15-2BAAE4BF0169}"/>
              </c:ext>
            </c:extLst>
          </c:dPt>
          <c:dLbls>
            <c:dLbl>
              <c:idx val="0"/>
              <c:layout>
                <c:manualLayout>
                  <c:x val="4.1541778213945973E-2"/>
                  <c:y val="-5.6611794699410814E-2"/>
                </c:manualLayout>
              </c:layout>
              <c:tx>
                <c:rich>
                  <a:bodyPr/>
                  <a:lstStyle/>
                  <a:p>
                    <a:pPr>
                      <a:defRPr sz="1000" b="0" i="0" u="none" strike="noStrike" baseline="0">
                        <a:solidFill>
                          <a:srgbClr val="000000"/>
                        </a:solidFill>
                        <a:latin typeface="Arial"/>
                        <a:ea typeface="Arial"/>
                        <a:cs typeface="Arial"/>
                      </a:defRPr>
                    </a:pPr>
                    <a:r>
                      <a:rPr lang="en-US"/>
                      <a:t>Res. Income Eligible
19.67%</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B5-43FC-BF15-2BAAE4BF0169}"/>
                </c:ext>
              </c:extLst>
            </c:dLbl>
            <c:dLbl>
              <c:idx val="1"/>
              <c:layout>
                <c:manualLayout>
                  <c:x val="8.6707570655556385E-2"/>
                  <c:y val="1.4394614367976842E-2"/>
                </c:manualLayout>
              </c:layout>
              <c:tx>
                <c:rich>
                  <a:bodyPr/>
                  <a:lstStyle/>
                  <a:p>
                    <a:pPr>
                      <a:defRPr sz="1000" b="0" i="0" u="none" strike="noStrike" baseline="0">
                        <a:solidFill>
                          <a:srgbClr val="000000"/>
                        </a:solidFill>
                        <a:latin typeface="Arial"/>
                        <a:ea typeface="Arial"/>
                        <a:cs typeface="Arial"/>
                      </a:defRPr>
                    </a:pPr>
                    <a:r>
                      <a:rPr lang="en-US"/>
                      <a:t>Res. Non Income Eligible
51.18%</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B5-43FC-BF15-2BAAE4BF0169}"/>
                </c:ext>
              </c:extLst>
            </c:dLbl>
            <c:dLbl>
              <c:idx val="2"/>
              <c:delete val="1"/>
              <c:extLst>
                <c:ext xmlns:c15="http://schemas.microsoft.com/office/drawing/2012/chart" uri="{CE6537A1-D6FC-4f65-9D91-7224C49458BB}"/>
                <c:ext xmlns:c16="http://schemas.microsoft.com/office/drawing/2014/chart" uri="{C3380CC4-5D6E-409C-BE32-E72D297353CC}">
                  <c16:uniqueId val="{00000002-5BB5-43FC-BF15-2BAAE4BF0169}"/>
                </c:ext>
              </c:extLst>
            </c:dLbl>
            <c:dLbl>
              <c:idx val="3"/>
              <c:layout>
                <c:manualLayout>
                  <c:x val="-3.9794616802354001E-2"/>
                  <c:y val="5.8602695923521915E-2"/>
                </c:manualLayout>
              </c:layout>
              <c:tx>
                <c:rich>
                  <a:bodyPr/>
                  <a:lstStyle/>
                  <a:p>
                    <a:pPr>
                      <a:defRPr sz="1000" b="0" i="0" u="none" strike="noStrike" baseline="0">
                        <a:solidFill>
                          <a:srgbClr val="000000"/>
                        </a:solidFill>
                        <a:latin typeface="Arial"/>
                        <a:ea typeface="Arial"/>
                        <a:cs typeface="Arial"/>
                      </a:defRPr>
                    </a:pPr>
                    <a:r>
                      <a:rPr lang="en-US"/>
                      <a:t>Commercial and Industrial
29.14%</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B5-43FC-BF15-2BAAE4BF0169}"/>
                </c:ext>
              </c:extLst>
            </c:dLbl>
            <c:dLbl>
              <c:idx val="4"/>
              <c:delete val="1"/>
              <c:extLst>
                <c:ext xmlns:c15="http://schemas.microsoft.com/office/drawing/2012/chart" uri="{CE6537A1-D6FC-4f65-9D91-7224C49458BB}"/>
                <c:ext xmlns:c16="http://schemas.microsoft.com/office/drawing/2014/chart" uri="{C3380CC4-5D6E-409C-BE32-E72D297353CC}">
                  <c16:uniqueId val="{00000004-5BB5-43FC-BF15-2BAAE4BF0169}"/>
                </c:ext>
              </c:extLst>
            </c:dLbl>
            <c:dLbl>
              <c:idx val="5"/>
              <c:layout>
                <c:manualLayout>
                  <c:xMode val="edge"/>
                  <c:yMode val="edge"/>
                  <c:x val="0.4655501948582163"/>
                  <c:y val="0.13846188517098651"/>
                </c:manualLayout>
              </c:layout>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B5-43FC-BF15-2BAAE4BF0169}"/>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('CNG 2013 Table A Pie Charts'!$A$29:$A$30,'CNG 2013 Table A Pie Charts'!$A$32:$A$33)</c:f>
              <c:strCache>
                <c:ptCount val="4"/>
                <c:pt idx="0">
                  <c:v>Res. Income Eligible</c:v>
                </c:pt>
                <c:pt idx="1">
                  <c:v>Res. Non Income Eligible</c:v>
                </c:pt>
                <c:pt idx="3">
                  <c:v>Commercial and Industrial</c:v>
                </c:pt>
              </c:strCache>
            </c:strRef>
          </c:cat>
          <c:val>
            <c:numRef>
              <c:f>('CNG 2013 Table A Pie Charts'!$D$29:$D$30,'CNG 2013 Table A Pie Charts'!$D$32:$D$33)</c:f>
              <c:numCache>
                <c:formatCode>0.00%</c:formatCode>
                <c:ptCount val="4"/>
                <c:pt idx="0">
                  <c:v>0</c:v>
                </c:pt>
                <c:pt idx="1">
                  <c:v>0</c:v>
                </c:pt>
                <c:pt idx="3">
                  <c:v>0</c:v>
                </c:pt>
              </c:numCache>
            </c:numRef>
          </c:val>
          <c:extLst>
            <c:ext xmlns:c16="http://schemas.microsoft.com/office/drawing/2014/chart" uri="{C3380CC4-5D6E-409C-BE32-E72D297353CC}">
              <c16:uniqueId val="{00000006-5BB5-43FC-BF15-2BAAE4BF016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84521423176"/>
          <c:y val="2.9411705702392297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'SCG 2016 Exhibit 4'!$C$12</c:f>
              <c:strCache>
                <c:ptCount val="1"/>
                <c:pt idx="0">
                  <c:v>Pre-tax Incentive  </c:v>
                </c:pt>
              </c:strCache>
            </c:strRef>
          </c:tx>
          <c:spPr>
            <a:ln w="12700">
              <a:solidFill>
                <a:srgbClr val="000080"/>
              </a:solidFill>
              <a:prstDash val="solid"/>
            </a:ln>
          </c:spPr>
          <c:marker>
            <c:symbol val="none"/>
          </c:marker>
          <c:xVal>
            <c:numRef>
              <c:f>'SCG 2016 Exhibit 4'!$A$13:$A$21</c:f>
              <c:numCache>
                <c:formatCode>General</c:formatCode>
                <c:ptCount val="9"/>
                <c:pt idx="0">
                  <c:v>77.5</c:v>
                </c:pt>
                <c:pt idx="1">
                  <c:v>80</c:v>
                </c:pt>
                <c:pt idx="2">
                  <c:v>90</c:v>
                </c:pt>
                <c:pt idx="3">
                  <c:v>100</c:v>
                </c:pt>
                <c:pt idx="4">
                  <c:v>110</c:v>
                </c:pt>
                <c:pt idx="5">
                  <c:v>120</c:v>
                </c:pt>
                <c:pt idx="6">
                  <c:v>130</c:v>
                </c:pt>
                <c:pt idx="7">
                  <c:v>137.5</c:v>
                </c:pt>
              </c:numCache>
            </c:numRef>
          </c:xVal>
          <c:yVal>
            <c:numRef>
              <c:f>'SCG 2016 Exhibit 4'!$C$13:$C$21</c:f>
              <c:numCache>
                <c:formatCode>"$"#,##0</c:formatCode>
                <c:ptCount val="9"/>
                <c:pt idx="0">
                  <c:v>0</c:v>
                </c:pt>
                <c:pt idx="1">
                  <c:v>0</c:v>
                </c:pt>
                <c:pt idx="2">
                  <c:v>0</c:v>
                </c:pt>
                <c:pt idx="3">
                  <c:v>0</c:v>
                </c:pt>
                <c:pt idx="4">
                  <c:v>0</c:v>
                </c:pt>
                <c:pt idx="5">
                  <c:v>0</c:v>
                </c:pt>
                <c:pt idx="6">
                  <c:v>0</c:v>
                </c:pt>
                <c:pt idx="7">
                  <c:v>0</c:v>
                </c:pt>
              </c:numCache>
            </c:numRef>
          </c:yVal>
          <c:smooth val="1"/>
          <c:extLst>
            <c:ext xmlns:c16="http://schemas.microsoft.com/office/drawing/2014/chart" uri="{C3380CC4-5D6E-409C-BE32-E72D297353CC}">
              <c16:uniqueId val="{00000000-F829-4BF2-8F9D-82736C235A53}"/>
            </c:ext>
          </c:extLst>
        </c:ser>
        <c:dLbls>
          <c:showLegendKey val="0"/>
          <c:showVal val="0"/>
          <c:showCatName val="0"/>
          <c:showSerName val="0"/>
          <c:showPercent val="0"/>
          <c:showBubbleSize val="0"/>
        </c:dLbls>
        <c:axId val="1021470416"/>
        <c:axId val="1"/>
      </c:scatterChart>
      <c:valAx>
        <c:axId val="1021470416"/>
        <c:scaling>
          <c:orientation val="minMax"/>
          <c:max val="150"/>
          <c:min val="7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4388748409"/>
              <c:y val="0.83088252503468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3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053174717557E-2"/>
              <c:y val="0.2242650082752394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1470416"/>
        <c:crosses val="autoZero"/>
        <c:crossBetween val="midCat"/>
        <c:majorUnit val="200000"/>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Incentive $ Earned vs Performance Achieved</a:t>
            </a:r>
          </a:p>
        </c:rich>
      </c:tx>
      <c:layout>
        <c:manualLayout>
          <c:xMode val="edge"/>
          <c:yMode val="edge"/>
          <c:x val="0.17850293588923274"/>
          <c:y val="2.9411705702392297E-2"/>
        </c:manualLayout>
      </c:layout>
      <c:overlay val="0"/>
      <c:spPr>
        <a:noFill/>
        <a:ln w="25400">
          <a:noFill/>
        </a:ln>
      </c:spPr>
    </c:title>
    <c:autoTitleDeleted val="0"/>
    <c:plotArea>
      <c:layout>
        <c:manualLayout>
          <c:layoutTarget val="inner"/>
          <c:xMode val="edge"/>
          <c:yMode val="edge"/>
          <c:x val="0.25719769673704412"/>
          <c:y val="0.23529411764705882"/>
          <c:w val="0.68905950095969293"/>
          <c:h val="0.47794117647058826"/>
        </c:manualLayout>
      </c:layout>
      <c:scatterChart>
        <c:scatterStyle val="smoothMarker"/>
        <c:varyColors val="0"/>
        <c:ser>
          <c:idx val="0"/>
          <c:order val="0"/>
          <c:tx>
            <c:strRef>
              <c:f>'SCG 2017 Exhibit 4'!$C$12</c:f>
              <c:strCache>
                <c:ptCount val="1"/>
                <c:pt idx="0">
                  <c:v>Pre-tax Incentive  </c:v>
                </c:pt>
              </c:strCache>
            </c:strRef>
          </c:tx>
          <c:spPr>
            <a:ln w="12700">
              <a:solidFill>
                <a:srgbClr val="000080"/>
              </a:solidFill>
              <a:prstDash val="solid"/>
            </a:ln>
          </c:spPr>
          <c:marker>
            <c:symbol val="none"/>
          </c:marker>
          <c:xVal>
            <c:numRef>
              <c:f>'SCG 2017 Exhibit 4'!$A$13:$A$21</c:f>
              <c:numCache>
                <c:formatCode>General</c:formatCode>
                <c:ptCount val="9"/>
                <c:pt idx="0">
                  <c:v>77.5</c:v>
                </c:pt>
                <c:pt idx="1">
                  <c:v>80</c:v>
                </c:pt>
                <c:pt idx="2">
                  <c:v>90</c:v>
                </c:pt>
                <c:pt idx="3">
                  <c:v>100</c:v>
                </c:pt>
                <c:pt idx="4">
                  <c:v>110</c:v>
                </c:pt>
                <c:pt idx="5">
                  <c:v>120</c:v>
                </c:pt>
                <c:pt idx="6">
                  <c:v>130</c:v>
                </c:pt>
                <c:pt idx="7">
                  <c:v>137.5</c:v>
                </c:pt>
              </c:numCache>
            </c:numRef>
          </c:xVal>
          <c:yVal>
            <c:numRef>
              <c:f>'SCG 2017 Exhibit 4'!$C$13:$C$21</c:f>
              <c:numCache>
                <c:formatCode>"$"#,##0</c:formatCode>
                <c:ptCount val="9"/>
                <c:pt idx="0">
                  <c:v>0</c:v>
                </c:pt>
                <c:pt idx="1">
                  <c:v>0</c:v>
                </c:pt>
                <c:pt idx="2">
                  <c:v>0</c:v>
                </c:pt>
                <c:pt idx="3">
                  <c:v>0</c:v>
                </c:pt>
                <c:pt idx="4">
                  <c:v>0</c:v>
                </c:pt>
                <c:pt idx="5">
                  <c:v>0</c:v>
                </c:pt>
                <c:pt idx="6">
                  <c:v>0</c:v>
                </c:pt>
                <c:pt idx="7">
                  <c:v>0</c:v>
                </c:pt>
              </c:numCache>
            </c:numRef>
          </c:yVal>
          <c:smooth val="1"/>
          <c:extLst>
            <c:ext xmlns:c16="http://schemas.microsoft.com/office/drawing/2014/chart" uri="{C3380CC4-5D6E-409C-BE32-E72D297353CC}">
              <c16:uniqueId val="{00000000-CA04-42CF-9C5F-30E2AA4F1582}"/>
            </c:ext>
          </c:extLst>
        </c:ser>
        <c:dLbls>
          <c:showLegendKey val="0"/>
          <c:showVal val="0"/>
          <c:showCatName val="0"/>
          <c:showSerName val="0"/>
          <c:showPercent val="0"/>
          <c:showBubbleSize val="0"/>
        </c:dLbls>
        <c:axId val="1021466152"/>
        <c:axId val="1"/>
      </c:scatterChart>
      <c:valAx>
        <c:axId val="1021466152"/>
        <c:scaling>
          <c:orientation val="minMax"/>
          <c:max val="150"/>
          <c:min val="70"/>
        </c:scaling>
        <c:delete val="0"/>
        <c:axPos val="b"/>
        <c:title>
          <c:tx>
            <c:rich>
              <a:bodyPr/>
              <a:lstStyle/>
              <a:p>
                <a:pPr>
                  <a:defRPr sz="1025" b="1" i="0" u="none" strike="noStrike" baseline="0">
                    <a:solidFill>
                      <a:srgbClr val="000000"/>
                    </a:solidFill>
                    <a:latin typeface="Arial"/>
                    <a:ea typeface="Arial"/>
                    <a:cs typeface="Arial"/>
                  </a:defRPr>
                </a:pPr>
                <a:r>
                  <a:rPr lang="en-US"/>
                  <a:t>Performance Achieved % of Target</a:t>
                </a:r>
              </a:p>
            </c:rich>
          </c:tx>
          <c:layout>
            <c:manualLayout>
              <c:xMode val="edge"/>
              <c:yMode val="edge"/>
              <c:x val="0.36660268212742064"/>
              <c:y val="0.83088252503468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10"/>
        <c:minorUnit val="4"/>
      </c:valAx>
      <c:valAx>
        <c:axId val="1"/>
        <c:scaling>
          <c:orientation val="minMax"/>
          <c:max val="1300000"/>
          <c:min val="10000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Incentive $ Earned</a:t>
                </a:r>
              </a:p>
            </c:rich>
          </c:tx>
          <c:layout>
            <c:manualLayout>
              <c:xMode val="edge"/>
              <c:yMode val="edge"/>
              <c:x val="4.9904110244925852E-2"/>
              <c:y val="0.2242650082752394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021466152"/>
        <c:crosses val="autoZero"/>
        <c:crossBetween val="midCat"/>
        <c:majorUnit val="200000"/>
        <c:minorUnit val="10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a:t>Budget By Customer Class</a:t>
            </a:r>
          </a:p>
        </c:rich>
      </c:tx>
      <c:layout>
        <c:manualLayout>
          <c:xMode val="edge"/>
          <c:yMode val="edge"/>
          <c:x val="0.30353869744776529"/>
          <c:y val="3.3333333333333333E-2"/>
        </c:manualLayout>
      </c:layout>
      <c:overlay val="0"/>
      <c:spPr>
        <a:noFill/>
        <a:ln w="25400">
          <a:noFill/>
        </a:ln>
      </c:spPr>
    </c:title>
    <c:autoTitleDeleted val="0"/>
    <c:plotArea>
      <c:layout>
        <c:manualLayout>
          <c:layoutTarget val="inner"/>
          <c:xMode val="edge"/>
          <c:yMode val="edge"/>
          <c:x val="0.29608992392982558"/>
          <c:y val="0.29230842424986042"/>
          <c:w val="0.39851096679863318"/>
          <c:h val="0.54871932271465018"/>
        </c:manualLayout>
      </c:layout>
      <c:pieChart>
        <c:varyColors val="1"/>
        <c:ser>
          <c:idx val="0"/>
          <c:order val="0"/>
          <c:spPr>
            <a:solidFill>
              <a:srgbClr val="8080FF"/>
            </a:solidFill>
            <a:ln w="12700">
              <a:solidFill>
                <a:srgbClr val="000000"/>
              </a:solidFill>
              <a:prstDash val="solid"/>
            </a:ln>
          </c:spPr>
          <c:dPt>
            <c:idx val="0"/>
            <c:bubble3D val="0"/>
            <c:extLst>
              <c:ext xmlns:c16="http://schemas.microsoft.com/office/drawing/2014/chart" uri="{C3380CC4-5D6E-409C-BE32-E72D297353CC}">
                <c16:uniqueId val="{00000000-F438-4F36-864A-0D32BC66EB04}"/>
              </c:ext>
            </c:extLst>
          </c:dPt>
          <c:dLbls>
            <c:dLbl>
              <c:idx val="0"/>
              <c:layout>
                <c:manualLayout>
                  <c:x val="4.1541778213945973E-2"/>
                  <c:y val="-5.6611794699410814E-2"/>
                </c:manualLayout>
              </c:layout>
              <c:tx>
                <c:rich>
                  <a:bodyPr/>
                  <a:lstStyle/>
                  <a:p>
                    <a:pPr>
                      <a:defRPr sz="1000" b="0" i="0" u="none" strike="noStrike" baseline="0">
                        <a:solidFill>
                          <a:srgbClr val="000000"/>
                        </a:solidFill>
                        <a:latin typeface="Arial"/>
                        <a:ea typeface="Arial"/>
                        <a:cs typeface="Arial"/>
                      </a:defRPr>
                    </a:pPr>
                    <a:r>
                      <a:rPr lang="en-US"/>
                      <a:t>Res. Income Eligible
18.87%</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438-4F36-864A-0D32BC66EB04}"/>
                </c:ext>
              </c:extLst>
            </c:dLbl>
            <c:dLbl>
              <c:idx val="1"/>
              <c:layout>
                <c:manualLayout>
                  <c:x val="8.6707570655556385E-2"/>
                  <c:y val="1.4394614367976842E-2"/>
                </c:manualLayout>
              </c:layout>
              <c:tx>
                <c:rich>
                  <a:bodyPr/>
                  <a:lstStyle/>
                  <a:p>
                    <a:pPr>
                      <a:defRPr sz="1000" b="0" i="0" u="none" strike="noStrike" baseline="0">
                        <a:solidFill>
                          <a:srgbClr val="000000"/>
                        </a:solidFill>
                        <a:latin typeface="Arial"/>
                        <a:ea typeface="Arial"/>
                        <a:cs typeface="Arial"/>
                      </a:defRPr>
                    </a:pPr>
                    <a:r>
                      <a:rPr lang="en-US"/>
                      <a:t>Res. Non Income Eligible
44.49%</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438-4F36-864A-0D32BC66EB04}"/>
                </c:ext>
              </c:extLst>
            </c:dLbl>
            <c:dLbl>
              <c:idx val="2"/>
              <c:delete val="1"/>
              <c:extLst>
                <c:ext xmlns:c15="http://schemas.microsoft.com/office/drawing/2012/chart" uri="{CE6537A1-D6FC-4f65-9D91-7224C49458BB}"/>
                <c:ext xmlns:c16="http://schemas.microsoft.com/office/drawing/2014/chart" uri="{C3380CC4-5D6E-409C-BE32-E72D297353CC}">
                  <c16:uniqueId val="{00000002-F438-4F36-864A-0D32BC66EB04}"/>
                </c:ext>
              </c:extLst>
            </c:dLbl>
            <c:dLbl>
              <c:idx val="3"/>
              <c:layout>
                <c:manualLayout>
                  <c:x val="-3.9794616802354001E-2"/>
                  <c:y val="5.8602695923521915E-2"/>
                </c:manualLayout>
              </c:layout>
              <c:tx>
                <c:rich>
                  <a:bodyPr/>
                  <a:lstStyle/>
                  <a:p>
                    <a:pPr>
                      <a:defRPr sz="1000" b="0" i="0" u="none" strike="noStrike" baseline="0">
                        <a:solidFill>
                          <a:srgbClr val="000000"/>
                        </a:solidFill>
                        <a:latin typeface="Arial"/>
                        <a:ea typeface="Arial"/>
                        <a:cs typeface="Arial"/>
                      </a:defRPr>
                    </a:pPr>
                    <a:r>
                      <a:rPr lang="en-US"/>
                      <a:t>Commercial and Industrial
36.63%</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38-4F36-864A-0D32BC66EB04}"/>
                </c:ext>
              </c:extLst>
            </c:dLbl>
            <c:dLbl>
              <c:idx val="4"/>
              <c:delete val="1"/>
              <c:extLst>
                <c:ext xmlns:c15="http://schemas.microsoft.com/office/drawing/2012/chart" uri="{CE6537A1-D6FC-4f65-9D91-7224C49458BB}"/>
                <c:ext xmlns:c16="http://schemas.microsoft.com/office/drawing/2014/chart" uri="{C3380CC4-5D6E-409C-BE32-E72D297353CC}">
                  <c16:uniqueId val="{00000004-F438-4F36-864A-0D32BC66EB04}"/>
                </c:ext>
              </c:extLst>
            </c:dLbl>
            <c:dLbl>
              <c:idx val="5"/>
              <c:layout>
                <c:manualLayout>
                  <c:xMode val="edge"/>
                  <c:yMode val="edge"/>
                  <c:x val="0.4655501948582163"/>
                  <c:y val="0.13846188517098651"/>
                </c:manualLayout>
              </c:layout>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38-4F36-864A-0D32BC66EB04}"/>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6-F438-4F36-864A-0D32BC66EB0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Budget By Customer Class </a:t>
            </a:r>
          </a:p>
        </c:rich>
      </c:tx>
      <c:overlay val="0"/>
    </c:title>
    <c:autoTitleDeleted val="0"/>
    <c:plotArea>
      <c:layout/>
      <c:pieChart>
        <c:varyColors val="1"/>
        <c:ser>
          <c:idx val="0"/>
          <c:order val="0"/>
          <c:tx>
            <c:strRef>
              <c:f>'CNG 2016 Table A Pie Charts '!$B$48</c:f>
              <c:strCache>
                <c:ptCount val="1"/>
                <c:pt idx="0">
                  <c:v>% of Residential &amp; C&amp;I Budget</c:v>
                </c:pt>
              </c:strCache>
            </c:strRef>
          </c:tx>
          <c:dPt>
            <c:idx val="0"/>
            <c:bubble3D val="0"/>
            <c:extLst>
              <c:ext xmlns:c16="http://schemas.microsoft.com/office/drawing/2014/chart" uri="{C3380CC4-5D6E-409C-BE32-E72D297353CC}">
                <c16:uniqueId val="{00000000-CBCA-4732-8CE7-40E64209EB62}"/>
              </c:ext>
            </c:extLst>
          </c:dPt>
          <c:dPt>
            <c:idx val="1"/>
            <c:bubble3D val="0"/>
            <c:extLst>
              <c:ext xmlns:c16="http://schemas.microsoft.com/office/drawing/2014/chart" uri="{C3380CC4-5D6E-409C-BE32-E72D297353CC}">
                <c16:uniqueId val="{00000001-CBCA-4732-8CE7-40E64209EB62}"/>
              </c:ext>
            </c:extLst>
          </c:dPt>
          <c:dPt>
            <c:idx val="2"/>
            <c:bubble3D val="0"/>
            <c:extLst>
              <c:ext xmlns:c16="http://schemas.microsoft.com/office/drawing/2014/chart" uri="{C3380CC4-5D6E-409C-BE32-E72D297353CC}">
                <c16:uniqueId val="{00000002-CBCA-4732-8CE7-40E64209EB62}"/>
              </c:ext>
            </c:extLst>
          </c:dPt>
          <c:dLbls>
            <c:dLbl>
              <c:idx val="0"/>
              <c:layout>
                <c:manualLayout>
                  <c:x val="9.9537729658792651E-2"/>
                  <c:y val="-4.2833187518226887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A-4732-8CE7-40E64209EB62}"/>
                </c:ext>
              </c:extLst>
            </c:dLbl>
            <c:dLbl>
              <c:idx val="1"/>
              <c:layout>
                <c:manualLayout>
                  <c:x val="0.19327690288713911"/>
                  <c:y val="-0.1499303732866725"/>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CA-4732-8CE7-40E64209EB62}"/>
                </c:ext>
              </c:extLst>
            </c:dLbl>
            <c:dLbl>
              <c:idx val="2"/>
              <c:layout>
                <c:manualLayout>
                  <c:x val="-6.9842082239720035E-2"/>
                  <c:y val="6.2559146666805567E-3"/>
                </c:manualLayout>
              </c:layout>
              <c:spPr/>
              <c:txPr>
                <a:bodyPr/>
                <a:lstStyle/>
                <a:p>
                  <a:pPr>
                    <a:defRPr sz="1000" b="0"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CA-4732-8CE7-40E64209EB6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'CNG 2016 Table A Pie Charts '!$A$49:$A$51</c:f>
              <c:strCache>
                <c:ptCount val="3"/>
                <c:pt idx="0">
                  <c:v>Res. Income Eligible</c:v>
                </c:pt>
                <c:pt idx="1">
                  <c:v>Res. Non Income Eligible</c:v>
                </c:pt>
                <c:pt idx="2">
                  <c:v>Commercial and Industrial</c:v>
                </c:pt>
              </c:strCache>
            </c:strRef>
          </c:cat>
          <c:val>
            <c:numRef>
              <c:f>'CNG 2016 Table A Pie Charts '!$B$49:$B$51</c:f>
              <c:numCache>
                <c:formatCode>0.00%</c:formatCode>
                <c:ptCount val="3"/>
                <c:pt idx="0">
                  <c:v>0</c:v>
                </c:pt>
                <c:pt idx="1">
                  <c:v>0</c:v>
                </c:pt>
                <c:pt idx="2">
                  <c:v>0</c:v>
                </c:pt>
              </c:numCache>
            </c:numRef>
          </c:val>
          <c:extLst>
            <c:ext xmlns:c16="http://schemas.microsoft.com/office/drawing/2014/chart" uri="{C3380CC4-5D6E-409C-BE32-E72D297353CC}">
              <c16:uniqueId val="{00000003-CBCA-4732-8CE7-40E64209EB6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133350</xdr:colOff>
      <xdr:row>3</xdr:row>
      <xdr:rowOff>19050</xdr:rowOff>
    </xdr:from>
    <xdr:to>
      <xdr:col>4</xdr:col>
      <xdr:colOff>647700</xdr:colOff>
      <xdr:row>25</xdr:row>
      <xdr:rowOff>57150</xdr:rowOff>
    </xdr:to>
    <xdr:graphicFrame macro="">
      <xdr:nvGraphicFramePr>
        <xdr:cNvPr id="1707" name="Chart 2">
          <a:extLst>
            <a:ext uri="{FF2B5EF4-FFF2-40B4-BE49-F238E27FC236}">
              <a16:creationId xmlns:a16="http://schemas.microsoft.com/office/drawing/2014/main" id="{1FB5EF98-F233-45B1-AAE8-EB1FEEF48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10923" name="Chart 1">
          <a:extLst>
            <a:ext uri="{FF2B5EF4-FFF2-40B4-BE49-F238E27FC236}">
              <a16:creationId xmlns:a16="http://schemas.microsoft.com/office/drawing/2014/main" id="{1E422CD4-E3CD-40C5-AB6F-A95E84F01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7862806" name="Chart 1">
          <a:extLst>
            <a:ext uri="{FF2B5EF4-FFF2-40B4-BE49-F238E27FC236}">
              <a16:creationId xmlns:a16="http://schemas.microsoft.com/office/drawing/2014/main" id="{7A3A1D7D-E41C-4741-9FB8-7051C6AF5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2803295" name="Chart 1">
          <a:extLst>
            <a:ext uri="{FF2B5EF4-FFF2-40B4-BE49-F238E27FC236}">
              <a16:creationId xmlns:a16="http://schemas.microsoft.com/office/drawing/2014/main" id="{7B6118D5-40DC-4F18-B387-531B1CB26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2805343" name="Chart 1">
          <a:extLst>
            <a:ext uri="{FF2B5EF4-FFF2-40B4-BE49-F238E27FC236}">
              <a16:creationId xmlns:a16="http://schemas.microsoft.com/office/drawing/2014/main" id="{A0B65410-9834-4937-9F9C-57AFCA2CE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xdr:row>
      <xdr:rowOff>66675</xdr:rowOff>
    </xdr:from>
    <xdr:to>
      <xdr:col>4</xdr:col>
      <xdr:colOff>895350</xdr:colOff>
      <xdr:row>25</xdr:row>
      <xdr:rowOff>28575</xdr:rowOff>
    </xdr:to>
    <xdr:graphicFrame macro="">
      <xdr:nvGraphicFramePr>
        <xdr:cNvPr id="12971" name="Chart 1">
          <a:extLst>
            <a:ext uri="{FF2B5EF4-FFF2-40B4-BE49-F238E27FC236}">
              <a16:creationId xmlns:a16="http://schemas.microsoft.com/office/drawing/2014/main" id="{526F76B7-85A5-4375-A036-3611BF196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2</xdr:row>
      <xdr:rowOff>66675</xdr:rowOff>
    </xdr:from>
    <xdr:to>
      <xdr:col>4</xdr:col>
      <xdr:colOff>895350</xdr:colOff>
      <xdr:row>25</xdr:row>
      <xdr:rowOff>28575</xdr:rowOff>
    </xdr:to>
    <xdr:graphicFrame macro="">
      <xdr:nvGraphicFramePr>
        <xdr:cNvPr id="13995" name="Chart 1">
          <a:extLst>
            <a:ext uri="{FF2B5EF4-FFF2-40B4-BE49-F238E27FC236}">
              <a16:creationId xmlns:a16="http://schemas.microsoft.com/office/drawing/2014/main" id="{52383EAD-0E65-4060-B687-25A87C1D5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15019" name="Chart 1">
          <a:extLst>
            <a:ext uri="{FF2B5EF4-FFF2-40B4-BE49-F238E27FC236}">
              <a16:creationId xmlns:a16="http://schemas.microsoft.com/office/drawing/2014/main" id="{295C225D-77C7-445E-9F18-6AB6A7606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2794155" name="Chart 1">
          <a:extLst>
            <a:ext uri="{FF2B5EF4-FFF2-40B4-BE49-F238E27FC236}">
              <a16:creationId xmlns:a16="http://schemas.microsoft.com/office/drawing/2014/main" id="{17D9197D-F656-4A06-8354-E47836096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7870998" name="Chart 1">
          <a:extLst>
            <a:ext uri="{FF2B5EF4-FFF2-40B4-BE49-F238E27FC236}">
              <a16:creationId xmlns:a16="http://schemas.microsoft.com/office/drawing/2014/main" id="{88A15654-162B-47A2-9EB3-2210E799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2951773" name="Chart 1">
          <a:extLst>
            <a:ext uri="{FF2B5EF4-FFF2-40B4-BE49-F238E27FC236}">
              <a16:creationId xmlns:a16="http://schemas.microsoft.com/office/drawing/2014/main" id="{22663A10-CF1D-4FA2-B453-8A68966D4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3</xdr:row>
      <xdr:rowOff>19050</xdr:rowOff>
    </xdr:from>
    <xdr:to>
      <xdr:col>4</xdr:col>
      <xdr:colOff>647700</xdr:colOff>
      <xdr:row>25</xdr:row>
      <xdr:rowOff>57150</xdr:rowOff>
    </xdr:to>
    <xdr:graphicFrame macro="">
      <xdr:nvGraphicFramePr>
        <xdr:cNvPr id="2731" name="Chart 2">
          <a:extLst>
            <a:ext uri="{FF2B5EF4-FFF2-40B4-BE49-F238E27FC236}">
              <a16:creationId xmlns:a16="http://schemas.microsoft.com/office/drawing/2014/main" id="{F8CA1499-6DF8-490F-93F6-2CC91B200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42952797" name="Chart 1">
          <a:extLst>
            <a:ext uri="{FF2B5EF4-FFF2-40B4-BE49-F238E27FC236}">
              <a16:creationId xmlns:a16="http://schemas.microsoft.com/office/drawing/2014/main" id="{48040A4A-EDE3-4D53-8B21-6E0FD604D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796203" name="Chart 2">
          <a:extLst>
            <a:ext uri="{FF2B5EF4-FFF2-40B4-BE49-F238E27FC236}">
              <a16:creationId xmlns:a16="http://schemas.microsoft.com/office/drawing/2014/main" id="{6EEC2CE1-40D9-43B4-8F00-1E3266AE6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797227" name="Chart 1">
          <a:extLst>
            <a:ext uri="{FF2B5EF4-FFF2-40B4-BE49-F238E27FC236}">
              <a16:creationId xmlns:a16="http://schemas.microsoft.com/office/drawing/2014/main" id="{5C01CF5D-88E2-4704-9A80-1F04F0F29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798251" name="Chart 1">
          <a:extLst>
            <a:ext uri="{FF2B5EF4-FFF2-40B4-BE49-F238E27FC236}">
              <a16:creationId xmlns:a16="http://schemas.microsoft.com/office/drawing/2014/main" id="{4A4B984B-279F-42FA-AA2F-20E960380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799275" name="Chart 1">
          <a:extLst>
            <a:ext uri="{FF2B5EF4-FFF2-40B4-BE49-F238E27FC236}">
              <a16:creationId xmlns:a16="http://schemas.microsoft.com/office/drawing/2014/main" id="{7402BD60-6FA5-4E23-AB3C-7A5B2C518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00299" name="Chart 1">
          <a:extLst>
            <a:ext uri="{FF2B5EF4-FFF2-40B4-BE49-F238E27FC236}">
              <a16:creationId xmlns:a16="http://schemas.microsoft.com/office/drawing/2014/main" id="{EE5E74C2-6965-4CD2-A20C-D16DECE6C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01323" name="Chart 1">
          <a:extLst>
            <a:ext uri="{FF2B5EF4-FFF2-40B4-BE49-F238E27FC236}">
              <a16:creationId xmlns:a16="http://schemas.microsoft.com/office/drawing/2014/main" id="{3D0FCA0E-0092-4B8F-818A-B2DE5C67F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02347" name="Chart 1">
          <a:extLst>
            <a:ext uri="{FF2B5EF4-FFF2-40B4-BE49-F238E27FC236}">
              <a16:creationId xmlns:a16="http://schemas.microsoft.com/office/drawing/2014/main" id="{3C2B942C-9F05-4F15-8EA1-2BE94859D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03371" name="Chart 1">
          <a:extLst>
            <a:ext uri="{FF2B5EF4-FFF2-40B4-BE49-F238E27FC236}">
              <a16:creationId xmlns:a16="http://schemas.microsoft.com/office/drawing/2014/main" id="{A51AFB47-5767-426F-A664-C50925926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28971" name="Chart 1">
          <a:extLst>
            <a:ext uri="{FF2B5EF4-FFF2-40B4-BE49-F238E27FC236}">
              <a16:creationId xmlns:a16="http://schemas.microsoft.com/office/drawing/2014/main" id="{76DAE15C-D872-41BF-B622-9BE5F6838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3</xdr:row>
      <xdr:rowOff>19050</xdr:rowOff>
    </xdr:from>
    <xdr:to>
      <xdr:col>4</xdr:col>
      <xdr:colOff>647700</xdr:colOff>
      <xdr:row>25</xdr:row>
      <xdr:rowOff>57150</xdr:rowOff>
    </xdr:to>
    <xdr:graphicFrame macro="">
      <xdr:nvGraphicFramePr>
        <xdr:cNvPr id="3755" name="Chart 2">
          <a:extLst>
            <a:ext uri="{FF2B5EF4-FFF2-40B4-BE49-F238E27FC236}">
              <a16:creationId xmlns:a16="http://schemas.microsoft.com/office/drawing/2014/main" id="{3BB91E02-AEBB-41DB-B535-8DCA90178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2829995" name="Chart 1">
          <a:extLst>
            <a:ext uri="{FF2B5EF4-FFF2-40B4-BE49-F238E27FC236}">
              <a16:creationId xmlns:a16="http://schemas.microsoft.com/office/drawing/2014/main" id="{46763782-E337-4BAF-A9AF-8C82D5929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200025</xdr:colOff>
      <xdr:row>5</xdr:row>
      <xdr:rowOff>19050</xdr:rowOff>
    </xdr:from>
    <xdr:to>
      <xdr:col>4</xdr:col>
      <xdr:colOff>666750</xdr:colOff>
      <xdr:row>28</xdr:row>
      <xdr:rowOff>142875</xdr:rowOff>
    </xdr:to>
    <xdr:graphicFrame macro="">
      <xdr:nvGraphicFramePr>
        <xdr:cNvPr id="2831019" name="Chart 2">
          <a:extLst>
            <a:ext uri="{FF2B5EF4-FFF2-40B4-BE49-F238E27FC236}">
              <a16:creationId xmlns:a16="http://schemas.microsoft.com/office/drawing/2014/main" id="{147CD282-A5C8-4B25-9B66-2906E5C78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2832043" name="Chart 1">
          <a:extLst>
            <a:ext uri="{FF2B5EF4-FFF2-40B4-BE49-F238E27FC236}">
              <a16:creationId xmlns:a16="http://schemas.microsoft.com/office/drawing/2014/main" id="{46FDC1DB-6467-4B0B-A7A5-19BCA25DD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2833067" name="Chart 1">
          <a:extLst>
            <a:ext uri="{FF2B5EF4-FFF2-40B4-BE49-F238E27FC236}">
              <a16:creationId xmlns:a16="http://schemas.microsoft.com/office/drawing/2014/main" id="{9E4FBB60-9F4B-4E16-918D-B2C643A72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2834091" name="Chart 1">
          <a:extLst>
            <a:ext uri="{FF2B5EF4-FFF2-40B4-BE49-F238E27FC236}">
              <a16:creationId xmlns:a16="http://schemas.microsoft.com/office/drawing/2014/main" id="{D48CE21E-0F30-49BA-8DCC-8D6592F8E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2835115" name="Chart 1">
          <a:extLst>
            <a:ext uri="{FF2B5EF4-FFF2-40B4-BE49-F238E27FC236}">
              <a16:creationId xmlns:a16="http://schemas.microsoft.com/office/drawing/2014/main" id="{8F8D590E-39C7-4230-BCEF-11821116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49203207" name="Chart 1">
          <a:extLst>
            <a:ext uri="{FF2B5EF4-FFF2-40B4-BE49-F238E27FC236}">
              <a16:creationId xmlns:a16="http://schemas.microsoft.com/office/drawing/2014/main" id="{2569432F-F61A-4F11-8878-EEA3AC5BE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xdr:row>
      <xdr:rowOff>28575</xdr:rowOff>
    </xdr:from>
    <xdr:to>
      <xdr:col>4</xdr:col>
      <xdr:colOff>1476375</xdr:colOff>
      <xdr:row>30</xdr:row>
      <xdr:rowOff>57150</xdr:rowOff>
    </xdr:to>
    <xdr:graphicFrame macro="">
      <xdr:nvGraphicFramePr>
        <xdr:cNvPr id="49203208" name="Chart 1">
          <a:extLst>
            <a:ext uri="{FF2B5EF4-FFF2-40B4-BE49-F238E27FC236}">
              <a16:creationId xmlns:a16="http://schemas.microsoft.com/office/drawing/2014/main" id="{B60FE44F-5C24-4870-B8EE-DBEDC3B71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49202183" name="Chart 1">
          <a:extLst>
            <a:ext uri="{FF2B5EF4-FFF2-40B4-BE49-F238E27FC236}">
              <a16:creationId xmlns:a16="http://schemas.microsoft.com/office/drawing/2014/main" id="{1B472C48-3C50-4475-BD3F-C934C29BC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xdr:row>
      <xdr:rowOff>28575</xdr:rowOff>
    </xdr:from>
    <xdr:to>
      <xdr:col>4</xdr:col>
      <xdr:colOff>1476375</xdr:colOff>
      <xdr:row>30</xdr:row>
      <xdr:rowOff>57150</xdr:rowOff>
    </xdr:to>
    <xdr:graphicFrame macro="">
      <xdr:nvGraphicFramePr>
        <xdr:cNvPr id="49202184" name="Chart 1">
          <a:extLst>
            <a:ext uri="{FF2B5EF4-FFF2-40B4-BE49-F238E27FC236}">
              <a16:creationId xmlns:a16="http://schemas.microsoft.com/office/drawing/2014/main" id="{7C6C331D-D84D-4CBD-878E-B1BBDCCD8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476250</xdr:colOff>
      <xdr:row>5</xdr:row>
      <xdr:rowOff>66675</xdr:rowOff>
    </xdr:from>
    <xdr:to>
      <xdr:col>4</xdr:col>
      <xdr:colOff>933450</xdr:colOff>
      <xdr:row>28</xdr:row>
      <xdr:rowOff>161925</xdr:rowOff>
    </xdr:to>
    <xdr:graphicFrame macro="">
      <xdr:nvGraphicFramePr>
        <xdr:cNvPr id="42879163" name="Chart 1">
          <a:extLst>
            <a:ext uri="{FF2B5EF4-FFF2-40B4-BE49-F238E27FC236}">
              <a16:creationId xmlns:a16="http://schemas.microsoft.com/office/drawing/2014/main" id="{16E99432-B7A2-412B-BE80-E8BC10B68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xdr:row>
      <xdr:rowOff>28575</xdr:rowOff>
    </xdr:from>
    <xdr:to>
      <xdr:col>4</xdr:col>
      <xdr:colOff>1476375</xdr:colOff>
      <xdr:row>30</xdr:row>
      <xdr:rowOff>57150</xdr:rowOff>
    </xdr:to>
    <xdr:graphicFrame macro="">
      <xdr:nvGraphicFramePr>
        <xdr:cNvPr id="42879164" name="Chart 1">
          <a:extLst>
            <a:ext uri="{FF2B5EF4-FFF2-40B4-BE49-F238E27FC236}">
              <a16:creationId xmlns:a16="http://schemas.microsoft.com/office/drawing/2014/main" id="{6E1EBD76-A353-4CE2-9FB8-56D9A24AC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47897644" name="Chart 1">
          <a:extLst>
            <a:ext uri="{FF2B5EF4-FFF2-40B4-BE49-F238E27FC236}">
              <a16:creationId xmlns:a16="http://schemas.microsoft.com/office/drawing/2014/main" id="{9FE33341-99CA-4DF6-88AE-2468C169A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19050</xdr:rowOff>
    </xdr:from>
    <xdr:to>
      <xdr:col>4</xdr:col>
      <xdr:colOff>1390650</xdr:colOff>
      <xdr:row>29</xdr:row>
      <xdr:rowOff>66675</xdr:rowOff>
    </xdr:to>
    <xdr:graphicFrame macro="">
      <xdr:nvGraphicFramePr>
        <xdr:cNvPr id="47897645" name="Chart 1">
          <a:extLst>
            <a:ext uri="{FF2B5EF4-FFF2-40B4-BE49-F238E27FC236}">
              <a16:creationId xmlns:a16="http://schemas.microsoft.com/office/drawing/2014/main" id="{54489AE9-3651-48EB-981F-6E7C5334C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xdr:row>
      <xdr:rowOff>66675</xdr:rowOff>
    </xdr:from>
    <xdr:to>
      <xdr:col>4</xdr:col>
      <xdr:colOff>895350</xdr:colOff>
      <xdr:row>25</xdr:row>
      <xdr:rowOff>28575</xdr:rowOff>
    </xdr:to>
    <xdr:graphicFrame macro="">
      <xdr:nvGraphicFramePr>
        <xdr:cNvPr id="4779" name="Chart 2">
          <a:extLst>
            <a:ext uri="{FF2B5EF4-FFF2-40B4-BE49-F238E27FC236}">
              <a16:creationId xmlns:a16="http://schemas.microsoft.com/office/drawing/2014/main" id="{B836C8B4-51DC-4EED-8AC7-B2A065DBB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9</xdr:row>
      <xdr:rowOff>57150</xdr:rowOff>
    </xdr:from>
    <xdr:to>
      <xdr:col>6</xdr:col>
      <xdr:colOff>971550</xdr:colOff>
      <xdr:row>21</xdr:row>
      <xdr:rowOff>85725</xdr:rowOff>
    </xdr:to>
    <xdr:graphicFrame macro="">
      <xdr:nvGraphicFramePr>
        <xdr:cNvPr id="47900760" name="Chart 1">
          <a:extLst>
            <a:ext uri="{FF2B5EF4-FFF2-40B4-BE49-F238E27FC236}">
              <a16:creationId xmlns:a16="http://schemas.microsoft.com/office/drawing/2014/main" id="{A8ECCEDB-B0C0-48C4-A77D-E3691E77B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114300</xdr:colOff>
      <xdr:row>9</xdr:row>
      <xdr:rowOff>57150</xdr:rowOff>
    </xdr:from>
    <xdr:to>
      <xdr:col>6</xdr:col>
      <xdr:colOff>971550</xdr:colOff>
      <xdr:row>21</xdr:row>
      <xdr:rowOff>85725</xdr:rowOff>
    </xdr:to>
    <xdr:graphicFrame macro="">
      <xdr:nvGraphicFramePr>
        <xdr:cNvPr id="47900761" name="Chart 1">
          <a:extLst>
            <a:ext uri="{FF2B5EF4-FFF2-40B4-BE49-F238E27FC236}">
              <a16:creationId xmlns:a16="http://schemas.microsoft.com/office/drawing/2014/main" id="{BEE9E511-75B2-44FC-A944-E6968F404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114300</xdr:colOff>
      <xdr:row>9</xdr:row>
      <xdr:rowOff>57150</xdr:rowOff>
    </xdr:from>
    <xdr:to>
      <xdr:col>6</xdr:col>
      <xdr:colOff>971550</xdr:colOff>
      <xdr:row>21</xdr:row>
      <xdr:rowOff>85725</xdr:rowOff>
    </xdr:to>
    <xdr:graphicFrame macro="">
      <xdr:nvGraphicFramePr>
        <xdr:cNvPr id="47900762" name="Chart 1">
          <a:extLst>
            <a:ext uri="{FF2B5EF4-FFF2-40B4-BE49-F238E27FC236}">
              <a16:creationId xmlns:a16="http://schemas.microsoft.com/office/drawing/2014/main" id="{8359FACE-BD93-4748-91E5-A609FF665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114300</xdr:colOff>
      <xdr:row>9</xdr:row>
      <xdr:rowOff>57150</xdr:rowOff>
    </xdr:from>
    <xdr:to>
      <xdr:col>6</xdr:col>
      <xdr:colOff>971550</xdr:colOff>
      <xdr:row>21</xdr:row>
      <xdr:rowOff>85725</xdr:rowOff>
    </xdr:to>
    <xdr:graphicFrame macro="">
      <xdr:nvGraphicFramePr>
        <xdr:cNvPr id="47900763" name="Chart 1">
          <a:extLst>
            <a:ext uri="{FF2B5EF4-FFF2-40B4-BE49-F238E27FC236}">
              <a16:creationId xmlns:a16="http://schemas.microsoft.com/office/drawing/2014/main" id="{475B583D-E2DB-49B3-B8E1-8C3590960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66675</xdr:colOff>
      <xdr:row>9</xdr:row>
      <xdr:rowOff>257175</xdr:rowOff>
    </xdr:from>
    <xdr:to>
      <xdr:col>6</xdr:col>
      <xdr:colOff>457200</xdr:colOff>
      <xdr:row>20</xdr:row>
      <xdr:rowOff>209550</xdr:rowOff>
    </xdr:to>
    <xdr:graphicFrame macro="">
      <xdr:nvGraphicFramePr>
        <xdr:cNvPr id="47905836" name="Chart 1">
          <a:extLst>
            <a:ext uri="{FF2B5EF4-FFF2-40B4-BE49-F238E27FC236}">
              <a16:creationId xmlns:a16="http://schemas.microsoft.com/office/drawing/2014/main" id="{01F90B52-2940-4CB7-9245-11D8C4AF8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9</xdr:row>
      <xdr:rowOff>257175</xdr:rowOff>
    </xdr:from>
    <xdr:to>
      <xdr:col>6</xdr:col>
      <xdr:colOff>457200</xdr:colOff>
      <xdr:row>20</xdr:row>
      <xdr:rowOff>209550</xdr:rowOff>
    </xdr:to>
    <xdr:graphicFrame macro="">
      <xdr:nvGraphicFramePr>
        <xdr:cNvPr id="47905837" name="Chart 1">
          <a:extLst>
            <a:ext uri="{FF2B5EF4-FFF2-40B4-BE49-F238E27FC236}">
              <a16:creationId xmlns:a16="http://schemas.microsoft.com/office/drawing/2014/main" id="{000AC1B3-F9F7-49AD-891B-484D33313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2085975</xdr:colOff>
      <xdr:row>10</xdr:row>
      <xdr:rowOff>104775</xdr:rowOff>
    </xdr:from>
    <xdr:to>
      <xdr:col>5</xdr:col>
      <xdr:colOff>609600</xdr:colOff>
      <xdr:row>21</xdr:row>
      <xdr:rowOff>238125</xdr:rowOff>
    </xdr:to>
    <xdr:graphicFrame macro="">
      <xdr:nvGraphicFramePr>
        <xdr:cNvPr id="47908908" name="Chart 1">
          <a:extLst>
            <a:ext uri="{FF2B5EF4-FFF2-40B4-BE49-F238E27FC236}">
              <a16:creationId xmlns:a16="http://schemas.microsoft.com/office/drawing/2014/main" id="{1E6C780B-9598-4333-9275-3A1F9B425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2085975</xdr:colOff>
      <xdr:row>10</xdr:row>
      <xdr:rowOff>104775</xdr:rowOff>
    </xdr:from>
    <xdr:to>
      <xdr:col>5</xdr:col>
      <xdr:colOff>609600</xdr:colOff>
      <xdr:row>21</xdr:row>
      <xdr:rowOff>238125</xdr:rowOff>
    </xdr:to>
    <xdr:graphicFrame macro="">
      <xdr:nvGraphicFramePr>
        <xdr:cNvPr id="47908909" name="Chart 1">
          <a:extLst>
            <a:ext uri="{FF2B5EF4-FFF2-40B4-BE49-F238E27FC236}">
              <a16:creationId xmlns:a16="http://schemas.microsoft.com/office/drawing/2014/main" id="{BF032DC9-04E9-4F1D-BFD0-5A8F24A33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9525</xdr:colOff>
      <xdr:row>9</xdr:row>
      <xdr:rowOff>361950</xdr:rowOff>
    </xdr:from>
    <xdr:to>
      <xdr:col>8</xdr:col>
      <xdr:colOff>0</xdr:colOff>
      <xdr:row>22</xdr:row>
      <xdr:rowOff>19050</xdr:rowOff>
    </xdr:to>
    <xdr:graphicFrame macro="">
      <xdr:nvGraphicFramePr>
        <xdr:cNvPr id="2841259" name="Chart 1">
          <a:extLst>
            <a:ext uri="{FF2B5EF4-FFF2-40B4-BE49-F238E27FC236}">
              <a16:creationId xmlns:a16="http://schemas.microsoft.com/office/drawing/2014/main" id="{29051B64-E170-4AFC-8DB9-D670D1A2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9525</xdr:colOff>
      <xdr:row>9</xdr:row>
      <xdr:rowOff>361950</xdr:rowOff>
    </xdr:from>
    <xdr:to>
      <xdr:col>8</xdr:col>
      <xdr:colOff>0</xdr:colOff>
      <xdr:row>22</xdr:row>
      <xdr:rowOff>19050</xdr:rowOff>
    </xdr:to>
    <xdr:graphicFrame macro="">
      <xdr:nvGraphicFramePr>
        <xdr:cNvPr id="2842283" name="Chart 1">
          <a:extLst>
            <a:ext uri="{FF2B5EF4-FFF2-40B4-BE49-F238E27FC236}">
              <a16:creationId xmlns:a16="http://schemas.microsoft.com/office/drawing/2014/main" id="{55A15D33-9067-40B6-AFD3-307CEFC68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9525</xdr:colOff>
      <xdr:row>9</xdr:row>
      <xdr:rowOff>361950</xdr:rowOff>
    </xdr:from>
    <xdr:to>
      <xdr:col>8</xdr:col>
      <xdr:colOff>0</xdr:colOff>
      <xdr:row>22</xdr:row>
      <xdr:rowOff>19050</xdr:rowOff>
    </xdr:to>
    <xdr:graphicFrame macro="">
      <xdr:nvGraphicFramePr>
        <xdr:cNvPr id="2843307" name="Chart 1">
          <a:extLst>
            <a:ext uri="{FF2B5EF4-FFF2-40B4-BE49-F238E27FC236}">
              <a16:creationId xmlns:a16="http://schemas.microsoft.com/office/drawing/2014/main" id="{3D5FAB1D-8772-4C00-A0E8-CA6ED79E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276225</xdr:colOff>
      <xdr:row>9</xdr:row>
      <xdr:rowOff>361950</xdr:rowOff>
    </xdr:from>
    <xdr:to>
      <xdr:col>8</xdr:col>
      <xdr:colOff>0</xdr:colOff>
      <xdr:row>24</xdr:row>
      <xdr:rowOff>19050</xdr:rowOff>
    </xdr:to>
    <xdr:graphicFrame macro="">
      <xdr:nvGraphicFramePr>
        <xdr:cNvPr id="2844331" name="Chart 1">
          <a:extLst>
            <a:ext uri="{FF2B5EF4-FFF2-40B4-BE49-F238E27FC236}">
              <a16:creationId xmlns:a16="http://schemas.microsoft.com/office/drawing/2014/main" id="{E6C83BF5-FDB2-4E92-B51A-78604D295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9525</xdr:colOff>
      <xdr:row>9</xdr:row>
      <xdr:rowOff>361950</xdr:rowOff>
    </xdr:from>
    <xdr:to>
      <xdr:col>8</xdr:col>
      <xdr:colOff>0</xdr:colOff>
      <xdr:row>22</xdr:row>
      <xdr:rowOff>19050</xdr:rowOff>
    </xdr:to>
    <xdr:graphicFrame macro="">
      <xdr:nvGraphicFramePr>
        <xdr:cNvPr id="2845355" name="Chart 1">
          <a:extLst>
            <a:ext uri="{FF2B5EF4-FFF2-40B4-BE49-F238E27FC236}">
              <a16:creationId xmlns:a16="http://schemas.microsoft.com/office/drawing/2014/main" id="{D226DB03-F9A7-4E31-A7FD-3D6C776E8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438150</xdr:colOff>
      <xdr:row>9</xdr:row>
      <xdr:rowOff>314325</xdr:rowOff>
    </xdr:from>
    <xdr:to>
      <xdr:col>8</xdr:col>
      <xdr:colOff>0</xdr:colOff>
      <xdr:row>23</xdr:row>
      <xdr:rowOff>219075</xdr:rowOff>
    </xdr:to>
    <xdr:graphicFrame macro="">
      <xdr:nvGraphicFramePr>
        <xdr:cNvPr id="2846379" name="Chart 1">
          <a:extLst>
            <a:ext uri="{FF2B5EF4-FFF2-40B4-BE49-F238E27FC236}">
              <a16:creationId xmlns:a16="http://schemas.microsoft.com/office/drawing/2014/main" id="{5C763073-8B22-4516-BD18-FDDB1984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43752609" name="Chart 1">
          <a:extLst>
            <a:ext uri="{FF2B5EF4-FFF2-40B4-BE49-F238E27FC236}">
              <a16:creationId xmlns:a16="http://schemas.microsoft.com/office/drawing/2014/main" id="{E45F4A71-0221-4FB0-BEF3-32D81A03E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xdr:row>
      <xdr:rowOff>247650</xdr:rowOff>
    </xdr:from>
    <xdr:to>
      <xdr:col>4</xdr:col>
      <xdr:colOff>1438275</xdr:colOff>
      <xdr:row>30</xdr:row>
      <xdr:rowOff>114300</xdr:rowOff>
    </xdr:to>
    <xdr:graphicFrame macro="">
      <xdr:nvGraphicFramePr>
        <xdr:cNvPr id="43752610" name="Chart 1">
          <a:extLst>
            <a:ext uri="{FF2B5EF4-FFF2-40B4-BE49-F238E27FC236}">
              <a16:creationId xmlns:a16="http://schemas.microsoft.com/office/drawing/2014/main" id="{02F99A2F-4175-495B-9033-3A9DD5C68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57150</xdr:rowOff>
    </xdr:from>
    <xdr:to>
      <xdr:col>4</xdr:col>
      <xdr:colOff>304800</xdr:colOff>
      <xdr:row>25</xdr:row>
      <xdr:rowOff>123825</xdr:rowOff>
    </xdr:to>
    <xdr:graphicFrame macro="">
      <xdr:nvGraphicFramePr>
        <xdr:cNvPr id="5803" name="Chart 2">
          <a:extLst>
            <a:ext uri="{FF2B5EF4-FFF2-40B4-BE49-F238E27FC236}">
              <a16:creationId xmlns:a16="http://schemas.microsoft.com/office/drawing/2014/main" id="{6E2B6064-8A7A-4229-A58B-9BE406F06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43753633" name="Chart 1">
          <a:extLst>
            <a:ext uri="{FF2B5EF4-FFF2-40B4-BE49-F238E27FC236}">
              <a16:creationId xmlns:a16="http://schemas.microsoft.com/office/drawing/2014/main" id="{441BDB37-4B22-4B76-8C5B-811C97AF9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38100</xdr:rowOff>
    </xdr:from>
    <xdr:to>
      <xdr:col>4</xdr:col>
      <xdr:colOff>1495425</xdr:colOff>
      <xdr:row>30</xdr:row>
      <xdr:rowOff>19050</xdr:rowOff>
    </xdr:to>
    <xdr:graphicFrame macro="">
      <xdr:nvGraphicFramePr>
        <xdr:cNvPr id="43753634" name="Chart 1">
          <a:extLst>
            <a:ext uri="{FF2B5EF4-FFF2-40B4-BE49-F238E27FC236}">
              <a16:creationId xmlns:a16="http://schemas.microsoft.com/office/drawing/2014/main" id="{BC6C9903-0EA5-4449-8913-3F2CB9E70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495300</xdr:colOff>
      <xdr:row>5</xdr:row>
      <xdr:rowOff>47625</xdr:rowOff>
    </xdr:from>
    <xdr:to>
      <xdr:col>4</xdr:col>
      <xdr:colOff>962025</xdr:colOff>
      <xdr:row>28</xdr:row>
      <xdr:rowOff>133350</xdr:rowOff>
    </xdr:to>
    <xdr:graphicFrame macro="">
      <xdr:nvGraphicFramePr>
        <xdr:cNvPr id="2" name="Chart 1">
          <a:extLst>
            <a:ext uri="{FF2B5EF4-FFF2-40B4-BE49-F238E27FC236}">
              <a16:creationId xmlns:a16="http://schemas.microsoft.com/office/drawing/2014/main" id="{137F3E67-1915-4F62-9EC8-AFA60B6F1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38100</xdr:rowOff>
    </xdr:from>
    <xdr:to>
      <xdr:col>4</xdr:col>
      <xdr:colOff>1495425</xdr:colOff>
      <xdr:row>30</xdr:row>
      <xdr:rowOff>19050</xdr:rowOff>
    </xdr:to>
    <xdr:graphicFrame macro="">
      <xdr:nvGraphicFramePr>
        <xdr:cNvPr id="3" name="Chart 1">
          <a:extLst>
            <a:ext uri="{FF2B5EF4-FFF2-40B4-BE49-F238E27FC236}">
              <a16:creationId xmlns:a16="http://schemas.microsoft.com/office/drawing/2014/main" id="{4303AFEB-04EA-4BD7-9792-87D588350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87B641B7-364A-4021-8189-448DD6475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868FBA8F-8D97-425F-9A2B-CD6C1748B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53F720AA-D4E7-4508-8ABB-57AE2C066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2D8F8F47-D400-4DCD-86A6-D4B1F60D4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9760B66C-A013-4D92-813C-D2B9FB736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596900</xdr:colOff>
      <xdr:row>4</xdr:row>
      <xdr:rowOff>250826</xdr:rowOff>
    </xdr:from>
    <xdr:to>
      <xdr:col>11</xdr:col>
      <xdr:colOff>246062</xdr:colOff>
      <xdr:row>19</xdr:row>
      <xdr:rowOff>51594</xdr:rowOff>
    </xdr:to>
    <xdr:graphicFrame macro="">
      <xdr:nvGraphicFramePr>
        <xdr:cNvPr id="2" name="Chart 27">
          <a:extLst>
            <a:ext uri="{FF2B5EF4-FFF2-40B4-BE49-F238E27FC236}">
              <a16:creationId xmlns:a16="http://schemas.microsoft.com/office/drawing/2014/main" id="{47841E09-F994-4CDE-ADB7-CF4B0A975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381000</xdr:colOff>
      <xdr:row>9</xdr:row>
      <xdr:rowOff>361950</xdr:rowOff>
    </xdr:from>
    <xdr:to>
      <xdr:col>8</xdr:col>
      <xdr:colOff>0</xdr:colOff>
      <xdr:row>24</xdr:row>
      <xdr:rowOff>19050</xdr:rowOff>
    </xdr:to>
    <xdr:graphicFrame macro="">
      <xdr:nvGraphicFramePr>
        <xdr:cNvPr id="2848427" name="Chart 1">
          <a:extLst>
            <a:ext uri="{FF2B5EF4-FFF2-40B4-BE49-F238E27FC236}">
              <a16:creationId xmlns:a16="http://schemas.microsoft.com/office/drawing/2014/main" id="{1F369A53-47F0-4EC4-85AA-613871E72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361950</xdr:colOff>
      <xdr:row>9</xdr:row>
      <xdr:rowOff>361950</xdr:rowOff>
    </xdr:from>
    <xdr:to>
      <xdr:col>8</xdr:col>
      <xdr:colOff>0</xdr:colOff>
      <xdr:row>24</xdr:row>
      <xdr:rowOff>19050</xdr:rowOff>
    </xdr:to>
    <xdr:graphicFrame macro="">
      <xdr:nvGraphicFramePr>
        <xdr:cNvPr id="2849451" name="Chart 1">
          <a:extLst>
            <a:ext uri="{FF2B5EF4-FFF2-40B4-BE49-F238E27FC236}">
              <a16:creationId xmlns:a16="http://schemas.microsoft.com/office/drawing/2014/main" id="{D4BEB289-6A31-4E17-88EB-F71EE475D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66675</xdr:rowOff>
    </xdr:from>
    <xdr:to>
      <xdr:col>4</xdr:col>
      <xdr:colOff>895350</xdr:colOff>
      <xdr:row>25</xdr:row>
      <xdr:rowOff>28575</xdr:rowOff>
    </xdr:to>
    <xdr:graphicFrame macro="">
      <xdr:nvGraphicFramePr>
        <xdr:cNvPr id="6827" name="Chart 2">
          <a:extLst>
            <a:ext uri="{FF2B5EF4-FFF2-40B4-BE49-F238E27FC236}">
              <a16:creationId xmlns:a16="http://schemas.microsoft.com/office/drawing/2014/main" id="{6C0F52D7-F5EE-4BEC-A4D1-3EE2A6E19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66675</xdr:rowOff>
    </xdr:from>
    <xdr:to>
      <xdr:col>4</xdr:col>
      <xdr:colOff>895350</xdr:colOff>
      <xdr:row>25</xdr:row>
      <xdr:rowOff>28575</xdr:rowOff>
    </xdr:to>
    <xdr:graphicFrame macro="">
      <xdr:nvGraphicFramePr>
        <xdr:cNvPr id="7851" name="Chart 2">
          <a:extLst>
            <a:ext uri="{FF2B5EF4-FFF2-40B4-BE49-F238E27FC236}">
              <a16:creationId xmlns:a16="http://schemas.microsoft.com/office/drawing/2014/main" id="{F62131C5-27AA-4238-9E8F-E24D5670D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142875</xdr:rowOff>
    </xdr:from>
    <xdr:to>
      <xdr:col>5</xdr:col>
      <xdr:colOff>561975</xdr:colOff>
      <xdr:row>25</xdr:row>
      <xdr:rowOff>219075</xdr:rowOff>
    </xdr:to>
    <xdr:graphicFrame macro="">
      <xdr:nvGraphicFramePr>
        <xdr:cNvPr id="8875" name="Chart 2">
          <a:extLst>
            <a:ext uri="{FF2B5EF4-FFF2-40B4-BE49-F238E27FC236}">
              <a16:creationId xmlns:a16="http://schemas.microsoft.com/office/drawing/2014/main" id="{2A9F0AC9-BBD7-4DDE-95A5-5C7CA3DF0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5</xdr:row>
      <xdr:rowOff>47625</xdr:rowOff>
    </xdr:from>
    <xdr:to>
      <xdr:col>4</xdr:col>
      <xdr:colOff>866775</xdr:colOff>
      <xdr:row>24</xdr:row>
      <xdr:rowOff>47625</xdr:rowOff>
    </xdr:to>
    <xdr:graphicFrame macro="">
      <xdr:nvGraphicFramePr>
        <xdr:cNvPr id="9899" name="Chart 2">
          <a:extLst>
            <a:ext uri="{FF2B5EF4-FFF2-40B4-BE49-F238E27FC236}">
              <a16:creationId xmlns:a16="http://schemas.microsoft.com/office/drawing/2014/main" id="{22AD15EC-C677-4CC5-897A-595F5CD04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1.uinet.com\VOLM1\User\WRK_GRP\Energy%20Conservation\2009%20Budget%20Filing\Stilmulus%20Backup\C&amp;LM%20Combined%20Budget%20%20-%20Stimulus%20Backu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1.uinet.com\VOLM1\User\WRK_GRP\Energy%20Conservation\2009%20Budget%20Filing\2009CLMBUDGET_CLP&amp;UI_081208j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1.uinet.com\VOLM1\User\WRK_GRP\Energy%20Conservation\2010%20Docket%2009-10-03%20EL-17%20thru%20EL-33\Attachment%20EL-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u.Com\Data\User\WRK_GRP\Energy%20Conservation\2010%20Docket%2009-10-03%20EL-17%20thru%20EL-33\Attachment%20EL-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u.Com\Data\Deptdata\MPR\KPI\Monthly%20Reports\2009\KPI_input_worksheet_09%20Revised_Jan%2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Com\Data\Deptdata\MPR\MKTPLAN\2016%20eafc\2016-2018%20EE%20Plan\Electric\2016-2018%20EE%20BUDGET%20MASTER%20-%20Electr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u.Com\Data\WINNT\TEMP\C.Lotus.Notes.Data\2002_CL&amp;P_Res_TWas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1.uinet.com\VOLM1\WINNT\TEMP\C.Lotus.Notes.Data\2002_CL&amp;P_Res_TWas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C.Lotus.Notes.Data\2002_CL&amp;P_Res_TWas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Yankee%20Gas\YGS%20ROR%20Schedule%20December%202003%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2009 Comb Revenues A2"/>
      <sheetName val="CLM Programs"/>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2009 Combined Table A1 "/>
      <sheetName val=" 2009 Comb. Rev A2"/>
      <sheetName val="2009 Joint Table A1 Pies"/>
      <sheetName val="CLP Table A  "/>
      <sheetName val="CLP Table A _Final Decision"/>
      <sheetName val="CL&amp;P 2009 Table A Pie Chart"/>
      <sheetName val="CLP Table B - 2009 Comparison"/>
      <sheetName val="CLP Table B1"/>
      <sheetName val="Table C 2009 "/>
      <sheetName val="2009 Table C Pie Chart"/>
      <sheetName val="2009 CLP Table D"/>
      <sheetName val="2008  CLP PMF Exhibit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EL-17-1 Page 1 of 2"/>
      <sheetName val="Attachment EL-17-1 Page 2 of 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EL-17-1 Page 1 of 2"/>
      <sheetName val="Attachment EL-17-1 Page 2 of 2"/>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mp;P Summary YTD"/>
      <sheetName val="Committed Data Table"/>
      <sheetName val="EB $"/>
      <sheetName val="ResiOtherMet Monthly Target$"/>
      <sheetName val="C&amp;I Monthly Target$"/>
      <sheetName val="Monthly Goal Report"/>
      <sheetName val="Expended &amp; Committed Report"/>
      <sheetName val="YTD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2016 - 2018 Combined Table A1"/>
      <sheetName val=" 2015 - 2018 Comb Revenues A2"/>
      <sheetName val="2015 Joint Table A1 Pies"/>
      <sheetName val="2016 Joint Table A1 Pies"/>
      <sheetName val="2017 Joint Table A1 Pies"/>
      <sheetName val="2018 Joint Table A1 Pies"/>
      <sheetName val="ES CT Electric Table A  "/>
      <sheetName val="ES CT Electric 2015 Table A Pie"/>
      <sheetName val="ES CT Electric 2016 Table A Pie"/>
      <sheetName val="ES CT Electric 2017 Table A Pie"/>
      <sheetName val="ES CT Electric 2018 Table A Pie"/>
      <sheetName val="ES CT Electric Table C 2016"/>
      <sheetName val="ES CT Electric Table C 2017"/>
      <sheetName val="ES CT Electric Table C 2018"/>
      <sheetName val="ES CT Electric 2016 Table C Pie"/>
      <sheetName val="ES CT Electric 2017 Table C Pie"/>
      <sheetName val="ES CT Electric 2018 Table C Pie"/>
      <sheetName val="2009-18 ES CT E Table D-$"/>
      <sheetName val="2009-18 ES CT E Table D1-kW"/>
      <sheetName val="2009-18 ESCTETable D2-annualkWh"/>
      <sheetName val="2009-15 ESCTETable D3-lftimekWh"/>
      <sheetName val="2009-15 Table D4 Units "/>
      <sheetName val="2009-18 ES CT E Table D5-kW"/>
      <sheetName val="2009-18 ESCTETable D6-annualkWh"/>
      <sheetName val="2009-15 ESCTETable D7-lftimekWh"/>
      <sheetName val="2016  ES CT  PMI"/>
      <sheetName val="2017  ES CT  PMI"/>
      <sheetName val="2018  ES CT  PMI"/>
      <sheetName val="2016 ES CT E Perf. Incentiv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s>
    <sheetDataSet>
      <sheetData sheetId="0" refreshError="1">
        <row r="33">
          <cell r="B33" t="str">
            <v>Energy Star Clothes Washers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s>
    <sheetDataSet>
      <sheetData sheetId="0" refreshError="1">
        <row r="33">
          <cell r="B33" t="str">
            <v>Energy Star Clothes Washers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s>
    <sheetDataSet>
      <sheetData sheetId="0" refreshError="1">
        <row r="33">
          <cell r="B33" t="str">
            <v>Energy Star Clothes Washers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A)"/>
      <sheetName val="Exhibit 1(B)"/>
      <sheetName val="Exhibit 1(C)"/>
      <sheetName val="Exhibit 1(D)"/>
      <sheetName val="Rate Base"/>
      <sheetName val="Operating Income"/>
      <sheetName val="R1"/>
      <sheetName val="R2"/>
      <sheetName val="R3"/>
      <sheetName val="R4"/>
      <sheetName val="R5"/>
      <sheetName val="R6"/>
      <sheetName val="R7"/>
      <sheetName val="R8"/>
      <sheetName val="R9"/>
      <sheetName val="R10"/>
      <sheetName val="R11"/>
      <sheetName val="R12"/>
      <sheetName val="R13"/>
      <sheetName val="R14"/>
      <sheetName val="R15"/>
      <sheetName val="R16"/>
      <sheetName val="R 17"/>
      <sheetName val="Common Equity"/>
      <sheetName val="Cost of Debt"/>
      <sheetName val="Schedule C-2"/>
      <sheetName val="WP C-2A"/>
      <sheetName val="WP C-2B"/>
      <sheetName val="WP C-2C"/>
      <sheetName val="WP C-2D"/>
      <sheetName val="WP C-2E"/>
      <sheetName val="Schedule C-3"/>
      <sheetName val="Schedule D-1"/>
      <sheetName val="Schedule D-2"/>
      <sheetName val="ROR"/>
      <sheetName val="Dialog1"/>
      <sheetName val="Module1"/>
      <sheetName val="ACCESS_DATA"/>
      <sheetName val="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A2" t="str">
            <v>AC101</v>
          </cell>
          <cell r="B2">
            <v>595867</v>
          </cell>
          <cell r="C2">
            <v>596000</v>
          </cell>
          <cell r="D2">
            <v>572412</v>
          </cell>
          <cell r="E2">
            <v>572702</v>
          </cell>
          <cell r="F2">
            <v>576582</v>
          </cell>
          <cell r="G2">
            <v>0</v>
          </cell>
          <cell r="H2">
            <v>0</v>
          </cell>
          <cell r="I2">
            <v>0</v>
          </cell>
          <cell r="J2">
            <v>0</v>
          </cell>
          <cell r="K2">
            <v>0</v>
          </cell>
          <cell r="L2">
            <v>0</v>
          </cell>
          <cell r="M2">
            <v>0</v>
          </cell>
          <cell r="N2">
            <v>0</v>
          </cell>
          <cell r="O2">
            <v>37986</v>
          </cell>
        </row>
        <row r="3">
          <cell r="A3" t="str">
            <v>AC106</v>
          </cell>
          <cell r="B3">
            <v>112753</v>
          </cell>
          <cell r="C3">
            <v>100764</v>
          </cell>
          <cell r="D3">
            <v>118209</v>
          </cell>
          <cell r="E3">
            <v>105987</v>
          </cell>
          <cell r="F3">
            <v>90023</v>
          </cell>
          <cell r="G3">
            <v>0</v>
          </cell>
          <cell r="H3">
            <v>0</v>
          </cell>
          <cell r="I3">
            <v>0</v>
          </cell>
          <cell r="J3">
            <v>0</v>
          </cell>
          <cell r="K3">
            <v>0</v>
          </cell>
          <cell r="L3">
            <v>0</v>
          </cell>
          <cell r="M3">
            <v>0</v>
          </cell>
          <cell r="N3">
            <v>0</v>
          </cell>
          <cell r="O3">
            <v>37986</v>
          </cell>
        </row>
        <row r="4">
          <cell r="A4" t="str">
            <v>AC108</v>
          </cell>
          <cell r="B4">
            <v>-290639</v>
          </cell>
          <cell r="C4">
            <v>-287289</v>
          </cell>
          <cell r="D4">
            <v>-283891</v>
          </cell>
          <cell r="E4">
            <v>-281572</v>
          </cell>
          <cell r="F4">
            <v>-280592</v>
          </cell>
          <cell r="G4">
            <v>0</v>
          </cell>
          <cell r="H4">
            <v>0</v>
          </cell>
          <cell r="I4">
            <v>0</v>
          </cell>
          <cell r="J4">
            <v>0</v>
          </cell>
          <cell r="K4">
            <v>0</v>
          </cell>
          <cell r="L4">
            <v>0</v>
          </cell>
          <cell r="M4">
            <v>0</v>
          </cell>
          <cell r="N4">
            <v>0</v>
          </cell>
          <cell r="O4">
            <v>37986</v>
          </cell>
        </row>
        <row r="5">
          <cell r="A5" t="str">
            <v>AC14404</v>
          </cell>
          <cell r="B5">
            <v>-50</v>
          </cell>
          <cell r="C5">
            <v>-50</v>
          </cell>
          <cell r="D5">
            <v>0</v>
          </cell>
          <cell r="E5">
            <v>37</v>
          </cell>
          <cell r="F5">
            <v>35</v>
          </cell>
          <cell r="G5">
            <v>0</v>
          </cell>
          <cell r="H5">
            <v>0</v>
          </cell>
          <cell r="I5">
            <v>0</v>
          </cell>
          <cell r="J5">
            <v>0</v>
          </cell>
          <cell r="K5">
            <v>0</v>
          </cell>
          <cell r="L5">
            <v>0</v>
          </cell>
          <cell r="M5">
            <v>0</v>
          </cell>
          <cell r="N5">
            <v>0</v>
          </cell>
          <cell r="O5">
            <v>37986</v>
          </cell>
        </row>
        <row r="6">
          <cell r="A6" t="str">
            <v>AC14411</v>
          </cell>
          <cell r="B6">
            <v>-5679</v>
          </cell>
          <cell r="C6">
            <v>-6177</v>
          </cell>
          <cell r="D6">
            <v>-7055</v>
          </cell>
          <cell r="E6">
            <v>-5164</v>
          </cell>
          <cell r="F6">
            <v>-7684</v>
          </cell>
          <cell r="G6">
            <v>0</v>
          </cell>
          <cell r="H6">
            <v>0</v>
          </cell>
          <cell r="I6">
            <v>0</v>
          </cell>
          <cell r="J6">
            <v>0</v>
          </cell>
          <cell r="K6">
            <v>0</v>
          </cell>
          <cell r="L6">
            <v>0</v>
          </cell>
          <cell r="M6">
            <v>0</v>
          </cell>
          <cell r="N6">
            <v>0</v>
          </cell>
          <cell r="O6">
            <v>37986</v>
          </cell>
        </row>
        <row r="7">
          <cell r="A7" t="str">
            <v>AC151</v>
          </cell>
          <cell r="B7">
            <v>37397</v>
          </cell>
          <cell r="C7">
            <v>34098</v>
          </cell>
          <cell r="D7">
            <v>29898</v>
          </cell>
          <cell r="E7">
            <v>24204</v>
          </cell>
          <cell r="F7">
            <v>17788</v>
          </cell>
          <cell r="G7">
            <v>11885</v>
          </cell>
          <cell r="H7">
            <v>7058</v>
          </cell>
          <cell r="I7">
            <v>6701</v>
          </cell>
          <cell r="J7">
            <v>10519</v>
          </cell>
          <cell r="K7">
            <v>14469</v>
          </cell>
          <cell r="L7">
            <v>17670</v>
          </cell>
          <cell r="M7">
            <v>17769</v>
          </cell>
          <cell r="N7">
            <v>17457</v>
          </cell>
          <cell r="O7">
            <v>37986</v>
          </cell>
        </row>
        <row r="8">
          <cell r="A8" t="str">
            <v>AC152</v>
          </cell>
          <cell r="B8">
            <v>6</v>
          </cell>
          <cell r="C8">
            <v>6</v>
          </cell>
          <cell r="D8">
            <v>6</v>
          </cell>
          <cell r="E8">
            <v>6</v>
          </cell>
          <cell r="F8">
            <v>6</v>
          </cell>
          <cell r="G8">
            <v>6</v>
          </cell>
          <cell r="H8">
            <v>6</v>
          </cell>
          <cell r="I8">
            <v>5</v>
          </cell>
          <cell r="J8">
            <v>5</v>
          </cell>
          <cell r="K8">
            <v>5</v>
          </cell>
          <cell r="L8">
            <v>5</v>
          </cell>
          <cell r="M8">
            <v>5</v>
          </cell>
          <cell r="N8">
            <v>5</v>
          </cell>
          <cell r="O8">
            <v>37986</v>
          </cell>
        </row>
        <row r="9">
          <cell r="A9" t="str">
            <v>AC16501</v>
          </cell>
          <cell r="B9">
            <v>213</v>
          </cell>
          <cell r="C9">
            <v>361</v>
          </cell>
          <cell r="D9">
            <v>299</v>
          </cell>
          <cell r="E9">
            <v>469</v>
          </cell>
          <cell r="F9">
            <v>266</v>
          </cell>
          <cell r="G9">
            <v>0</v>
          </cell>
          <cell r="H9">
            <v>0</v>
          </cell>
          <cell r="I9">
            <v>0</v>
          </cell>
          <cell r="J9">
            <v>0</v>
          </cell>
          <cell r="K9">
            <v>0</v>
          </cell>
          <cell r="L9">
            <v>0</v>
          </cell>
          <cell r="M9">
            <v>0</v>
          </cell>
          <cell r="N9">
            <v>0</v>
          </cell>
          <cell r="O9">
            <v>37986</v>
          </cell>
        </row>
        <row r="10">
          <cell r="A10" t="str">
            <v>AC16507</v>
          </cell>
          <cell r="B10">
            <v>0</v>
          </cell>
          <cell r="C10">
            <v>0</v>
          </cell>
          <cell r="D10">
            <v>0</v>
          </cell>
          <cell r="E10">
            <v>0</v>
          </cell>
          <cell r="F10">
            <v>0</v>
          </cell>
          <cell r="G10">
            <v>0</v>
          </cell>
          <cell r="H10">
            <v>0</v>
          </cell>
          <cell r="I10">
            <v>0</v>
          </cell>
          <cell r="J10">
            <v>0</v>
          </cell>
          <cell r="K10">
            <v>0</v>
          </cell>
          <cell r="L10">
            <v>0</v>
          </cell>
          <cell r="M10">
            <v>0</v>
          </cell>
          <cell r="N10">
            <v>0</v>
          </cell>
          <cell r="O10">
            <v>37986</v>
          </cell>
        </row>
        <row r="11">
          <cell r="A11" t="str">
            <v>AC16596</v>
          </cell>
          <cell r="B11">
            <v>32</v>
          </cell>
          <cell r="C11">
            <v>348</v>
          </cell>
          <cell r="D11">
            <v>348</v>
          </cell>
          <cell r="E11">
            <v>348</v>
          </cell>
          <cell r="F11">
            <v>497</v>
          </cell>
          <cell r="G11">
            <v>0</v>
          </cell>
          <cell r="H11">
            <v>0</v>
          </cell>
          <cell r="I11">
            <v>0</v>
          </cell>
          <cell r="J11">
            <v>0</v>
          </cell>
          <cell r="K11">
            <v>0</v>
          </cell>
          <cell r="L11">
            <v>0</v>
          </cell>
          <cell r="M11">
            <v>0</v>
          </cell>
          <cell r="N11">
            <v>0</v>
          </cell>
          <cell r="O11">
            <v>37986</v>
          </cell>
        </row>
        <row r="12">
          <cell r="A12" t="str">
            <v>AC165XX</v>
          </cell>
          <cell r="B12">
            <v>0</v>
          </cell>
          <cell r="C12">
            <v>0</v>
          </cell>
          <cell r="D12">
            <v>0</v>
          </cell>
          <cell r="E12">
            <v>0</v>
          </cell>
          <cell r="F12">
            <v>0</v>
          </cell>
          <cell r="G12">
            <v>0</v>
          </cell>
          <cell r="H12">
            <v>0</v>
          </cell>
          <cell r="I12">
            <v>0</v>
          </cell>
          <cell r="J12">
            <v>0</v>
          </cell>
          <cell r="K12">
            <v>0</v>
          </cell>
          <cell r="L12">
            <v>0</v>
          </cell>
          <cell r="M12">
            <v>0</v>
          </cell>
          <cell r="N12">
            <v>0</v>
          </cell>
          <cell r="O12">
            <v>37986</v>
          </cell>
        </row>
        <row r="13">
          <cell r="A13" t="str">
            <v>AC18103</v>
          </cell>
          <cell r="B13">
            <v>0</v>
          </cell>
          <cell r="C13">
            <v>0</v>
          </cell>
          <cell r="D13">
            <v>0</v>
          </cell>
          <cell r="E13">
            <v>0</v>
          </cell>
          <cell r="F13">
            <v>0</v>
          </cell>
          <cell r="G13">
            <v>0</v>
          </cell>
          <cell r="H13">
            <v>0</v>
          </cell>
          <cell r="I13">
            <v>0</v>
          </cell>
          <cell r="J13">
            <v>0</v>
          </cell>
          <cell r="K13">
            <v>0</v>
          </cell>
          <cell r="L13">
            <v>0</v>
          </cell>
          <cell r="M13">
            <v>0</v>
          </cell>
          <cell r="N13">
            <v>0</v>
          </cell>
          <cell r="O13">
            <v>37986</v>
          </cell>
        </row>
        <row r="14">
          <cell r="A14" t="str">
            <v>AC18104</v>
          </cell>
          <cell r="B14">
            <v>161811</v>
          </cell>
          <cell r="C14">
            <v>164263</v>
          </cell>
          <cell r="D14">
            <v>166715</v>
          </cell>
          <cell r="E14">
            <v>169166</v>
          </cell>
          <cell r="F14">
            <v>171618</v>
          </cell>
          <cell r="G14">
            <v>174070</v>
          </cell>
          <cell r="H14">
            <v>176521</v>
          </cell>
          <cell r="I14">
            <v>178973</v>
          </cell>
          <cell r="J14">
            <v>181425</v>
          </cell>
          <cell r="K14">
            <v>183876</v>
          </cell>
          <cell r="L14">
            <v>186328</v>
          </cell>
          <cell r="M14">
            <v>188780</v>
          </cell>
          <cell r="N14">
            <v>191231</v>
          </cell>
          <cell r="O14">
            <v>37986</v>
          </cell>
        </row>
        <row r="15">
          <cell r="A15" t="str">
            <v>AC18105</v>
          </cell>
          <cell r="B15">
            <v>41978</v>
          </cell>
          <cell r="C15">
            <v>42199</v>
          </cell>
          <cell r="D15">
            <v>42420</v>
          </cell>
          <cell r="E15">
            <v>42641</v>
          </cell>
          <cell r="F15">
            <v>42862</v>
          </cell>
          <cell r="G15">
            <v>43083</v>
          </cell>
          <cell r="H15">
            <v>43304</v>
          </cell>
          <cell r="I15">
            <v>43524</v>
          </cell>
          <cell r="J15">
            <v>43745</v>
          </cell>
          <cell r="K15">
            <v>43966</v>
          </cell>
          <cell r="L15">
            <v>44187</v>
          </cell>
          <cell r="M15">
            <v>44408</v>
          </cell>
          <cell r="N15">
            <v>44629</v>
          </cell>
          <cell r="O15">
            <v>37986</v>
          </cell>
        </row>
        <row r="16">
          <cell r="A16" t="str">
            <v>AC18107</v>
          </cell>
          <cell r="B16">
            <v>155646</v>
          </cell>
          <cell r="C16">
            <v>156344</v>
          </cell>
          <cell r="D16">
            <v>157042</v>
          </cell>
          <cell r="E16">
            <v>157740</v>
          </cell>
          <cell r="F16">
            <v>158438</v>
          </cell>
          <cell r="G16">
            <v>159136</v>
          </cell>
          <cell r="H16">
            <v>159834</v>
          </cell>
          <cell r="I16">
            <v>160532</v>
          </cell>
          <cell r="J16">
            <v>161230</v>
          </cell>
          <cell r="K16">
            <v>161928</v>
          </cell>
          <cell r="L16">
            <v>162626</v>
          </cell>
          <cell r="M16">
            <v>163324</v>
          </cell>
          <cell r="N16">
            <v>164022</v>
          </cell>
          <cell r="O16">
            <v>37986</v>
          </cell>
        </row>
        <row r="17">
          <cell r="A17" t="str">
            <v>AC18110</v>
          </cell>
          <cell r="B17">
            <v>0</v>
          </cell>
          <cell r="C17">
            <v>0</v>
          </cell>
          <cell r="D17">
            <v>0</v>
          </cell>
          <cell r="E17">
            <v>0</v>
          </cell>
          <cell r="F17">
            <v>0</v>
          </cell>
          <cell r="G17">
            <v>0</v>
          </cell>
          <cell r="H17">
            <v>0</v>
          </cell>
          <cell r="I17">
            <v>0</v>
          </cell>
          <cell r="J17">
            <v>0</v>
          </cell>
          <cell r="K17">
            <v>0</v>
          </cell>
          <cell r="L17">
            <v>0</v>
          </cell>
          <cell r="M17">
            <v>0</v>
          </cell>
          <cell r="N17">
            <v>0</v>
          </cell>
          <cell r="O17">
            <v>37986</v>
          </cell>
        </row>
        <row r="18">
          <cell r="A18" t="str">
            <v>AC18116</v>
          </cell>
          <cell r="B18">
            <v>124891</v>
          </cell>
          <cell r="C18">
            <v>126115</v>
          </cell>
          <cell r="D18">
            <v>127340</v>
          </cell>
          <cell r="E18">
            <v>128564</v>
          </cell>
          <cell r="F18">
            <v>129789</v>
          </cell>
          <cell r="G18">
            <v>131013</v>
          </cell>
          <cell r="H18">
            <v>132237</v>
          </cell>
          <cell r="I18">
            <v>133462</v>
          </cell>
          <cell r="J18">
            <v>134686</v>
          </cell>
          <cell r="K18">
            <v>135911</v>
          </cell>
          <cell r="L18">
            <v>137135</v>
          </cell>
          <cell r="M18">
            <v>138359</v>
          </cell>
          <cell r="N18">
            <v>139584</v>
          </cell>
          <cell r="O18">
            <v>37986</v>
          </cell>
        </row>
        <row r="19">
          <cell r="A19" t="str">
            <v>AC1812F</v>
          </cell>
          <cell r="B19">
            <v>0</v>
          </cell>
          <cell r="C19">
            <v>0</v>
          </cell>
          <cell r="D19">
            <v>0</v>
          </cell>
          <cell r="E19">
            <v>0</v>
          </cell>
          <cell r="F19">
            <v>0</v>
          </cell>
          <cell r="G19">
            <v>0</v>
          </cell>
          <cell r="H19">
            <v>0</v>
          </cell>
          <cell r="I19">
            <v>0</v>
          </cell>
          <cell r="J19">
            <v>0</v>
          </cell>
          <cell r="K19">
            <v>0</v>
          </cell>
          <cell r="L19">
            <v>0</v>
          </cell>
          <cell r="M19">
            <v>0</v>
          </cell>
          <cell r="N19">
            <v>0</v>
          </cell>
          <cell r="O19">
            <v>37986</v>
          </cell>
        </row>
        <row r="20">
          <cell r="A20" t="str">
            <v>AC181WM</v>
          </cell>
          <cell r="B20">
            <v>0</v>
          </cell>
          <cell r="C20">
            <v>0</v>
          </cell>
          <cell r="D20">
            <v>0</v>
          </cell>
          <cell r="E20">
            <v>18</v>
          </cell>
          <cell r="F20">
            <v>0</v>
          </cell>
          <cell r="G20">
            <v>0</v>
          </cell>
          <cell r="H20">
            <v>0</v>
          </cell>
          <cell r="I20">
            <v>0</v>
          </cell>
          <cell r="J20">
            <v>0</v>
          </cell>
          <cell r="K20">
            <v>0</v>
          </cell>
          <cell r="L20">
            <v>0</v>
          </cell>
          <cell r="M20">
            <v>0</v>
          </cell>
          <cell r="N20">
            <v>0</v>
          </cell>
          <cell r="O20">
            <v>37986</v>
          </cell>
        </row>
        <row r="21">
          <cell r="A21" t="str">
            <v>AC181Y8</v>
          </cell>
          <cell r="B21">
            <v>110260</v>
          </cell>
          <cell r="C21">
            <v>110716</v>
          </cell>
          <cell r="D21">
            <v>111171</v>
          </cell>
          <cell r="E21">
            <v>111627</v>
          </cell>
          <cell r="F21">
            <v>112083</v>
          </cell>
          <cell r="G21">
            <v>112538</v>
          </cell>
          <cell r="H21">
            <v>112994</v>
          </cell>
          <cell r="I21">
            <v>113449</v>
          </cell>
          <cell r="J21">
            <v>113905</v>
          </cell>
          <cell r="K21">
            <v>114361</v>
          </cell>
          <cell r="L21">
            <v>114816</v>
          </cell>
          <cell r="M21">
            <v>115272</v>
          </cell>
          <cell r="N21">
            <v>115727</v>
          </cell>
          <cell r="O21">
            <v>37986</v>
          </cell>
        </row>
        <row r="22">
          <cell r="A22" t="str">
            <v>AC181Y9</v>
          </cell>
          <cell r="B22">
            <v>30451</v>
          </cell>
          <cell r="C22">
            <v>31973</v>
          </cell>
          <cell r="D22">
            <v>33496</v>
          </cell>
          <cell r="E22">
            <v>35018</v>
          </cell>
          <cell r="F22">
            <v>36541</v>
          </cell>
          <cell r="G22">
            <v>38063</v>
          </cell>
          <cell r="H22">
            <v>39586</v>
          </cell>
          <cell r="I22">
            <v>41108</v>
          </cell>
          <cell r="J22">
            <v>42631</v>
          </cell>
          <cell r="K22">
            <v>44154</v>
          </cell>
          <cell r="L22">
            <v>45676</v>
          </cell>
          <cell r="M22">
            <v>47199</v>
          </cell>
          <cell r="N22">
            <v>48721</v>
          </cell>
          <cell r="O22">
            <v>37986</v>
          </cell>
        </row>
        <row r="23">
          <cell r="A23" t="str">
            <v>AC181YG</v>
          </cell>
          <cell r="B23">
            <v>1630</v>
          </cell>
          <cell r="C23">
            <v>1630</v>
          </cell>
          <cell r="D23">
            <v>1630</v>
          </cell>
          <cell r="E23">
            <v>1630</v>
          </cell>
          <cell r="F23">
            <v>1630</v>
          </cell>
          <cell r="G23">
            <v>1630</v>
          </cell>
          <cell r="H23">
            <v>1630</v>
          </cell>
          <cell r="I23">
            <v>0</v>
          </cell>
          <cell r="J23">
            <v>0</v>
          </cell>
          <cell r="K23">
            <v>0</v>
          </cell>
          <cell r="L23">
            <v>0</v>
          </cell>
          <cell r="M23">
            <v>0</v>
          </cell>
          <cell r="N23">
            <v>0</v>
          </cell>
          <cell r="O23">
            <v>37986</v>
          </cell>
        </row>
        <row r="24">
          <cell r="A24" t="str">
            <v>AC1826A</v>
          </cell>
          <cell r="B24">
            <v>68</v>
          </cell>
          <cell r="C24">
            <v>75</v>
          </cell>
          <cell r="D24">
            <v>82</v>
          </cell>
          <cell r="E24">
            <v>89</v>
          </cell>
          <cell r="F24">
            <v>96</v>
          </cell>
          <cell r="G24">
            <v>0</v>
          </cell>
          <cell r="H24">
            <v>0</v>
          </cell>
          <cell r="I24">
            <v>0</v>
          </cell>
          <cell r="J24">
            <v>0</v>
          </cell>
          <cell r="K24">
            <v>0</v>
          </cell>
          <cell r="L24">
            <v>0</v>
          </cell>
          <cell r="M24">
            <v>0</v>
          </cell>
          <cell r="N24">
            <v>0</v>
          </cell>
          <cell r="O24">
            <v>37986</v>
          </cell>
        </row>
        <row r="25">
          <cell r="A25" t="str">
            <v>AC18274</v>
          </cell>
          <cell r="B25">
            <v>11</v>
          </cell>
          <cell r="C25">
            <v>12</v>
          </cell>
          <cell r="D25">
            <v>13</v>
          </cell>
          <cell r="E25">
            <v>14</v>
          </cell>
          <cell r="F25">
            <v>15</v>
          </cell>
          <cell r="G25">
            <v>0</v>
          </cell>
          <cell r="H25">
            <v>0</v>
          </cell>
          <cell r="I25">
            <v>0</v>
          </cell>
          <cell r="J25">
            <v>0</v>
          </cell>
          <cell r="K25">
            <v>0</v>
          </cell>
          <cell r="L25">
            <v>0</v>
          </cell>
          <cell r="M25">
            <v>0</v>
          </cell>
          <cell r="N25">
            <v>0</v>
          </cell>
          <cell r="O25">
            <v>37986</v>
          </cell>
        </row>
        <row r="26">
          <cell r="A26" t="str">
            <v>AC182DE</v>
          </cell>
          <cell r="B26">
            <v>137</v>
          </cell>
          <cell r="C26">
            <v>150</v>
          </cell>
          <cell r="D26">
            <v>164</v>
          </cell>
          <cell r="E26">
            <v>178</v>
          </cell>
          <cell r="F26">
            <v>191</v>
          </cell>
          <cell r="G26">
            <v>0</v>
          </cell>
          <cell r="H26">
            <v>0</v>
          </cell>
          <cell r="I26">
            <v>0</v>
          </cell>
          <cell r="J26">
            <v>0</v>
          </cell>
          <cell r="K26">
            <v>0</v>
          </cell>
          <cell r="L26">
            <v>0</v>
          </cell>
          <cell r="M26">
            <v>0</v>
          </cell>
          <cell r="N26">
            <v>0</v>
          </cell>
          <cell r="O26">
            <v>37986</v>
          </cell>
        </row>
        <row r="27">
          <cell r="A27" t="str">
            <v>AC182DK</v>
          </cell>
          <cell r="B27">
            <v>11764</v>
          </cell>
          <cell r="C27">
            <v>15223</v>
          </cell>
          <cell r="D27">
            <v>13447</v>
          </cell>
          <cell r="E27">
            <v>18654</v>
          </cell>
          <cell r="F27">
            <v>8139</v>
          </cell>
          <cell r="G27">
            <v>0</v>
          </cell>
          <cell r="H27">
            <v>0</v>
          </cell>
          <cell r="I27">
            <v>0</v>
          </cell>
          <cell r="J27">
            <v>0</v>
          </cell>
          <cell r="K27">
            <v>0</v>
          </cell>
          <cell r="L27">
            <v>0</v>
          </cell>
          <cell r="M27">
            <v>0</v>
          </cell>
          <cell r="N27">
            <v>0</v>
          </cell>
          <cell r="O27">
            <v>37986</v>
          </cell>
        </row>
        <row r="28">
          <cell r="A28" t="str">
            <v>AC182DP</v>
          </cell>
          <cell r="B28">
            <v>32</v>
          </cell>
          <cell r="C28">
            <v>35</v>
          </cell>
          <cell r="D28">
            <v>38</v>
          </cell>
          <cell r="E28">
            <v>41</v>
          </cell>
          <cell r="F28">
            <v>44</v>
          </cell>
          <cell r="G28">
            <v>0</v>
          </cell>
          <cell r="H28">
            <v>0</v>
          </cell>
          <cell r="I28">
            <v>0</v>
          </cell>
          <cell r="J28">
            <v>0</v>
          </cell>
          <cell r="K28">
            <v>0</v>
          </cell>
          <cell r="L28">
            <v>0</v>
          </cell>
          <cell r="M28">
            <v>0</v>
          </cell>
          <cell r="N28">
            <v>0</v>
          </cell>
          <cell r="O28">
            <v>37986</v>
          </cell>
        </row>
        <row r="29">
          <cell r="A29" t="str">
            <v>AC182DS</v>
          </cell>
          <cell r="B29">
            <v>42</v>
          </cell>
          <cell r="C29">
            <v>46</v>
          </cell>
          <cell r="D29">
            <v>50</v>
          </cell>
          <cell r="E29">
            <v>55</v>
          </cell>
          <cell r="F29">
            <v>59</v>
          </cell>
          <cell r="G29">
            <v>0</v>
          </cell>
          <cell r="H29">
            <v>0</v>
          </cell>
          <cell r="I29">
            <v>0</v>
          </cell>
          <cell r="J29">
            <v>0</v>
          </cell>
          <cell r="K29">
            <v>0</v>
          </cell>
          <cell r="L29">
            <v>0</v>
          </cell>
          <cell r="M29">
            <v>0</v>
          </cell>
          <cell r="N29">
            <v>0</v>
          </cell>
          <cell r="O29">
            <v>37986</v>
          </cell>
        </row>
        <row r="30">
          <cell r="A30" t="str">
            <v>AC182GV</v>
          </cell>
          <cell r="B30">
            <v>-2</v>
          </cell>
          <cell r="C30">
            <v>5</v>
          </cell>
          <cell r="D30">
            <v>12</v>
          </cell>
          <cell r="E30">
            <v>13</v>
          </cell>
          <cell r="F30">
            <v>14</v>
          </cell>
          <cell r="G30">
            <v>0</v>
          </cell>
          <cell r="H30">
            <v>0</v>
          </cell>
          <cell r="I30">
            <v>0</v>
          </cell>
          <cell r="J30">
            <v>0</v>
          </cell>
          <cell r="K30">
            <v>0</v>
          </cell>
          <cell r="L30">
            <v>0</v>
          </cell>
          <cell r="M30">
            <v>0</v>
          </cell>
          <cell r="N30">
            <v>0</v>
          </cell>
          <cell r="O30">
            <v>37986</v>
          </cell>
        </row>
        <row r="31">
          <cell r="A31" t="str">
            <v>AC182HM</v>
          </cell>
          <cell r="B31">
            <v>8052</v>
          </cell>
          <cell r="C31">
            <v>8827</v>
          </cell>
          <cell r="D31">
            <v>6168</v>
          </cell>
          <cell r="E31">
            <v>7064</v>
          </cell>
          <cell r="F31">
            <v>7551</v>
          </cell>
          <cell r="G31">
            <v>0</v>
          </cell>
          <cell r="H31">
            <v>0</v>
          </cell>
          <cell r="I31">
            <v>0</v>
          </cell>
          <cell r="J31">
            <v>0</v>
          </cell>
          <cell r="K31">
            <v>0</v>
          </cell>
          <cell r="L31">
            <v>0</v>
          </cell>
          <cell r="M31">
            <v>0</v>
          </cell>
          <cell r="N31">
            <v>0</v>
          </cell>
          <cell r="O31">
            <v>37986</v>
          </cell>
        </row>
        <row r="32">
          <cell r="A32" t="str">
            <v>AC182HR</v>
          </cell>
          <cell r="B32">
            <v>0</v>
          </cell>
          <cell r="C32">
            <v>0</v>
          </cell>
          <cell r="D32">
            <v>0</v>
          </cell>
          <cell r="E32">
            <v>0</v>
          </cell>
          <cell r="F32">
            <v>0</v>
          </cell>
          <cell r="G32">
            <v>0</v>
          </cell>
          <cell r="H32">
            <v>0</v>
          </cell>
          <cell r="I32">
            <v>0</v>
          </cell>
          <cell r="J32">
            <v>0</v>
          </cell>
          <cell r="K32">
            <v>0</v>
          </cell>
          <cell r="L32">
            <v>0</v>
          </cell>
          <cell r="M32">
            <v>0</v>
          </cell>
          <cell r="N32">
            <v>0</v>
          </cell>
          <cell r="O32">
            <v>37986</v>
          </cell>
        </row>
        <row r="33">
          <cell r="A33" t="str">
            <v>AC182HW</v>
          </cell>
          <cell r="B33">
            <v>7364</v>
          </cell>
          <cell r="C33">
            <v>7140</v>
          </cell>
          <cell r="D33">
            <v>6797</v>
          </cell>
          <cell r="E33">
            <v>5991</v>
          </cell>
          <cell r="F33">
            <v>4226</v>
          </cell>
          <cell r="G33">
            <v>0</v>
          </cell>
          <cell r="H33">
            <v>0</v>
          </cell>
          <cell r="I33">
            <v>0</v>
          </cell>
          <cell r="J33">
            <v>0</v>
          </cell>
          <cell r="K33">
            <v>0</v>
          </cell>
          <cell r="L33">
            <v>0</v>
          </cell>
          <cell r="M33">
            <v>0</v>
          </cell>
          <cell r="N33">
            <v>0</v>
          </cell>
          <cell r="O33">
            <v>37986</v>
          </cell>
        </row>
        <row r="34">
          <cell r="A34" t="str">
            <v>AC182IN</v>
          </cell>
          <cell r="B34">
            <v>0</v>
          </cell>
          <cell r="C34">
            <v>0</v>
          </cell>
          <cell r="D34">
            <v>0</v>
          </cell>
          <cell r="E34">
            <v>0</v>
          </cell>
          <cell r="F34">
            <v>0</v>
          </cell>
          <cell r="G34">
            <v>0</v>
          </cell>
          <cell r="H34">
            <v>0</v>
          </cell>
          <cell r="I34">
            <v>0</v>
          </cell>
          <cell r="J34">
            <v>0</v>
          </cell>
          <cell r="K34">
            <v>0</v>
          </cell>
          <cell r="L34">
            <v>0</v>
          </cell>
          <cell r="M34">
            <v>0</v>
          </cell>
          <cell r="N34">
            <v>0</v>
          </cell>
          <cell r="O34">
            <v>37986</v>
          </cell>
        </row>
        <row r="35">
          <cell r="A35" t="str">
            <v>AC182MN</v>
          </cell>
          <cell r="B35">
            <v>292</v>
          </cell>
          <cell r="C35">
            <v>321</v>
          </cell>
          <cell r="D35">
            <v>351</v>
          </cell>
          <cell r="E35">
            <v>380</v>
          </cell>
          <cell r="F35">
            <v>409</v>
          </cell>
          <cell r="G35">
            <v>0</v>
          </cell>
          <cell r="H35">
            <v>0</v>
          </cell>
          <cell r="I35">
            <v>0</v>
          </cell>
          <cell r="J35">
            <v>0</v>
          </cell>
          <cell r="K35">
            <v>0</v>
          </cell>
          <cell r="L35">
            <v>0</v>
          </cell>
          <cell r="M35">
            <v>0</v>
          </cell>
          <cell r="N35">
            <v>0</v>
          </cell>
          <cell r="O35">
            <v>37986</v>
          </cell>
        </row>
        <row r="36">
          <cell r="A36" t="str">
            <v>AC182PR</v>
          </cell>
          <cell r="B36">
            <v>569</v>
          </cell>
          <cell r="C36">
            <v>598</v>
          </cell>
          <cell r="D36">
            <v>627</v>
          </cell>
          <cell r="E36">
            <v>576</v>
          </cell>
          <cell r="F36">
            <v>554</v>
          </cell>
          <cell r="G36">
            <v>0</v>
          </cell>
          <cell r="H36">
            <v>0</v>
          </cell>
          <cell r="I36">
            <v>0</v>
          </cell>
          <cell r="J36">
            <v>0</v>
          </cell>
          <cell r="K36">
            <v>0</v>
          </cell>
          <cell r="L36">
            <v>0</v>
          </cell>
          <cell r="M36">
            <v>0</v>
          </cell>
          <cell r="N36">
            <v>0</v>
          </cell>
          <cell r="O36">
            <v>37986</v>
          </cell>
        </row>
        <row r="37">
          <cell r="A37" t="str">
            <v>AC182SG</v>
          </cell>
          <cell r="B37">
            <v>10</v>
          </cell>
          <cell r="C37">
            <v>11</v>
          </cell>
          <cell r="D37">
            <v>12</v>
          </cell>
          <cell r="E37">
            <v>13</v>
          </cell>
          <cell r="F37">
            <v>14</v>
          </cell>
          <cell r="G37">
            <v>0</v>
          </cell>
          <cell r="H37">
            <v>0</v>
          </cell>
          <cell r="I37">
            <v>0</v>
          </cell>
          <cell r="J37">
            <v>0</v>
          </cell>
          <cell r="K37">
            <v>0</v>
          </cell>
          <cell r="L37">
            <v>0</v>
          </cell>
          <cell r="M37">
            <v>0</v>
          </cell>
          <cell r="N37">
            <v>0</v>
          </cell>
          <cell r="O37">
            <v>37986</v>
          </cell>
        </row>
        <row r="38">
          <cell r="A38" t="str">
            <v>AC182TE</v>
          </cell>
          <cell r="B38">
            <v>0</v>
          </cell>
          <cell r="C38">
            <v>0</v>
          </cell>
          <cell r="D38">
            <v>0</v>
          </cell>
          <cell r="E38">
            <v>0</v>
          </cell>
          <cell r="F38">
            <v>0</v>
          </cell>
          <cell r="G38">
            <v>0</v>
          </cell>
          <cell r="H38">
            <v>0</v>
          </cell>
          <cell r="I38">
            <v>0</v>
          </cell>
          <cell r="J38">
            <v>0</v>
          </cell>
          <cell r="K38">
            <v>0</v>
          </cell>
          <cell r="L38">
            <v>0</v>
          </cell>
          <cell r="M38">
            <v>0</v>
          </cell>
          <cell r="N38">
            <v>0</v>
          </cell>
          <cell r="O38">
            <v>37986</v>
          </cell>
        </row>
        <row r="39">
          <cell r="A39" t="str">
            <v>AC182TR</v>
          </cell>
          <cell r="B39">
            <v>1537</v>
          </cell>
          <cell r="C39">
            <v>1657</v>
          </cell>
          <cell r="D39">
            <v>1626</v>
          </cell>
          <cell r="E39">
            <v>1715</v>
          </cell>
          <cell r="F39">
            <v>1732</v>
          </cell>
          <cell r="G39">
            <v>0</v>
          </cell>
          <cell r="H39">
            <v>0</v>
          </cell>
          <cell r="I39">
            <v>0</v>
          </cell>
          <cell r="J39">
            <v>0</v>
          </cell>
          <cell r="K39">
            <v>0</v>
          </cell>
          <cell r="L39">
            <v>0</v>
          </cell>
          <cell r="M39">
            <v>0</v>
          </cell>
          <cell r="N39">
            <v>0</v>
          </cell>
          <cell r="O39">
            <v>37986</v>
          </cell>
        </row>
        <row r="40">
          <cell r="A40" t="str">
            <v>AC182YZ</v>
          </cell>
          <cell r="B40">
            <v>0</v>
          </cell>
          <cell r="C40">
            <v>0</v>
          </cell>
          <cell r="D40">
            <v>0</v>
          </cell>
          <cell r="E40">
            <v>0</v>
          </cell>
          <cell r="F40">
            <v>0</v>
          </cell>
          <cell r="G40">
            <v>0</v>
          </cell>
          <cell r="H40">
            <v>0</v>
          </cell>
          <cell r="I40">
            <v>0</v>
          </cell>
          <cell r="J40">
            <v>0</v>
          </cell>
          <cell r="K40">
            <v>0</v>
          </cell>
          <cell r="L40">
            <v>0</v>
          </cell>
          <cell r="M40">
            <v>0</v>
          </cell>
          <cell r="N40">
            <v>0</v>
          </cell>
          <cell r="O40">
            <v>37986</v>
          </cell>
        </row>
        <row r="41">
          <cell r="A41" t="str">
            <v>AC1863E</v>
          </cell>
          <cell r="B41">
            <v>82</v>
          </cell>
          <cell r="C41">
            <v>90</v>
          </cell>
          <cell r="D41">
            <v>98</v>
          </cell>
          <cell r="E41">
            <v>106</v>
          </cell>
          <cell r="F41">
            <v>115</v>
          </cell>
          <cell r="G41">
            <v>0</v>
          </cell>
          <cell r="H41">
            <v>0</v>
          </cell>
          <cell r="I41">
            <v>0</v>
          </cell>
          <cell r="J41">
            <v>0</v>
          </cell>
          <cell r="K41">
            <v>0</v>
          </cell>
          <cell r="L41">
            <v>0</v>
          </cell>
          <cell r="M41">
            <v>0</v>
          </cell>
          <cell r="N41">
            <v>0</v>
          </cell>
          <cell r="O41">
            <v>37986</v>
          </cell>
        </row>
        <row r="42">
          <cell r="A42" t="str">
            <v>AC186DF</v>
          </cell>
          <cell r="B42">
            <v>786</v>
          </cell>
          <cell r="C42">
            <v>864</v>
          </cell>
          <cell r="D42">
            <v>943</v>
          </cell>
          <cell r="E42">
            <v>1022</v>
          </cell>
          <cell r="F42">
            <v>1100</v>
          </cell>
          <cell r="G42">
            <v>0</v>
          </cell>
          <cell r="H42">
            <v>0</v>
          </cell>
          <cell r="I42">
            <v>0</v>
          </cell>
          <cell r="J42">
            <v>0</v>
          </cell>
          <cell r="K42">
            <v>0</v>
          </cell>
          <cell r="L42">
            <v>0</v>
          </cell>
          <cell r="M42">
            <v>0</v>
          </cell>
          <cell r="N42">
            <v>0</v>
          </cell>
          <cell r="O42">
            <v>37986</v>
          </cell>
        </row>
        <row r="43">
          <cell r="A43" t="str">
            <v>AC186FC</v>
          </cell>
          <cell r="B43">
            <v>0</v>
          </cell>
          <cell r="C43">
            <v>0</v>
          </cell>
          <cell r="D43">
            <v>0</v>
          </cell>
          <cell r="E43">
            <v>0</v>
          </cell>
          <cell r="F43">
            <v>184</v>
          </cell>
          <cell r="G43">
            <v>0</v>
          </cell>
          <cell r="H43">
            <v>0</v>
          </cell>
          <cell r="I43">
            <v>0</v>
          </cell>
          <cell r="J43">
            <v>0</v>
          </cell>
          <cell r="K43">
            <v>0</v>
          </cell>
          <cell r="L43">
            <v>0</v>
          </cell>
          <cell r="M43">
            <v>0</v>
          </cell>
          <cell r="N43">
            <v>0</v>
          </cell>
          <cell r="O43">
            <v>37986</v>
          </cell>
        </row>
        <row r="44">
          <cell r="A44" t="str">
            <v>AC18903</v>
          </cell>
          <cell r="B44">
            <v>272087</v>
          </cell>
          <cell r="C44">
            <v>276210</v>
          </cell>
          <cell r="D44">
            <v>280332</v>
          </cell>
          <cell r="E44">
            <v>284455</v>
          </cell>
          <cell r="F44">
            <v>288577</v>
          </cell>
          <cell r="G44">
            <v>292700</v>
          </cell>
          <cell r="H44">
            <v>296822</v>
          </cell>
          <cell r="I44">
            <v>300945</v>
          </cell>
          <cell r="J44">
            <v>305067</v>
          </cell>
          <cell r="K44">
            <v>309190</v>
          </cell>
          <cell r="L44">
            <v>313312</v>
          </cell>
          <cell r="M44">
            <v>317435</v>
          </cell>
          <cell r="N44">
            <v>321557</v>
          </cell>
          <cell r="O44">
            <v>37986</v>
          </cell>
        </row>
        <row r="45">
          <cell r="A45" t="str">
            <v>AC190DG</v>
          </cell>
          <cell r="B45">
            <v>-1317</v>
          </cell>
          <cell r="C45">
            <v>-1215</v>
          </cell>
          <cell r="D45">
            <v>-1217</v>
          </cell>
          <cell r="E45">
            <v>-1130</v>
          </cell>
          <cell r="F45">
            <v>-770</v>
          </cell>
          <cell r="G45">
            <v>0</v>
          </cell>
          <cell r="H45">
            <v>0</v>
          </cell>
          <cell r="I45">
            <v>0</v>
          </cell>
          <cell r="J45">
            <v>0</v>
          </cell>
          <cell r="K45">
            <v>0</v>
          </cell>
          <cell r="L45">
            <v>0</v>
          </cell>
          <cell r="M45">
            <v>0</v>
          </cell>
          <cell r="N45">
            <v>0</v>
          </cell>
          <cell r="O45">
            <v>37986</v>
          </cell>
        </row>
        <row r="46">
          <cell r="A46" t="str">
            <v>AC190DK</v>
          </cell>
          <cell r="B46">
            <v>-1975</v>
          </cell>
          <cell r="C46">
            <v>-1826</v>
          </cell>
          <cell r="D46">
            <v>-1830</v>
          </cell>
          <cell r="E46">
            <v>-1704</v>
          </cell>
          <cell r="F46">
            <v>-1161</v>
          </cell>
          <cell r="G46">
            <v>0</v>
          </cell>
          <cell r="H46">
            <v>0</v>
          </cell>
          <cell r="I46">
            <v>0</v>
          </cell>
          <cell r="J46">
            <v>0</v>
          </cell>
          <cell r="K46">
            <v>0</v>
          </cell>
          <cell r="L46">
            <v>0</v>
          </cell>
          <cell r="M46">
            <v>0</v>
          </cell>
          <cell r="N46">
            <v>0</v>
          </cell>
          <cell r="O46">
            <v>37986</v>
          </cell>
        </row>
        <row r="47">
          <cell r="A47" t="str">
            <v>AC22105</v>
          </cell>
          <cell r="B47">
            <v>-15200000</v>
          </cell>
          <cell r="C47">
            <v>-15200000</v>
          </cell>
          <cell r="D47">
            <v>-16150000</v>
          </cell>
          <cell r="E47">
            <v>-16150000</v>
          </cell>
          <cell r="F47">
            <v>-16150000</v>
          </cell>
          <cell r="G47">
            <v>-16150000</v>
          </cell>
          <cell r="H47">
            <v>-16150000</v>
          </cell>
          <cell r="I47">
            <v>-16150000</v>
          </cell>
          <cell r="J47">
            <v>-16150000</v>
          </cell>
          <cell r="K47">
            <v>-16150000</v>
          </cell>
          <cell r="L47">
            <v>-16150000</v>
          </cell>
          <cell r="M47">
            <v>-16150000</v>
          </cell>
          <cell r="N47">
            <v>-16150000</v>
          </cell>
          <cell r="O47">
            <v>37986</v>
          </cell>
        </row>
        <row r="48">
          <cell r="A48" t="str">
            <v>AC22106</v>
          </cell>
          <cell r="B48">
            <v>-20000000</v>
          </cell>
          <cell r="C48">
            <v>-20000000</v>
          </cell>
          <cell r="D48">
            <v>-20000000</v>
          </cell>
          <cell r="E48">
            <v>-20000000</v>
          </cell>
          <cell r="F48">
            <v>-20000000</v>
          </cell>
          <cell r="G48">
            <v>-20000000</v>
          </cell>
          <cell r="H48">
            <v>-20000000</v>
          </cell>
          <cell r="I48">
            <v>-20000000</v>
          </cell>
          <cell r="J48">
            <v>-20000000</v>
          </cell>
          <cell r="K48">
            <v>-20000000</v>
          </cell>
          <cell r="L48">
            <v>-20000000</v>
          </cell>
          <cell r="M48">
            <v>-20000000</v>
          </cell>
          <cell r="N48">
            <v>-20000000</v>
          </cell>
          <cell r="O48">
            <v>37986</v>
          </cell>
        </row>
        <row r="49">
          <cell r="A49" t="str">
            <v>AC22107</v>
          </cell>
          <cell r="B49">
            <v>-20000000</v>
          </cell>
          <cell r="C49">
            <v>-20000000</v>
          </cell>
          <cell r="D49">
            <v>-20000000</v>
          </cell>
          <cell r="E49">
            <v>-20000000</v>
          </cell>
          <cell r="F49">
            <v>-20000000</v>
          </cell>
          <cell r="G49">
            <v>-20000000</v>
          </cell>
          <cell r="H49">
            <v>-20000000</v>
          </cell>
          <cell r="I49">
            <v>-20000000</v>
          </cell>
          <cell r="J49">
            <v>-20000000</v>
          </cell>
          <cell r="K49">
            <v>-20000000</v>
          </cell>
          <cell r="L49">
            <v>-20000000</v>
          </cell>
          <cell r="M49">
            <v>-20000000</v>
          </cell>
          <cell r="N49">
            <v>-20000000</v>
          </cell>
          <cell r="O49">
            <v>37986</v>
          </cell>
        </row>
        <row r="50">
          <cell r="A50" t="str">
            <v>AC22109</v>
          </cell>
          <cell r="B50">
            <v>-30000000</v>
          </cell>
          <cell r="C50">
            <v>-30000000</v>
          </cell>
          <cell r="D50">
            <v>-30000000</v>
          </cell>
          <cell r="E50">
            <v>-30000000</v>
          </cell>
          <cell r="F50">
            <v>-30000000</v>
          </cell>
          <cell r="G50">
            <v>-30000000</v>
          </cell>
          <cell r="H50">
            <v>-30000000</v>
          </cell>
          <cell r="I50">
            <v>-30000000</v>
          </cell>
          <cell r="J50">
            <v>-30000000</v>
          </cell>
          <cell r="K50">
            <v>-30000000</v>
          </cell>
          <cell r="L50">
            <v>-30000000</v>
          </cell>
          <cell r="M50">
            <v>-30000000</v>
          </cell>
          <cell r="N50">
            <v>-30000000</v>
          </cell>
          <cell r="O50">
            <v>37986</v>
          </cell>
        </row>
        <row r="51">
          <cell r="A51" t="str">
            <v>AC22110</v>
          </cell>
          <cell r="B51">
            <v>-50000000</v>
          </cell>
          <cell r="C51">
            <v>-50000000</v>
          </cell>
          <cell r="D51">
            <v>-50000000</v>
          </cell>
          <cell r="E51">
            <v>-50000000</v>
          </cell>
          <cell r="F51">
            <v>-50000000</v>
          </cell>
          <cell r="G51">
            <v>-50000000</v>
          </cell>
          <cell r="H51">
            <v>-50000000</v>
          </cell>
          <cell r="I51">
            <v>-50000000</v>
          </cell>
          <cell r="J51">
            <v>-50000000</v>
          </cell>
          <cell r="K51">
            <v>-50000000</v>
          </cell>
          <cell r="L51">
            <v>-50000000</v>
          </cell>
          <cell r="M51">
            <v>-50000000</v>
          </cell>
          <cell r="N51">
            <v>-50000000</v>
          </cell>
          <cell r="O51">
            <v>37986</v>
          </cell>
        </row>
        <row r="52">
          <cell r="A52" t="str">
            <v>AC22111</v>
          </cell>
          <cell r="B52">
            <v>-20000000</v>
          </cell>
          <cell r="C52">
            <v>-20000000</v>
          </cell>
          <cell r="D52">
            <v>-20000000</v>
          </cell>
          <cell r="E52">
            <v>-20000000</v>
          </cell>
          <cell r="F52">
            <v>-20000000</v>
          </cell>
          <cell r="G52">
            <v>-20000000</v>
          </cell>
          <cell r="H52">
            <v>-20000000</v>
          </cell>
          <cell r="I52">
            <v>-20000000</v>
          </cell>
          <cell r="J52">
            <v>-20000000</v>
          </cell>
          <cell r="K52">
            <v>-20000000</v>
          </cell>
          <cell r="L52">
            <v>-20000000</v>
          </cell>
          <cell r="M52">
            <v>-20000000</v>
          </cell>
          <cell r="N52">
            <v>-20000000</v>
          </cell>
          <cell r="O52">
            <v>37986</v>
          </cell>
        </row>
        <row r="53">
          <cell r="A53" t="str">
            <v>AC22198</v>
          </cell>
          <cell r="B53">
            <v>3188647</v>
          </cell>
          <cell r="C53">
            <v>3258305</v>
          </cell>
          <cell r="D53">
            <v>3327963</v>
          </cell>
          <cell r="E53">
            <v>3397621</v>
          </cell>
          <cell r="F53">
            <v>3467279</v>
          </cell>
          <cell r="G53">
            <v>3536937</v>
          </cell>
          <cell r="H53">
            <v>3606595</v>
          </cell>
          <cell r="I53">
            <v>3676253</v>
          </cell>
          <cell r="J53">
            <v>3745911</v>
          </cell>
          <cell r="K53">
            <v>3815569</v>
          </cell>
          <cell r="L53">
            <v>3884408</v>
          </cell>
          <cell r="M53">
            <v>3953248</v>
          </cell>
          <cell r="N53">
            <v>4022087</v>
          </cell>
          <cell r="O53">
            <v>37986</v>
          </cell>
        </row>
        <row r="54">
          <cell r="A54" t="str">
            <v>AC2219A</v>
          </cell>
          <cell r="B54">
            <v>950000</v>
          </cell>
          <cell r="C54">
            <v>950000</v>
          </cell>
          <cell r="D54">
            <v>950000</v>
          </cell>
          <cell r="E54">
            <v>950000</v>
          </cell>
          <cell r="F54">
            <v>950000</v>
          </cell>
          <cell r="G54">
            <v>950000</v>
          </cell>
          <cell r="H54">
            <v>950000</v>
          </cell>
          <cell r="I54">
            <v>950000</v>
          </cell>
          <cell r="J54">
            <v>950000</v>
          </cell>
          <cell r="K54">
            <v>950000</v>
          </cell>
          <cell r="L54">
            <v>950000</v>
          </cell>
          <cell r="M54">
            <v>950000</v>
          </cell>
          <cell r="N54">
            <v>950000</v>
          </cell>
          <cell r="O54">
            <v>37986</v>
          </cell>
        </row>
        <row r="55">
          <cell r="A55" t="str">
            <v>AC2219B</v>
          </cell>
          <cell r="B55">
            <v>-950000</v>
          </cell>
          <cell r="C55">
            <v>-950000</v>
          </cell>
          <cell r="D55">
            <v>-950000</v>
          </cell>
          <cell r="E55">
            <v>-950000</v>
          </cell>
          <cell r="F55">
            <v>-950000</v>
          </cell>
          <cell r="G55">
            <v>-950000</v>
          </cell>
          <cell r="H55">
            <v>-950000</v>
          </cell>
          <cell r="I55">
            <v>-950000</v>
          </cell>
          <cell r="J55">
            <v>-950000</v>
          </cell>
          <cell r="K55">
            <v>-950000</v>
          </cell>
          <cell r="L55">
            <v>-950000</v>
          </cell>
          <cell r="M55">
            <v>-950000</v>
          </cell>
          <cell r="N55">
            <v>-950000</v>
          </cell>
          <cell r="O55">
            <v>37986</v>
          </cell>
        </row>
        <row r="56">
          <cell r="A56" t="str">
            <v>AC2249A</v>
          </cell>
          <cell r="B56">
            <v>0</v>
          </cell>
          <cell r="C56">
            <v>0</v>
          </cell>
          <cell r="D56">
            <v>0</v>
          </cell>
          <cell r="E56">
            <v>0</v>
          </cell>
          <cell r="F56">
            <v>0</v>
          </cell>
          <cell r="G56">
            <v>0</v>
          </cell>
          <cell r="H56">
            <v>0</v>
          </cell>
          <cell r="I56">
            <v>0</v>
          </cell>
          <cell r="J56">
            <v>0</v>
          </cell>
          <cell r="K56">
            <v>0</v>
          </cell>
          <cell r="L56">
            <v>0</v>
          </cell>
          <cell r="M56">
            <v>0</v>
          </cell>
          <cell r="N56">
            <v>0</v>
          </cell>
          <cell r="O56">
            <v>37986</v>
          </cell>
        </row>
        <row r="57">
          <cell r="A57" t="str">
            <v>AC22610</v>
          </cell>
          <cell r="B57">
            <v>5500</v>
          </cell>
          <cell r="C57">
            <v>5775</v>
          </cell>
          <cell r="D57">
            <v>6050</v>
          </cell>
          <cell r="E57">
            <v>6325</v>
          </cell>
          <cell r="F57">
            <v>6600</v>
          </cell>
          <cell r="G57">
            <v>6875</v>
          </cell>
          <cell r="H57">
            <v>7150</v>
          </cell>
          <cell r="I57">
            <v>7425</v>
          </cell>
          <cell r="J57">
            <v>7700</v>
          </cell>
          <cell r="K57">
            <v>7975</v>
          </cell>
          <cell r="L57">
            <v>8250</v>
          </cell>
          <cell r="M57">
            <v>8525</v>
          </cell>
          <cell r="N57">
            <v>8800</v>
          </cell>
          <cell r="O57">
            <v>37986</v>
          </cell>
        </row>
        <row r="58">
          <cell r="A58" t="str">
            <v>AC22820</v>
          </cell>
          <cell r="B58">
            <v>-212</v>
          </cell>
          <cell r="C58">
            <v>-371</v>
          </cell>
          <cell r="D58">
            <v>-373</v>
          </cell>
          <cell r="E58">
            <v>-351</v>
          </cell>
          <cell r="F58">
            <v>-352</v>
          </cell>
          <cell r="G58">
            <v>0</v>
          </cell>
          <cell r="H58">
            <v>0</v>
          </cell>
          <cell r="I58">
            <v>0</v>
          </cell>
          <cell r="J58">
            <v>0</v>
          </cell>
          <cell r="K58">
            <v>0</v>
          </cell>
          <cell r="L58">
            <v>0</v>
          </cell>
          <cell r="M58">
            <v>0</v>
          </cell>
          <cell r="N58">
            <v>0</v>
          </cell>
          <cell r="O58">
            <v>37986</v>
          </cell>
        </row>
        <row r="59">
          <cell r="A59" t="str">
            <v>AC22823</v>
          </cell>
          <cell r="B59">
            <v>-833</v>
          </cell>
          <cell r="C59">
            <v>-900</v>
          </cell>
          <cell r="D59">
            <v>-978</v>
          </cell>
          <cell r="E59">
            <v>-997</v>
          </cell>
          <cell r="F59">
            <v>-1042</v>
          </cell>
          <cell r="G59">
            <v>0</v>
          </cell>
          <cell r="H59">
            <v>0</v>
          </cell>
          <cell r="I59">
            <v>0</v>
          </cell>
          <cell r="J59">
            <v>0</v>
          </cell>
          <cell r="K59">
            <v>0</v>
          </cell>
          <cell r="L59">
            <v>0</v>
          </cell>
          <cell r="M59">
            <v>0</v>
          </cell>
          <cell r="N59">
            <v>0</v>
          </cell>
          <cell r="O59">
            <v>37986</v>
          </cell>
        </row>
        <row r="60">
          <cell r="A60" t="str">
            <v>AC22830</v>
          </cell>
          <cell r="B60">
            <v>-556</v>
          </cell>
          <cell r="C60">
            <v>-556</v>
          </cell>
          <cell r="D60">
            <v>-496</v>
          </cell>
          <cell r="E60">
            <v>-476</v>
          </cell>
          <cell r="F60">
            <v>-586</v>
          </cell>
          <cell r="G60">
            <v>0</v>
          </cell>
          <cell r="H60">
            <v>0</v>
          </cell>
          <cell r="I60">
            <v>0</v>
          </cell>
          <cell r="J60">
            <v>0</v>
          </cell>
          <cell r="K60">
            <v>0</v>
          </cell>
          <cell r="L60">
            <v>0</v>
          </cell>
          <cell r="M60">
            <v>0</v>
          </cell>
          <cell r="N60">
            <v>0</v>
          </cell>
          <cell r="O60">
            <v>37986</v>
          </cell>
        </row>
        <row r="61">
          <cell r="A61" t="str">
            <v>AC22831</v>
          </cell>
          <cell r="B61">
            <v>-292</v>
          </cell>
          <cell r="C61">
            <v>-263</v>
          </cell>
          <cell r="D61">
            <v>-231</v>
          </cell>
          <cell r="E61">
            <v>-203</v>
          </cell>
          <cell r="F61">
            <v>-181</v>
          </cell>
          <cell r="G61">
            <v>0</v>
          </cell>
          <cell r="H61">
            <v>0</v>
          </cell>
          <cell r="I61">
            <v>0</v>
          </cell>
          <cell r="J61">
            <v>0</v>
          </cell>
          <cell r="K61">
            <v>0</v>
          </cell>
          <cell r="L61">
            <v>0</v>
          </cell>
          <cell r="M61">
            <v>0</v>
          </cell>
          <cell r="N61">
            <v>0</v>
          </cell>
          <cell r="O61">
            <v>37986</v>
          </cell>
        </row>
        <row r="62">
          <cell r="A62" t="str">
            <v>AC22837</v>
          </cell>
          <cell r="B62">
            <v>-972</v>
          </cell>
          <cell r="C62">
            <v>-971</v>
          </cell>
          <cell r="D62">
            <v>-970</v>
          </cell>
          <cell r="E62">
            <v>-990</v>
          </cell>
          <cell r="F62">
            <v>-1030</v>
          </cell>
          <cell r="G62">
            <v>0</v>
          </cell>
          <cell r="H62">
            <v>0</v>
          </cell>
          <cell r="I62">
            <v>0</v>
          </cell>
          <cell r="J62">
            <v>0</v>
          </cell>
          <cell r="K62">
            <v>0</v>
          </cell>
          <cell r="L62">
            <v>0</v>
          </cell>
          <cell r="M62">
            <v>0</v>
          </cell>
          <cell r="N62">
            <v>0</v>
          </cell>
          <cell r="O62">
            <v>37986</v>
          </cell>
        </row>
        <row r="63">
          <cell r="A63" t="str">
            <v>AC229SE</v>
          </cell>
          <cell r="B63">
            <v>-6028</v>
          </cell>
          <cell r="C63">
            <v>-4363</v>
          </cell>
          <cell r="D63">
            <v>-3766</v>
          </cell>
          <cell r="E63">
            <v>-2926</v>
          </cell>
          <cell r="F63">
            <v>-1970</v>
          </cell>
          <cell r="G63">
            <v>0</v>
          </cell>
          <cell r="H63">
            <v>0</v>
          </cell>
          <cell r="I63">
            <v>0</v>
          </cell>
          <cell r="J63">
            <v>0</v>
          </cell>
          <cell r="K63">
            <v>0</v>
          </cell>
          <cell r="L63">
            <v>0</v>
          </cell>
          <cell r="M63">
            <v>0</v>
          </cell>
          <cell r="N63">
            <v>0</v>
          </cell>
          <cell r="O63">
            <v>37986</v>
          </cell>
        </row>
        <row r="64">
          <cell r="A64" t="str">
            <v>AC23101</v>
          </cell>
          <cell r="B64">
            <v>-10000000</v>
          </cell>
          <cell r="C64">
            <v>-10000000</v>
          </cell>
          <cell r="D64">
            <v>-15000000</v>
          </cell>
          <cell r="E64">
            <v>0</v>
          </cell>
          <cell r="F64">
            <v>-10000000</v>
          </cell>
          <cell r="G64">
            <v>-10000000</v>
          </cell>
          <cell r="H64">
            <v>-10000000</v>
          </cell>
          <cell r="I64">
            <v>-10000000</v>
          </cell>
          <cell r="J64">
            <v>-10000000</v>
          </cell>
          <cell r="K64">
            <v>0</v>
          </cell>
          <cell r="L64">
            <v>0</v>
          </cell>
          <cell r="M64">
            <v>-40000000</v>
          </cell>
          <cell r="N64">
            <v>-40000000</v>
          </cell>
          <cell r="O64">
            <v>37986</v>
          </cell>
        </row>
        <row r="65">
          <cell r="A65" t="str">
            <v>AC23227</v>
          </cell>
          <cell r="B65">
            <v>-150</v>
          </cell>
          <cell r="C65">
            <v>-150</v>
          </cell>
          <cell r="D65">
            <v>-150</v>
          </cell>
          <cell r="E65">
            <v>-210</v>
          </cell>
          <cell r="F65">
            <v>-210</v>
          </cell>
          <cell r="G65">
            <v>0</v>
          </cell>
          <cell r="H65">
            <v>0</v>
          </cell>
          <cell r="I65">
            <v>0</v>
          </cell>
          <cell r="J65">
            <v>0</v>
          </cell>
          <cell r="K65">
            <v>0</v>
          </cell>
          <cell r="L65">
            <v>0</v>
          </cell>
          <cell r="M65">
            <v>0</v>
          </cell>
          <cell r="N65">
            <v>0</v>
          </cell>
          <cell r="O65">
            <v>37986</v>
          </cell>
        </row>
        <row r="66">
          <cell r="A66" t="str">
            <v>AC23399</v>
          </cell>
          <cell r="B66">
            <v>0</v>
          </cell>
          <cell r="C66">
            <v>0</v>
          </cell>
          <cell r="D66">
            <v>-46300000</v>
          </cell>
          <cell r="E66">
            <v>-52900000</v>
          </cell>
          <cell r="F66">
            <v>-35900000</v>
          </cell>
          <cell r="G66">
            <v>-38000000</v>
          </cell>
          <cell r="H66">
            <v>-39600000</v>
          </cell>
          <cell r="I66">
            <v>-49600000</v>
          </cell>
          <cell r="J66">
            <v>-59700000</v>
          </cell>
          <cell r="K66">
            <v>-66000000</v>
          </cell>
          <cell r="L66">
            <v>-65700000</v>
          </cell>
          <cell r="M66">
            <v>-19800000</v>
          </cell>
          <cell r="N66">
            <v>-26000000</v>
          </cell>
          <cell r="O66">
            <v>37986</v>
          </cell>
        </row>
        <row r="67">
          <cell r="A67" t="str">
            <v>AC235</v>
          </cell>
          <cell r="B67">
            <v>-1348</v>
          </cell>
          <cell r="C67">
            <v>-1172</v>
          </cell>
          <cell r="D67">
            <v>-1054</v>
          </cell>
          <cell r="E67">
            <v>-917</v>
          </cell>
          <cell r="F67">
            <v>-676</v>
          </cell>
          <cell r="G67">
            <v>0</v>
          </cell>
          <cell r="H67">
            <v>0</v>
          </cell>
          <cell r="I67">
            <v>0</v>
          </cell>
          <cell r="J67">
            <v>0</v>
          </cell>
          <cell r="K67">
            <v>0</v>
          </cell>
          <cell r="L67">
            <v>0</v>
          </cell>
          <cell r="M67">
            <v>0</v>
          </cell>
          <cell r="N67">
            <v>0</v>
          </cell>
          <cell r="O67">
            <v>37986</v>
          </cell>
        </row>
        <row r="68">
          <cell r="A68" t="str">
            <v>AC23704</v>
          </cell>
          <cell r="B68">
            <v>-258333</v>
          </cell>
          <cell r="C68">
            <v>-258333</v>
          </cell>
          <cell r="D68">
            <v>-258333</v>
          </cell>
          <cell r="E68">
            <v>-258333</v>
          </cell>
          <cell r="F68">
            <v>-258333</v>
          </cell>
          <cell r="G68">
            <v>-258333</v>
          </cell>
          <cell r="H68">
            <v>-258333</v>
          </cell>
          <cell r="I68">
            <v>-258333</v>
          </cell>
          <cell r="J68">
            <v>-258333</v>
          </cell>
          <cell r="K68">
            <v>-258333</v>
          </cell>
          <cell r="L68">
            <v>-258333</v>
          </cell>
          <cell r="M68">
            <v>-258333</v>
          </cell>
          <cell r="N68">
            <v>0</v>
          </cell>
          <cell r="O68">
            <v>37986</v>
          </cell>
        </row>
        <row r="69">
          <cell r="A69" t="str">
            <v>AC23705</v>
          </cell>
          <cell r="B69">
            <v>-127553</v>
          </cell>
          <cell r="C69">
            <v>-127553</v>
          </cell>
          <cell r="D69">
            <v>-127553</v>
          </cell>
          <cell r="E69">
            <v>-135525</v>
          </cell>
          <cell r="F69">
            <v>-135525</v>
          </cell>
          <cell r="G69">
            <v>-135525</v>
          </cell>
          <cell r="H69">
            <v>-135525</v>
          </cell>
          <cell r="I69">
            <v>-135525</v>
          </cell>
          <cell r="J69">
            <v>-135525</v>
          </cell>
          <cell r="K69">
            <v>-135525</v>
          </cell>
          <cell r="L69">
            <v>-135525</v>
          </cell>
          <cell r="M69">
            <v>-135525</v>
          </cell>
          <cell r="N69">
            <v>0</v>
          </cell>
          <cell r="O69">
            <v>37986</v>
          </cell>
        </row>
        <row r="70">
          <cell r="A70" t="str">
            <v>AC23707</v>
          </cell>
          <cell r="B70">
            <v>-141333</v>
          </cell>
          <cell r="C70">
            <v>-141333</v>
          </cell>
          <cell r="D70">
            <v>-141333</v>
          </cell>
          <cell r="E70">
            <v>-141333</v>
          </cell>
          <cell r="F70">
            <v>-141333</v>
          </cell>
          <cell r="G70">
            <v>-141333</v>
          </cell>
          <cell r="H70">
            <v>-141333</v>
          </cell>
          <cell r="I70">
            <v>-141333</v>
          </cell>
          <cell r="J70">
            <v>-141333</v>
          </cell>
          <cell r="K70">
            <v>-141333</v>
          </cell>
          <cell r="L70">
            <v>-141333</v>
          </cell>
          <cell r="M70">
            <v>-141333</v>
          </cell>
          <cell r="N70">
            <v>0</v>
          </cell>
          <cell r="O70">
            <v>37986</v>
          </cell>
        </row>
        <row r="71">
          <cell r="A71" t="str">
            <v>AC23710</v>
          </cell>
          <cell r="B71">
            <v>-179750</v>
          </cell>
          <cell r="C71">
            <v>-179750</v>
          </cell>
          <cell r="D71">
            <v>-179750</v>
          </cell>
          <cell r="E71">
            <v>-179750</v>
          </cell>
          <cell r="F71">
            <v>-179750</v>
          </cell>
          <cell r="G71">
            <v>-179750</v>
          </cell>
          <cell r="H71">
            <v>-179750</v>
          </cell>
          <cell r="I71">
            <v>-179750</v>
          </cell>
          <cell r="J71">
            <v>-179750</v>
          </cell>
          <cell r="K71">
            <v>-179750</v>
          </cell>
          <cell r="L71">
            <v>-179750</v>
          </cell>
          <cell r="M71">
            <v>-179750</v>
          </cell>
          <cell r="N71">
            <v>0</v>
          </cell>
          <cell r="O71">
            <v>37986</v>
          </cell>
        </row>
        <row r="72">
          <cell r="A72" t="str">
            <v>AC23718</v>
          </cell>
          <cell r="B72">
            <v>-143833</v>
          </cell>
          <cell r="C72">
            <v>-143833</v>
          </cell>
          <cell r="D72">
            <v>-143833</v>
          </cell>
          <cell r="E72">
            <v>-143833</v>
          </cell>
          <cell r="F72">
            <v>-143833</v>
          </cell>
          <cell r="G72">
            <v>-143833</v>
          </cell>
          <cell r="H72">
            <v>-143833</v>
          </cell>
          <cell r="I72">
            <v>-143833</v>
          </cell>
          <cell r="J72">
            <v>-143833</v>
          </cell>
          <cell r="K72">
            <v>-143833</v>
          </cell>
          <cell r="L72">
            <v>-143833</v>
          </cell>
          <cell r="M72">
            <v>-143833</v>
          </cell>
          <cell r="N72">
            <v>0</v>
          </cell>
          <cell r="O72">
            <v>37986</v>
          </cell>
        </row>
        <row r="73">
          <cell r="A73" t="str">
            <v>AC23719</v>
          </cell>
          <cell r="B73">
            <v>-112500</v>
          </cell>
          <cell r="C73">
            <v>-112500</v>
          </cell>
          <cell r="D73">
            <v>-112500</v>
          </cell>
          <cell r="E73">
            <v>-112500</v>
          </cell>
          <cell r="F73">
            <v>-112500</v>
          </cell>
          <cell r="G73">
            <v>-112500</v>
          </cell>
          <cell r="H73">
            <v>-112500</v>
          </cell>
          <cell r="I73">
            <v>-112500</v>
          </cell>
          <cell r="J73">
            <v>-112500</v>
          </cell>
          <cell r="K73">
            <v>-112500</v>
          </cell>
          <cell r="L73">
            <v>-112500</v>
          </cell>
          <cell r="M73">
            <v>-112500</v>
          </cell>
          <cell r="N73">
            <v>0</v>
          </cell>
          <cell r="O73">
            <v>37986</v>
          </cell>
        </row>
        <row r="74">
          <cell r="A74" t="str">
            <v>AC24203</v>
          </cell>
          <cell r="B74">
            <v>0</v>
          </cell>
          <cell r="C74">
            <v>0</v>
          </cell>
          <cell r="D74">
            <v>0</v>
          </cell>
          <cell r="E74">
            <v>0</v>
          </cell>
          <cell r="F74">
            <v>0</v>
          </cell>
          <cell r="G74">
            <v>0</v>
          </cell>
          <cell r="H74">
            <v>0</v>
          </cell>
          <cell r="I74">
            <v>0</v>
          </cell>
          <cell r="J74">
            <v>0</v>
          </cell>
          <cell r="K74">
            <v>0</v>
          </cell>
          <cell r="L74">
            <v>0</v>
          </cell>
          <cell r="M74">
            <v>0</v>
          </cell>
          <cell r="N74">
            <v>0</v>
          </cell>
          <cell r="O74">
            <v>37986</v>
          </cell>
        </row>
        <row r="75">
          <cell r="A75" t="str">
            <v>AC252</v>
          </cell>
          <cell r="B75">
            <v>0</v>
          </cell>
          <cell r="C75">
            <v>0</v>
          </cell>
          <cell r="D75">
            <v>0</v>
          </cell>
          <cell r="E75">
            <v>0</v>
          </cell>
          <cell r="F75">
            <v>-236</v>
          </cell>
          <cell r="G75">
            <v>0</v>
          </cell>
          <cell r="H75">
            <v>0</v>
          </cell>
          <cell r="I75">
            <v>0</v>
          </cell>
          <cell r="J75">
            <v>0</v>
          </cell>
          <cell r="K75">
            <v>0</v>
          </cell>
          <cell r="L75">
            <v>0</v>
          </cell>
          <cell r="M75">
            <v>0</v>
          </cell>
          <cell r="N75">
            <v>0</v>
          </cell>
          <cell r="O75">
            <v>37986</v>
          </cell>
        </row>
        <row r="76">
          <cell r="A76" t="str">
            <v>AC254DK</v>
          </cell>
          <cell r="B76">
            <v>3293</v>
          </cell>
          <cell r="C76">
            <v>3041</v>
          </cell>
          <cell r="D76">
            <v>3046</v>
          </cell>
          <cell r="E76">
            <v>-2250</v>
          </cell>
          <cell r="F76">
            <v>-3152</v>
          </cell>
          <cell r="G76">
            <v>0</v>
          </cell>
          <cell r="H76">
            <v>0</v>
          </cell>
          <cell r="I76">
            <v>0</v>
          </cell>
          <cell r="J76">
            <v>0</v>
          </cell>
          <cell r="K76">
            <v>0</v>
          </cell>
          <cell r="L76">
            <v>0</v>
          </cell>
          <cell r="M76">
            <v>0</v>
          </cell>
          <cell r="N76">
            <v>0</v>
          </cell>
          <cell r="O76">
            <v>37986</v>
          </cell>
        </row>
        <row r="77">
          <cell r="A77" t="str">
            <v>AC282</v>
          </cell>
          <cell r="B77">
            <v>-82357</v>
          </cell>
          <cell r="C77">
            <v>-84048</v>
          </cell>
          <cell r="D77">
            <v>-79615</v>
          </cell>
          <cell r="E77">
            <v>-77014</v>
          </cell>
          <cell r="F77">
            <v>-68270</v>
          </cell>
          <cell r="G77">
            <v>0</v>
          </cell>
          <cell r="H77">
            <v>0</v>
          </cell>
          <cell r="I77">
            <v>0</v>
          </cell>
          <cell r="J77">
            <v>0</v>
          </cell>
          <cell r="K77">
            <v>0</v>
          </cell>
          <cell r="L77">
            <v>0</v>
          </cell>
          <cell r="M77">
            <v>0</v>
          </cell>
          <cell r="N77">
            <v>0</v>
          </cell>
          <cell r="O77">
            <v>37986</v>
          </cell>
        </row>
        <row r="78">
          <cell r="A78" t="str">
            <v>AC282DK</v>
          </cell>
          <cell r="B78">
            <v>-6789</v>
          </cell>
          <cell r="C78">
            <v>-9039</v>
          </cell>
          <cell r="D78">
            <v>-8326</v>
          </cell>
          <cell r="E78">
            <v>-7611</v>
          </cell>
          <cell r="F78">
            <v>-1319</v>
          </cell>
          <cell r="G78">
            <v>0</v>
          </cell>
          <cell r="H78">
            <v>0</v>
          </cell>
          <cell r="I78">
            <v>0</v>
          </cell>
          <cell r="J78">
            <v>0</v>
          </cell>
          <cell r="K78">
            <v>0</v>
          </cell>
          <cell r="L78">
            <v>0</v>
          </cell>
          <cell r="M78">
            <v>0</v>
          </cell>
          <cell r="N78">
            <v>0</v>
          </cell>
          <cell r="O78">
            <v>37986</v>
          </cell>
        </row>
        <row r="79">
          <cell r="A79" t="str">
            <v>AC283DG</v>
          </cell>
          <cell r="B79">
            <v>-2816</v>
          </cell>
          <cell r="C79">
            <v>-4229</v>
          </cell>
          <cell r="D79">
            <v>-3503</v>
          </cell>
          <cell r="E79">
            <v>-3554</v>
          </cell>
          <cell r="F79">
            <v>638</v>
          </cell>
          <cell r="G79">
            <v>0</v>
          </cell>
          <cell r="H79">
            <v>0</v>
          </cell>
          <cell r="I79">
            <v>0</v>
          </cell>
          <cell r="J79">
            <v>0</v>
          </cell>
          <cell r="K79">
            <v>0</v>
          </cell>
          <cell r="L79">
            <v>0</v>
          </cell>
          <cell r="M79">
            <v>0</v>
          </cell>
          <cell r="N79">
            <v>0</v>
          </cell>
          <cell r="O79">
            <v>37986</v>
          </cell>
        </row>
        <row r="80">
          <cell r="A80" t="str">
            <v>AC283DK</v>
          </cell>
          <cell r="B80">
            <v>-2159</v>
          </cell>
          <cell r="C80">
            <v>-1955</v>
          </cell>
          <cell r="D80">
            <v>-1617</v>
          </cell>
          <cell r="E80">
            <v>-2406</v>
          </cell>
          <cell r="F80">
            <v>-2375</v>
          </cell>
          <cell r="G80">
            <v>0</v>
          </cell>
          <cell r="H80">
            <v>0</v>
          </cell>
          <cell r="I80">
            <v>0</v>
          </cell>
          <cell r="J80">
            <v>0</v>
          </cell>
          <cell r="K80">
            <v>0</v>
          </cell>
          <cell r="L80">
            <v>0</v>
          </cell>
          <cell r="M80">
            <v>0</v>
          </cell>
          <cell r="N80">
            <v>0</v>
          </cell>
          <cell r="O80">
            <v>37986</v>
          </cell>
        </row>
        <row r="81">
          <cell r="A81" t="str">
            <v>AC400</v>
          </cell>
          <cell r="B81">
            <v>-355540018</v>
          </cell>
          <cell r="C81">
            <v>0</v>
          </cell>
          <cell r="D81">
            <v>0</v>
          </cell>
          <cell r="E81">
            <v>0</v>
          </cell>
          <cell r="F81">
            <v>0</v>
          </cell>
          <cell r="G81">
            <v>0</v>
          </cell>
          <cell r="H81">
            <v>0</v>
          </cell>
          <cell r="I81">
            <v>0</v>
          </cell>
          <cell r="J81">
            <v>0</v>
          </cell>
          <cell r="K81">
            <v>0</v>
          </cell>
          <cell r="L81">
            <v>0</v>
          </cell>
          <cell r="M81">
            <v>0</v>
          </cell>
          <cell r="N81">
            <v>0</v>
          </cell>
          <cell r="O81">
            <v>37986</v>
          </cell>
        </row>
        <row r="82">
          <cell r="A82" t="str">
            <v>AC41121</v>
          </cell>
          <cell r="B82">
            <v>-515362</v>
          </cell>
          <cell r="C82">
            <v>0</v>
          </cell>
          <cell r="D82">
            <v>0</v>
          </cell>
          <cell r="E82">
            <v>0</v>
          </cell>
          <cell r="F82">
            <v>0</v>
          </cell>
          <cell r="G82">
            <v>0</v>
          </cell>
          <cell r="H82">
            <v>0</v>
          </cell>
          <cell r="I82">
            <v>0</v>
          </cell>
          <cell r="J82">
            <v>0</v>
          </cell>
          <cell r="K82">
            <v>0</v>
          </cell>
          <cell r="L82">
            <v>0</v>
          </cell>
          <cell r="M82">
            <v>0</v>
          </cell>
          <cell r="N82">
            <v>0</v>
          </cell>
          <cell r="O82">
            <v>37986</v>
          </cell>
        </row>
        <row r="83">
          <cell r="A83" t="str">
            <v>AC42700</v>
          </cell>
          <cell r="B83">
            <v>963303</v>
          </cell>
          <cell r="C83">
            <v>963303</v>
          </cell>
          <cell r="D83">
            <v>971275</v>
          </cell>
          <cell r="E83">
            <v>971275</v>
          </cell>
          <cell r="F83">
            <v>971275</v>
          </cell>
          <cell r="G83">
            <v>971275</v>
          </cell>
          <cell r="H83">
            <v>971275</v>
          </cell>
          <cell r="I83">
            <v>971275</v>
          </cell>
          <cell r="J83">
            <v>971275</v>
          </cell>
          <cell r="K83">
            <v>971275</v>
          </cell>
          <cell r="L83">
            <v>971275</v>
          </cell>
          <cell r="M83">
            <v>971275</v>
          </cell>
          <cell r="N83">
            <v>971275</v>
          </cell>
          <cell r="O83">
            <v>37986</v>
          </cell>
        </row>
        <row r="84">
          <cell r="A84" t="str">
            <v>AC43000</v>
          </cell>
          <cell r="B84">
            <v>54392</v>
          </cell>
          <cell r="C84">
            <v>51210</v>
          </cell>
          <cell r="D84">
            <v>39951</v>
          </cell>
          <cell r="E84">
            <v>40336</v>
          </cell>
          <cell r="F84">
            <v>15325</v>
          </cell>
          <cell r="G84">
            <v>31477</v>
          </cell>
          <cell r="H84">
            <v>44455</v>
          </cell>
          <cell r="I84">
            <v>48659</v>
          </cell>
          <cell r="J84">
            <v>57811</v>
          </cell>
          <cell r="K84">
            <v>68353</v>
          </cell>
          <cell r="L84">
            <v>57361</v>
          </cell>
          <cell r="M84">
            <v>27180</v>
          </cell>
          <cell r="N84">
            <v>31008</v>
          </cell>
          <cell r="O84">
            <v>37986</v>
          </cell>
        </row>
        <row r="85">
          <cell r="A85" t="str">
            <v>AC43101</v>
          </cell>
          <cell r="B85">
            <v>14715</v>
          </cell>
          <cell r="C85">
            <v>18332</v>
          </cell>
          <cell r="D85">
            <v>7125</v>
          </cell>
          <cell r="E85">
            <v>4781</v>
          </cell>
          <cell r="F85">
            <v>16469</v>
          </cell>
          <cell r="G85">
            <v>16094</v>
          </cell>
          <cell r="H85">
            <v>17007</v>
          </cell>
          <cell r="I85">
            <v>15526</v>
          </cell>
          <cell r="J85">
            <v>11904</v>
          </cell>
          <cell r="K85">
            <v>0</v>
          </cell>
          <cell r="L85">
            <v>10354</v>
          </cell>
          <cell r="M85">
            <v>91813</v>
          </cell>
          <cell r="N85">
            <v>88278</v>
          </cell>
          <cell r="O85">
            <v>37986</v>
          </cell>
        </row>
        <row r="86">
          <cell r="A86" t="str">
            <v>AC43103</v>
          </cell>
          <cell r="B86">
            <v>27485</v>
          </cell>
          <cell r="C86">
            <v>30866</v>
          </cell>
          <cell r="D86">
            <v>30866</v>
          </cell>
          <cell r="E86">
            <v>34859</v>
          </cell>
          <cell r="F86">
            <v>28869</v>
          </cell>
          <cell r="G86">
            <v>28869</v>
          </cell>
          <cell r="H86">
            <v>27592</v>
          </cell>
          <cell r="I86">
            <v>29508</v>
          </cell>
          <cell r="J86">
            <v>29508</v>
          </cell>
          <cell r="K86">
            <v>12402</v>
          </cell>
          <cell r="L86">
            <v>45987</v>
          </cell>
          <cell r="M86">
            <v>10510</v>
          </cell>
          <cell r="N86">
            <v>14940</v>
          </cell>
          <cell r="O86">
            <v>37986</v>
          </cell>
        </row>
        <row r="87">
          <cell r="A87" t="str">
            <v>AC43105</v>
          </cell>
          <cell r="B87">
            <v>1686</v>
          </cell>
          <cell r="C87">
            <v>1609</v>
          </cell>
          <cell r="D87">
            <v>1558</v>
          </cell>
          <cell r="E87">
            <v>1469</v>
          </cell>
          <cell r="F87">
            <v>1401</v>
          </cell>
          <cell r="G87">
            <v>1344</v>
          </cell>
          <cell r="H87">
            <v>1322</v>
          </cell>
          <cell r="I87">
            <v>1274</v>
          </cell>
          <cell r="J87">
            <v>1204</v>
          </cell>
          <cell r="K87">
            <v>-4214</v>
          </cell>
          <cell r="L87">
            <v>1701</v>
          </cell>
          <cell r="M87">
            <v>1558</v>
          </cell>
          <cell r="N87">
            <v>1358</v>
          </cell>
          <cell r="O87">
            <v>37986</v>
          </cell>
        </row>
        <row r="88">
          <cell r="A88" t="str">
            <v>AC43198</v>
          </cell>
          <cell r="B88">
            <v>0</v>
          </cell>
          <cell r="C88">
            <v>10907</v>
          </cell>
          <cell r="D88">
            <v>29105</v>
          </cell>
          <cell r="E88">
            <v>50099</v>
          </cell>
          <cell r="F88">
            <v>40193</v>
          </cell>
          <cell r="G88">
            <v>22579</v>
          </cell>
          <cell r="H88">
            <v>39674</v>
          </cell>
          <cell r="I88">
            <v>33381</v>
          </cell>
          <cell r="J88">
            <v>-249617</v>
          </cell>
          <cell r="K88">
            <v>86524</v>
          </cell>
          <cell r="L88">
            <v>39983</v>
          </cell>
          <cell r="M88">
            <v>17714</v>
          </cell>
          <cell r="N88">
            <v>7652</v>
          </cell>
          <cell r="O88">
            <v>37986</v>
          </cell>
        </row>
        <row r="89">
          <cell r="A89" t="str">
            <v>AC43199</v>
          </cell>
          <cell r="B89">
            <v>1090</v>
          </cell>
          <cell r="C89">
            <v>0</v>
          </cell>
          <cell r="D89">
            <v>-548</v>
          </cell>
          <cell r="E89">
            <v>718</v>
          </cell>
          <cell r="F89">
            <v>4293</v>
          </cell>
          <cell r="G89">
            <v>0</v>
          </cell>
          <cell r="H89">
            <v>846</v>
          </cell>
          <cell r="I89">
            <v>0</v>
          </cell>
          <cell r="J89">
            <v>94</v>
          </cell>
          <cell r="K89">
            <v>6562</v>
          </cell>
          <cell r="L89">
            <v>18047</v>
          </cell>
          <cell r="M89">
            <v>18052</v>
          </cell>
          <cell r="N89">
            <v>19699</v>
          </cell>
          <cell r="O89">
            <v>37986</v>
          </cell>
        </row>
        <row r="90">
          <cell r="A90" t="str">
            <v>ALLWROE</v>
          </cell>
          <cell r="B90">
            <v>11</v>
          </cell>
          <cell r="C90">
            <v>11</v>
          </cell>
          <cell r="D90">
            <v>11</v>
          </cell>
          <cell r="E90">
            <v>11</v>
          </cell>
          <cell r="F90">
            <v>11</v>
          </cell>
          <cell r="G90">
            <v>0</v>
          </cell>
          <cell r="H90">
            <v>0</v>
          </cell>
          <cell r="I90">
            <v>0</v>
          </cell>
          <cell r="J90">
            <v>0</v>
          </cell>
          <cell r="K90">
            <v>0</v>
          </cell>
          <cell r="L90">
            <v>0</v>
          </cell>
          <cell r="M90">
            <v>0</v>
          </cell>
          <cell r="N90">
            <v>0</v>
          </cell>
          <cell r="O90">
            <v>37986</v>
          </cell>
        </row>
        <row r="91">
          <cell r="A91" t="str">
            <v>CALCROE</v>
          </cell>
          <cell r="B91">
            <v>0</v>
          </cell>
          <cell r="C91">
            <v>0</v>
          </cell>
          <cell r="D91">
            <v>11.35658207047654</v>
          </cell>
          <cell r="E91">
            <v>0</v>
          </cell>
          <cell r="F91">
            <v>11.417244796828545</v>
          </cell>
          <cell r="G91">
            <v>0</v>
          </cell>
          <cell r="H91">
            <v>0</v>
          </cell>
          <cell r="I91">
            <v>0</v>
          </cell>
          <cell r="J91">
            <v>0</v>
          </cell>
          <cell r="K91">
            <v>0</v>
          </cell>
          <cell r="L91">
            <v>0</v>
          </cell>
          <cell r="M91">
            <v>0</v>
          </cell>
          <cell r="N91">
            <v>0</v>
          </cell>
          <cell r="O91">
            <v>37986</v>
          </cell>
        </row>
        <row r="92">
          <cell r="A92" t="str">
            <v>EFFTXRT</v>
          </cell>
          <cell r="B92">
            <v>40.85</v>
          </cell>
          <cell r="C92">
            <v>40.85</v>
          </cell>
          <cell r="D92">
            <v>40.85</v>
          </cell>
          <cell r="E92">
            <v>40.85</v>
          </cell>
          <cell r="F92">
            <v>39.875</v>
          </cell>
          <cell r="G92">
            <v>0</v>
          </cell>
          <cell r="H92">
            <v>0</v>
          </cell>
          <cell r="I92">
            <v>0</v>
          </cell>
          <cell r="J92">
            <v>0</v>
          </cell>
          <cell r="K92">
            <v>0</v>
          </cell>
          <cell r="L92">
            <v>0</v>
          </cell>
          <cell r="M92">
            <v>0</v>
          </cell>
          <cell r="N92">
            <v>0</v>
          </cell>
          <cell r="O92">
            <v>37986</v>
          </cell>
        </row>
        <row r="93">
          <cell r="A93" t="str">
            <v>GWADJ</v>
          </cell>
          <cell r="B93">
            <v>0</v>
          </cell>
          <cell r="C93">
            <v>0</v>
          </cell>
          <cell r="D93">
            <v>0</v>
          </cell>
          <cell r="E93">
            <v>0</v>
          </cell>
          <cell r="F93">
            <v>0</v>
          </cell>
          <cell r="G93">
            <v>0</v>
          </cell>
          <cell r="H93">
            <v>0</v>
          </cell>
          <cell r="I93">
            <v>0</v>
          </cell>
          <cell r="J93">
            <v>0</v>
          </cell>
          <cell r="K93">
            <v>0</v>
          </cell>
          <cell r="L93">
            <v>0</v>
          </cell>
          <cell r="M93">
            <v>0</v>
          </cell>
          <cell r="N93">
            <v>0</v>
          </cell>
          <cell r="O93">
            <v>37986</v>
          </cell>
        </row>
        <row r="94">
          <cell r="A94" t="str">
            <v>IS1000</v>
          </cell>
          <cell r="B94">
            <v>22229</v>
          </cell>
          <cell r="C94">
            <v>0</v>
          </cell>
          <cell r="D94">
            <v>0</v>
          </cell>
          <cell r="E94">
            <v>0</v>
          </cell>
          <cell r="F94">
            <v>0</v>
          </cell>
          <cell r="G94">
            <v>0</v>
          </cell>
          <cell r="H94">
            <v>0</v>
          </cell>
          <cell r="I94">
            <v>0</v>
          </cell>
          <cell r="J94">
            <v>0</v>
          </cell>
          <cell r="K94">
            <v>0</v>
          </cell>
          <cell r="L94">
            <v>0</v>
          </cell>
          <cell r="M94">
            <v>0</v>
          </cell>
          <cell r="N94">
            <v>0</v>
          </cell>
          <cell r="O94">
            <v>37986</v>
          </cell>
        </row>
        <row r="95">
          <cell r="A95" t="str">
            <v>IS1200</v>
          </cell>
          <cell r="B95">
            <v>880</v>
          </cell>
          <cell r="C95">
            <v>0</v>
          </cell>
          <cell r="D95">
            <v>0</v>
          </cell>
          <cell r="E95">
            <v>0</v>
          </cell>
          <cell r="F95">
            <v>0</v>
          </cell>
          <cell r="G95">
            <v>0</v>
          </cell>
          <cell r="H95">
            <v>0</v>
          </cell>
          <cell r="I95">
            <v>0</v>
          </cell>
          <cell r="J95">
            <v>0</v>
          </cell>
          <cell r="K95">
            <v>0</v>
          </cell>
          <cell r="L95">
            <v>0</v>
          </cell>
          <cell r="M95">
            <v>0</v>
          </cell>
          <cell r="N95">
            <v>0</v>
          </cell>
          <cell r="O95">
            <v>37986</v>
          </cell>
        </row>
        <row r="96">
          <cell r="A96" t="str">
            <v>IS1400</v>
          </cell>
          <cell r="B96">
            <v>-3347</v>
          </cell>
          <cell r="C96">
            <v>0</v>
          </cell>
          <cell r="D96">
            <v>0</v>
          </cell>
          <cell r="E96">
            <v>0</v>
          </cell>
          <cell r="F96">
            <v>0</v>
          </cell>
          <cell r="G96">
            <v>0</v>
          </cell>
          <cell r="H96">
            <v>0</v>
          </cell>
          <cell r="I96">
            <v>0</v>
          </cell>
          <cell r="J96">
            <v>0</v>
          </cell>
          <cell r="K96">
            <v>0</v>
          </cell>
          <cell r="L96">
            <v>0</v>
          </cell>
          <cell r="M96">
            <v>0</v>
          </cell>
          <cell r="N96">
            <v>0</v>
          </cell>
          <cell r="O96">
            <v>37986</v>
          </cell>
        </row>
        <row r="97">
          <cell r="A97" t="str">
            <v>IS1500</v>
          </cell>
          <cell r="B97">
            <v>15637</v>
          </cell>
          <cell r="C97">
            <v>0</v>
          </cell>
          <cell r="D97">
            <v>0</v>
          </cell>
          <cell r="E97">
            <v>0</v>
          </cell>
          <cell r="F97">
            <v>0</v>
          </cell>
          <cell r="G97">
            <v>0</v>
          </cell>
          <cell r="H97">
            <v>0</v>
          </cell>
          <cell r="I97">
            <v>0</v>
          </cell>
          <cell r="J97">
            <v>0</v>
          </cell>
          <cell r="K97">
            <v>0</v>
          </cell>
          <cell r="L97">
            <v>0</v>
          </cell>
          <cell r="M97">
            <v>0</v>
          </cell>
          <cell r="N97">
            <v>0</v>
          </cell>
          <cell r="O97">
            <v>37986</v>
          </cell>
        </row>
        <row r="98">
          <cell r="A98" t="str">
            <v>IS1600</v>
          </cell>
          <cell r="B98">
            <v>-4247</v>
          </cell>
          <cell r="C98">
            <v>0</v>
          </cell>
          <cell r="D98">
            <v>0</v>
          </cell>
          <cell r="E98">
            <v>0</v>
          </cell>
          <cell r="F98">
            <v>0</v>
          </cell>
          <cell r="G98">
            <v>0</v>
          </cell>
          <cell r="H98">
            <v>0</v>
          </cell>
          <cell r="I98">
            <v>0</v>
          </cell>
          <cell r="J98">
            <v>0</v>
          </cell>
          <cell r="K98">
            <v>0</v>
          </cell>
          <cell r="L98">
            <v>0</v>
          </cell>
          <cell r="M98">
            <v>0</v>
          </cell>
          <cell r="N98">
            <v>0</v>
          </cell>
          <cell r="O98">
            <v>37986</v>
          </cell>
        </row>
        <row r="99">
          <cell r="A99" t="str">
            <v>IS1700</v>
          </cell>
          <cell r="B99">
            <v>-377</v>
          </cell>
          <cell r="C99">
            <v>0</v>
          </cell>
          <cell r="D99">
            <v>0</v>
          </cell>
          <cell r="E99">
            <v>0</v>
          </cell>
          <cell r="F99">
            <v>0</v>
          </cell>
          <cell r="G99">
            <v>0</v>
          </cell>
          <cell r="H99">
            <v>0</v>
          </cell>
          <cell r="I99">
            <v>0</v>
          </cell>
          <cell r="J99">
            <v>0</v>
          </cell>
          <cell r="K99">
            <v>0</v>
          </cell>
          <cell r="L99">
            <v>0</v>
          </cell>
          <cell r="M99">
            <v>0</v>
          </cell>
          <cell r="N99">
            <v>0</v>
          </cell>
          <cell r="O99">
            <v>37986</v>
          </cell>
        </row>
        <row r="100">
          <cell r="A100" t="str">
            <v>IS1800</v>
          </cell>
          <cell r="B100">
            <v>16042</v>
          </cell>
          <cell r="C100">
            <v>0</v>
          </cell>
          <cell r="D100">
            <v>0</v>
          </cell>
          <cell r="E100">
            <v>0</v>
          </cell>
          <cell r="F100">
            <v>0</v>
          </cell>
          <cell r="G100">
            <v>0</v>
          </cell>
          <cell r="H100">
            <v>0</v>
          </cell>
          <cell r="I100">
            <v>0</v>
          </cell>
          <cell r="J100">
            <v>0</v>
          </cell>
          <cell r="K100">
            <v>0</v>
          </cell>
          <cell r="L100">
            <v>0</v>
          </cell>
          <cell r="M100">
            <v>0</v>
          </cell>
          <cell r="N100">
            <v>0</v>
          </cell>
          <cell r="O100">
            <v>37986</v>
          </cell>
        </row>
        <row r="101">
          <cell r="A101" t="str">
            <v>IS1900</v>
          </cell>
          <cell r="B101">
            <v>8350</v>
          </cell>
          <cell r="C101">
            <v>0</v>
          </cell>
          <cell r="D101">
            <v>0</v>
          </cell>
          <cell r="E101">
            <v>0</v>
          </cell>
          <cell r="F101">
            <v>0</v>
          </cell>
          <cell r="G101">
            <v>0</v>
          </cell>
          <cell r="H101">
            <v>0</v>
          </cell>
          <cell r="I101">
            <v>0</v>
          </cell>
          <cell r="J101">
            <v>0</v>
          </cell>
          <cell r="K101">
            <v>0</v>
          </cell>
          <cell r="L101">
            <v>0</v>
          </cell>
          <cell r="M101">
            <v>0</v>
          </cell>
          <cell r="N101">
            <v>0</v>
          </cell>
          <cell r="O101">
            <v>37986</v>
          </cell>
        </row>
        <row r="102">
          <cell r="A102" t="str">
            <v>IS2000</v>
          </cell>
          <cell r="B102">
            <v>-515</v>
          </cell>
          <cell r="C102">
            <v>0</v>
          </cell>
          <cell r="D102">
            <v>0</v>
          </cell>
          <cell r="E102">
            <v>0</v>
          </cell>
          <cell r="F102">
            <v>0</v>
          </cell>
          <cell r="G102">
            <v>0</v>
          </cell>
          <cell r="H102">
            <v>0</v>
          </cell>
          <cell r="I102">
            <v>0</v>
          </cell>
          <cell r="J102">
            <v>0</v>
          </cell>
          <cell r="K102">
            <v>0</v>
          </cell>
          <cell r="L102">
            <v>0</v>
          </cell>
          <cell r="M102">
            <v>0</v>
          </cell>
          <cell r="N102">
            <v>0</v>
          </cell>
          <cell r="O102">
            <v>37986</v>
          </cell>
        </row>
        <row r="103">
          <cell r="A103" t="str">
            <v>IS2100</v>
          </cell>
          <cell r="B103">
            <v>327700</v>
          </cell>
          <cell r="C103">
            <v>0</v>
          </cell>
          <cell r="D103">
            <v>0</v>
          </cell>
          <cell r="E103">
            <v>0</v>
          </cell>
          <cell r="F103">
            <v>0</v>
          </cell>
          <cell r="G103">
            <v>0</v>
          </cell>
          <cell r="H103">
            <v>0</v>
          </cell>
          <cell r="I103">
            <v>0</v>
          </cell>
          <cell r="J103">
            <v>0</v>
          </cell>
          <cell r="K103">
            <v>0</v>
          </cell>
          <cell r="L103">
            <v>0</v>
          </cell>
          <cell r="M103">
            <v>0</v>
          </cell>
          <cell r="N103">
            <v>0</v>
          </cell>
          <cell r="O103">
            <v>37986</v>
          </cell>
        </row>
        <row r="104">
          <cell r="A104" t="str">
            <v>IS2200</v>
          </cell>
          <cell r="B104">
            <v>-27840</v>
          </cell>
          <cell r="C104">
            <v>0</v>
          </cell>
          <cell r="D104">
            <v>0</v>
          </cell>
          <cell r="E104">
            <v>0</v>
          </cell>
          <cell r="F104">
            <v>0</v>
          </cell>
          <cell r="G104">
            <v>0</v>
          </cell>
          <cell r="H104">
            <v>0</v>
          </cell>
          <cell r="I104">
            <v>0</v>
          </cell>
          <cell r="J104">
            <v>0</v>
          </cell>
          <cell r="K104">
            <v>0</v>
          </cell>
          <cell r="L104">
            <v>0</v>
          </cell>
          <cell r="M104">
            <v>0</v>
          </cell>
          <cell r="N104">
            <v>0</v>
          </cell>
          <cell r="O104">
            <v>37986</v>
          </cell>
        </row>
        <row r="105">
          <cell r="A105" t="str">
            <v>IS2400</v>
          </cell>
          <cell r="B105">
            <v>-116</v>
          </cell>
          <cell r="C105">
            <v>0</v>
          </cell>
          <cell r="D105">
            <v>0</v>
          </cell>
          <cell r="E105">
            <v>0</v>
          </cell>
          <cell r="F105">
            <v>0</v>
          </cell>
          <cell r="G105">
            <v>0</v>
          </cell>
          <cell r="H105">
            <v>0</v>
          </cell>
          <cell r="I105">
            <v>0</v>
          </cell>
          <cell r="J105">
            <v>0</v>
          </cell>
          <cell r="K105">
            <v>0</v>
          </cell>
          <cell r="L105">
            <v>0</v>
          </cell>
          <cell r="M105">
            <v>0</v>
          </cell>
          <cell r="N105">
            <v>0</v>
          </cell>
          <cell r="O105">
            <v>37986</v>
          </cell>
        </row>
        <row r="106">
          <cell r="A106" t="str">
            <v>IS2800</v>
          </cell>
          <cell r="B106">
            <v>1776</v>
          </cell>
          <cell r="C106">
            <v>0</v>
          </cell>
          <cell r="D106">
            <v>0</v>
          </cell>
          <cell r="E106">
            <v>0</v>
          </cell>
          <cell r="F106">
            <v>0</v>
          </cell>
          <cell r="G106">
            <v>0</v>
          </cell>
          <cell r="H106">
            <v>0</v>
          </cell>
          <cell r="I106">
            <v>0</v>
          </cell>
          <cell r="J106">
            <v>0</v>
          </cell>
          <cell r="K106">
            <v>0</v>
          </cell>
          <cell r="L106">
            <v>0</v>
          </cell>
          <cell r="M106">
            <v>0</v>
          </cell>
          <cell r="N106">
            <v>0</v>
          </cell>
          <cell r="O106">
            <v>37986</v>
          </cell>
        </row>
        <row r="107">
          <cell r="A107" t="str">
            <v>IS2900</v>
          </cell>
          <cell r="B107">
            <v>-1728</v>
          </cell>
          <cell r="C107">
            <v>0</v>
          </cell>
          <cell r="D107">
            <v>0</v>
          </cell>
          <cell r="E107">
            <v>0</v>
          </cell>
          <cell r="F107">
            <v>0</v>
          </cell>
          <cell r="G107">
            <v>0</v>
          </cell>
          <cell r="H107">
            <v>0</v>
          </cell>
          <cell r="I107">
            <v>0</v>
          </cell>
          <cell r="J107">
            <v>0</v>
          </cell>
          <cell r="K107">
            <v>0</v>
          </cell>
          <cell r="L107">
            <v>0</v>
          </cell>
          <cell r="M107">
            <v>0</v>
          </cell>
          <cell r="N107">
            <v>0</v>
          </cell>
          <cell r="O107">
            <v>37986</v>
          </cell>
        </row>
        <row r="108">
          <cell r="A108" t="str">
            <v>IS3000</v>
          </cell>
          <cell r="B108">
            <v>-123</v>
          </cell>
          <cell r="C108">
            <v>0</v>
          </cell>
          <cell r="D108">
            <v>0</v>
          </cell>
          <cell r="E108">
            <v>0</v>
          </cell>
          <cell r="F108">
            <v>0</v>
          </cell>
          <cell r="G108">
            <v>0</v>
          </cell>
          <cell r="H108">
            <v>0</v>
          </cell>
          <cell r="I108">
            <v>0</v>
          </cell>
          <cell r="J108">
            <v>0</v>
          </cell>
          <cell r="K108">
            <v>0</v>
          </cell>
          <cell r="L108">
            <v>0</v>
          </cell>
          <cell r="M108">
            <v>0</v>
          </cell>
          <cell r="N108">
            <v>0</v>
          </cell>
          <cell r="O108">
            <v>37986</v>
          </cell>
        </row>
        <row r="109">
          <cell r="A109" t="str">
            <v>IS3400</v>
          </cell>
          <cell r="B109">
            <v>11639</v>
          </cell>
          <cell r="C109">
            <v>0</v>
          </cell>
          <cell r="D109">
            <v>0</v>
          </cell>
          <cell r="E109">
            <v>0</v>
          </cell>
          <cell r="F109">
            <v>0</v>
          </cell>
          <cell r="G109">
            <v>0</v>
          </cell>
          <cell r="H109">
            <v>0</v>
          </cell>
          <cell r="I109">
            <v>0</v>
          </cell>
          <cell r="J109">
            <v>0</v>
          </cell>
          <cell r="K109">
            <v>0</v>
          </cell>
          <cell r="L109">
            <v>0</v>
          </cell>
          <cell r="M109">
            <v>0</v>
          </cell>
          <cell r="N109">
            <v>0</v>
          </cell>
          <cell r="O109">
            <v>37986</v>
          </cell>
        </row>
        <row r="110">
          <cell r="A110" t="str">
            <v>IS3500</v>
          </cell>
          <cell r="B110">
            <v>965</v>
          </cell>
          <cell r="C110">
            <v>0</v>
          </cell>
          <cell r="D110">
            <v>0</v>
          </cell>
          <cell r="E110">
            <v>0</v>
          </cell>
          <cell r="F110">
            <v>0</v>
          </cell>
          <cell r="G110">
            <v>0</v>
          </cell>
          <cell r="H110">
            <v>0</v>
          </cell>
          <cell r="I110">
            <v>0</v>
          </cell>
          <cell r="J110">
            <v>0</v>
          </cell>
          <cell r="K110">
            <v>0</v>
          </cell>
          <cell r="L110">
            <v>0</v>
          </cell>
          <cell r="M110">
            <v>0</v>
          </cell>
          <cell r="N110">
            <v>0</v>
          </cell>
          <cell r="O110">
            <v>37986</v>
          </cell>
        </row>
        <row r="111">
          <cell r="A111" t="str">
            <v>IS3600</v>
          </cell>
          <cell r="B111">
            <v>537</v>
          </cell>
          <cell r="C111">
            <v>0</v>
          </cell>
          <cell r="D111">
            <v>0</v>
          </cell>
          <cell r="E111">
            <v>0</v>
          </cell>
          <cell r="F111">
            <v>0</v>
          </cell>
          <cell r="G111">
            <v>0</v>
          </cell>
          <cell r="H111">
            <v>0</v>
          </cell>
          <cell r="I111">
            <v>0</v>
          </cell>
          <cell r="J111">
            <v>0</v>
          </cell>
          <cell r="K111">
            <v>0</v>
          </cell>
          <cell r="L111">
            <v>0</v>
          </cell>
          <cell r="M111">
            <v>0</v>
          </cell>
          <cell r="N111">
            <v>0</v>
          </cell>
          <cell r="O111">
            <v>37986</v>
          </cell>
        </row>
        <row r="112">
          <cell r="A112" t="str">
            <v>IS3700</v>
          </cell>
          <cell r="B112">
            <v>561</v>
          </cell>
          <cell r="C112">
            <v>0</v>
          </cell>
          <cell r="D112">
            <v>0</v>
          </cell>
          <cell r="E112">
            <v>0</v>
          </cell>
          <cell r="F112">
            <v>0</v>
          </cell>
          <cell r="G112">
            <v>0</v>
          </cell>
          <cell r="H112">
            <v>0</v>
          </cell>
          <cell r="I112">
            <v>0</v>
          </cell>
          <cell r="J112">
            <v>0</v>
          </cell>
          <cell r="K112">
            <v>0</v>
          </cell>
          <cell r="L112">
            <v>0</v>
          </cell>
          <cell r="M112">
            <v>0</v>
          </cell>
          <cell r="N112">
            <v>0</v>
          </cell>
          <cell r="O112">
            <v>37986</v>
          </cell>
        </row>
        <row r="113">
          <cell r="A113" t="str">
            <v>IS3800</v>
          </cell>
          <cell r="B113">
            <v>182</v>
          </cell>
          <cell r="C113">
            <v>0</v>
          </cell>
          <cell r="D113">
            <v>0</v>
          </cell>
          <cell r="E113">
            <v>0</v>
          </cell>
          <cell r="F113">
            <v>0</v>
          </cell>
          <cell r="G113">
            <v>0</v>
          </cell>
          <cell r="H113">
            <v>0</v>
          </cell>
          <cell r="I113">
            <v>0</v>
          </cell>
          <cell r="J113">
            <v>0</v>
          </cell>
          <cell r="K113">
            <v>0</v>
          </cell>
          <cell r="L113">
            <v>0</v>
          </cell>
          <cell r="M113">
            <v>0</v>
          </cell>
          <cell r="N113">
            <v>0</v>
          </cell>
          <cell r="O113">
            <v>37986</v>
          </cell>
        </row>
        <row r="114">
          <cell r="A114" t="str">
            <v>IS3900</v>
          </cell>
          <cell r="B114">
            <v>-693</v>
          </cell>
          <cell r="C114">
            <v>0</v>
          </cell>
          <cell r="D114">
            <v>0</v>
          </cell>
          <cell r="E114">
            <v>0</v>
          </cell>
          <cell r="F114">
            <v>0</v>
          </cell>
          <cell r="G114">
            <v>0</v>
          </cell>
          <cell r="H114">
            <v>0</v>
          </cell>
          <cell r="I114">
            <v>0</v>
          </cell>
          <cell r="J114">
            <v>0</v>
          </cell>
          <cell r="K114">
            <v>0</v>
          </cell>
          <cell r="L114">
            <v>0</v>
          </cell>
          <cell r="M114">
            <v>0</v>
          </cell>
          <cell r="N114">
            <v>0</v>
          </cell>
          <cell r="O114">
            <v>37986</v>
          </cell>
        </row>
        <row r="115">
          <cell r="A115" t="str">
            <v>IS400</v>
          </cell>
          <cell r="B115">
            <v>-355540</v>
          </cell>
          <cell r="C115">
            <v>0</v>
          </cell>
          <cell r="D115">
            <v>0</v>
          </cell>
          <cell r="E115">
            <v>0</v>
          </cell>
          <cell r="F115">
            <v>0</v>
          </cell>
          <cell r="G115">
            <v>0</v>
          </cell>
          <cell r="H115">
            <v>0</v>
          </cell>
          <cell r="I115">
            <v>0</v>
          </cell>
          <cell r="J115">
            <v>0</v>
          </cell>
          <cell r="K115">
            <v>0</v>
          </cell>
          <cell r="L115">
            <v>0</v>
          </cell>
          <cell r="M115">
            <v>0</v>
          </cell>
          <cell r="N115">
            <v>0</v>
          </cell>
          <cell r="O115">
            <v>37986</v>
          </cell>
        </row>
        <row r="116">
          <cell r="A116" t="str">
            <v>IS4310</v>
          </cell>
          <cell r="B116">
            <v>-14838</v>
          </cell>
          <cell r="C116">
            <v>0</v>
          </cell>
          <cell r="D116">
            <v>0</v>
          </cell>
          <cell r="E116">
            <v>0</v>
          </cell>
          <cell r="F116">
            <v>0</v>
          </cell>
          <cell r="G116">
            <v>0</v>
          </cell>
          <cell r="H116">
            <v>0</v>
          </cell>
          <cell r="I116">
            <v>0</v>
          </cell>
          <cell r="J116">
            <v>0</v>
          </cell>
          <cell r="K116">
            <v>0</v>
          </cell>
          <cell r="L116">
            <v>0</v>
          </cell>
          <cell r="M116">
            <v>0</v>
          </cell>
          <cell r="N116">
            <v>0</v>
          </cell>
          <cell r="O116">
            <v>37986</v>
          </cell>
        </row>
        <row r="117">
          <cell r="A117" t="str">
            <v>IS610</v>
          </cell>
          <cell r="B117">
            <v>206079</v>
          </cell>
          <cell r="C117">
            <v>0</v>
          </cell>
          <cell r="D117">
            <v>0</v>
          </cell>
          <cell r="E117">
            <v>0</v>
          </cell>
          <cell r="F117">
            <v>0</v>
          </cell>
          <cell r="G117">
            <v>0</v>
          </cell>
          <cell r="H117">
            <v>0</v>
          </cell>
          <cell r="I117">
            <v>0</v>
          </cell>
          <cell r="J117">
            <v>0</v>
          </cell>
          <cell r="K117">
            <v>0</v>
          </cell>
          <cell r="L117">
            <v>0</v>
          </cell>
          <cell r="M117">
            <v>0</v>
          </cell>
          <cell r="N117">
            <v>0</v>
          </cell>
          <cell r="O117">
            <v>37986</v>
          </cell>
        </row>
        <row r="118">
          <cell r="A118" t="str">
            <v>IS800</v>
          </cell>
          <cell r="B118">
            <v>58113</v>
          </cell>
          <cell r="C118">
            <v>0</v>
          </cell>
          <cell r="D118">
            <v>0</v>
          </cell>
          <cell r="E118">
            <v>0</v>
          </cell>
          <cell r="F118">
            <v>0</v>
          </cell>
          <cell r="G118">
            <v>0</v>
          </cell>
          <cell r="H118">
            <v>0</v>
          </cell>
          <cell r="I118">
            <v>0</v>
          </cell>
          <cell r="J118">
            <v>0</v>
          </cell>
          <cell r="K118">
            <v>0</v>
          </cell>
          <cell r="L118">
            <v>0</v>
          </cell>
          <cell r="M118">
            <v>0</v>
          </cell>
          <cell r="N118">
            <v>0</v>
          </cell>
          <cell r="O118">
            <v>37986</v>
          </cell>
        </row>
        <row r="119">
          <cell r="A119" t="str">
            <v>IS900</v>
          </cell>
          <cell r="B119">
            <v>8855</v>
          </cell>
          <cell r="C119">
            <v>0</v>
          </cell>
          <cell r="D119">
            <v>0</v>
          </cell>
          <cell r="E119">
            <v>0</v>
          </cell>
          <cell r="F119">
            <v>0</v>
          </cell>
          <cell r="G119">
            <v>0</v>
          </cell>
          <cell r="H119">
            <v>0</v>
          </cell>
          <cell r="I119">
            <v>0</v>
          </cell>
          <cell r="J119">
            <v>0</v>
          </cell>
          <cell r="K119">
            <v>0</v>
          </cell>
          <cell r="L119">
            <v>0</v>
          </cell>
          <cell r="M119">
            <v>0</v>
          </cell>
          <cell r="N119">
            <v>0</v>
          </cell>
          <cell r="O119">
            <v>37986</v>
          </cell>
        </row>
        <row r="120">
          <cell r="A120" t="str">
            <v>LLDAYS</v>
          </cell>
          <cell r="B120">
            <v>10.73</v>
          </cell>
          <cell r="C120">
            <v>10.73</v>
          </cell>
          <cell r="D120">
            <v>10.73</v>
          </cell>
          <cell r="E120">
            <v>10.73</v>
          </cell>
          <cell r="F120">
            <v>10.73</v>
          </cell>
          <cell r="G120">
            <v>0</v>
          </cell>
          <cell r="H120">
            <v>0</v>
          </cell>
          <cell r="I120">
            <v>0</v>
          </cell>
          <cell r="J120">
            <v>0</v>
          </cell>
          <cell r="K120">
            <v>0</v>
          </cell>
          <cell r="L120">
            <v>0</v>
          </cell>
          <cell r="M120">
            <v>0</v>
          </cell>
          <cell r="N120">
            <v>0</v>
          </cell>
          <cell r="O120">
            <v>37986</v>
          </cell>
        </row>
        <row r="121">
          <cell r="A121" t="str">
            <v>LTD</v>
          </cell>
          <cell r="B121">
            <v>0</v>
          </cell>
          <cell r="C121">
            <v>0</v>
          </cell>
          <cell r="D121">
            <v>-155185</v>
          </cell>
          <cell r="E121">
            <v>0</v>
          </cell>
          <cell r="F121">
            <v>-155149</v>
          </cell>
          <cell r="G121">
            <v>0</v>
          </cell>
          <cell r="H121">
            <v>0</v>
          </cell>
          <cell r="I121">
            <v>0</v>
          </cell>
          <cell r="J121">
            <v>0</v>
          </cell>
          <cell r="K121">
            <v>0</v>
          </cell>
          <cell r="L121">
            <v>0</v>
          </cell>
          <cell r="M121">
            <v>0</v>
          </cell>
          <cell r="N121">
            <v>0</v>
          </cell>
          <cell r="O121">
            <v>37986</v>
          </cell>
        </row>
        <row r="122">
          <cell r="A122" t="str">
            <v>MSTOT</v>
          </cell>
          <cell r="B122">
            <v>2250</v>
          </cell>
          <cell r="C122">
            <v>2279</v>
          </cell>
          <cell r="D122">
            <v>2446</v>
          </cell>
          <cell r="E122">
            <v>2228</v>
          </cell>
          <cell r="F122">
            <v>2304</v>
          </cell>
          <cell r="G122">
            <v>0</v>
          </cell>
          <cell r="H122">
            <v>0</v>
          </cell>
          <cell r="I122">
            <v>0</v>
          </cell>
          <cell r="J122">
            <v>0</v>
          </cell>
          <cell r="K122">
            <v>0</v>
          </cell>
          <cell r="L122">
            <v>0</v>
          </cell>
          <cell r="M122">
            <v>0</v>
          </cell>
          <cell r="N122">
            <v>0</v>
          </cell>
          <cell r="O122">
            <v>37986</v>
          </cell>
        </row>
        <row r="123">
          <cell r="A123" t="str">
            <v>OPIADJ</v>
          </cell>
          <cell r="B123">
            <v>0</v>
          </cell>
          <cell r="C123">
            <v>0</v>
          </cell>
          <cell r="D123">
            <v>0</v>
          </cell>
          <cell r="E123">
            <v>0</v>
          </cell>
          <cell r="F123">
            <v>0</v>
          </cell>
          <cell r="G123">
            <v>0</v>
          </cell>
          <cell r="H123">
            <v>0</v>
          </cell>
          <cell r="I123">
            <v>0</v>
          </cell>
          <cell r="J123">
            <v>0</v>
          </cell>
          <cell r="K123">
            <v>0</v>
          </cell>
          <cell r="L123">
            <v>0</v>
          </cell>
          <cell r="M123">
            <v>0</v>
          </cell>
          <cell r="N123">
            <v>0</v>
          </cell>
          <cell r="O123">
            <v>37986</v>
          </cell>
        </row>
        <row r="124">
          <cell r="A124" t="str">
            <v>PROMON</v>
          </cell>
          <cell r="B124">
            <v>13</v>
          </cell>
          <cell r="C124">
            <v>13</v>
          </cell>
          <cell r="D124">
            <v>13</v>
          </cell>
          <cell r="E124">
            <v>13</v>
          </cell>
          <cell r="F124">
            <v>9</v>
          </cell>
          <cell r="G124">
            <v>0</v>
          </cell>
          <cell r="H124">
            <v>0</v>
          </cell>
          <cell r="I124">
            <v>0</v>
          </cell>
          <cell r="J124">
            <v>0</v>
          </cell>
          <cell r="K124">
            <v>0</v>
          </cell>
          <cell r="L124">
            <v>0</v>
          </cell>
          <cell r="M124">
            <v>0</v>
          </cell>
          <cell r="N124">
            <v>0</v>
          </cell>
          <cell r="O124">
            <v>37986</v>
          </cell>
        </row>
        <row r="125">
          <cell r="A125" t="str">
            <v>RAB37</v>
          </cell>
          <cell r="B125">
            <v>626667</v>
          </cell>
          <cell r="C125">
            <v>646405</v>
          </cell>
          <cell r="D125">
            <v>666106</v>
          </cell>
          <cell r="E125">
            <v>684195</v>
          </cell>
          <cell r="F125">
            <v>703914</v>
          </cell>
          <cell r="G125">
            <v>0</v>
          </cell>
          <cell r="H125">
            <v>0</v>
          </cell>
          <cell r="I125">
            <v>0</v>
          </cell>
          <cell r="J125">
            <v>0</v>
          </cell>
          <cell r="K125">
            <v>0</v>
          </cell>
          <cell r="L125">
            <v>0</v>
          </cell>
          <cell r="M125">
            <v>0</v>
          </cell>
          <cell r="N125">
            <v>0</v>
          </cell>
          <cell r="O125">
            <v>37986</v>
          </cell>
        </row>
        <row r="126">
          <cell r="A126" t="str">
            <v>RAB4H</v>
          </cell>
          <cell r="B126">
            <v>272087</v>
          </cell>
          <cell r="C126">
            <v>284455</v>
          </cell>
          <cell r="D126">
            <v>296822</v>
          </cell>
          <cell r="E126">
            <v>309190</v>
          </cell>
          <cell r="F126">
            <v>321557</v>
          </cell>
          <cell r="G126">
            <v>0</v>
          </cell>
          <cell r="H126">
            <v>0</v>
          </cell>
          <cell r="I126">
            <v>0</v>
          </cell>
          <cell r="J126">
            <v>0</v>
          </cell>
          <cell r="K126">
            <v>0</v>
          </cell>
          <cell r="L126">
            <v>0</v>
          </cell>
          <cell r="M126">
            <v>0</v>
          </cell>
          <cell r="N126">
            <v>0</v>
          </cell>
          <cell r="O126">
            <v>37986</v>
          </cell>
        </row>
        <row r="127">
          <cell r="A127" t="str">
            <v>RAB4N</v>
          </cell>
          <cell r="B127">
            <v>287591</v>
          </cell>
          <cell r="C127">
            <v>287591</v>
          </cell>
          <cell r="D127">
            <v>287591</v>
          </cell>
          <cell r="E127">
            <v>287591</v>
          </cell>
          <cell r="F127">
            <v>287591</v>
          </cell>
          <cell r="G127">
            <v>0</v>
          </cell>
          <cell r="H127">
            <v>0</v>
          </cell>
          <cell r="I127">
            <v>0</v>
          </cell>
          <cell r="J127">
            <v>0</v>
          </cell>
          <cell r="K127">
            <v>0</v>
          </cell>
          <cell r="L127">
            <v>0</v>
          </cell>
          <cell r="M127">
            <v>0</v>
          </cell>
          <cell r="N127">
            <v>0</v>
          </cell>
          <cell r="O127">
            <v>37986</v>
          </cell>
        </row>
        <row r="128">
          <cell r="A128" t="str">
            <v>RLB45</v>
          </cell>
          <cell r="B128">
            <v>-5</v>
          </cell>
          <cell r="C128">
            <v>-5</v>
          </cell>
          <cell r="D128">
            <v>-5</v>
          </cell>
          <cell r="E128">
            <v>-5</v>
          </cell>
          <cell r="F128">
            <v>-5</v>
          </cell>
          <cell r="G128">
            <v>0</v>
          </cell>
          <cell r="H128">
            <v>0</v>
          </cell>
          <cell r="I128">
            <v>0</v>
          </cell>
          <cell r="J128">
            <v>0</v>
          </cell>
          <cell r="K128">
            <v>0</v>
          </cell>
          <cell r="L128">
            <v>0</v>
          </cell>
          <cell r="M128">
            <v>0</v>
          </cell>
          <cell r="N128">
            <v>0</v>
          </cell>
          <cell r="O128">
            <v>37986</v>
          </cell>
        </row>
        <row r="129">
          <cell r="A129" t="str">
            <v>RLB47</v>
          </cell>
          <cell r="B129">
            <v>-465744</v>
          </cell>
          <cell r="C129">
            <v>-465774</v>
          </cell>
          <cell r="D129">
            <v>-465825</v>
          </cell>
          <cell r="E129">
            <v>-465876</v>
          </cell>
          <cell r="F129">
            <v>-465930</v>
          </cell>
          <cell r="G129">
            <v>0</v>
          </cell>
          <cell r="H129">
            <v>0</v>
          </cell>
          <cell r="I129">
            <v>0</v>
          </cell>
          <cell r="J129">
            <v>0</v>
          </cell>
          <cell r="K129">
            <v>0</v>
          </cell>
          <cell r="L129">
            <v>0</v>
          </cell>
          <cell r="M129">
            <v>0</v>
          </cell>
          <cell r="N129">
            <v>0</v>
          </cell>
          <cell r="O129">
            <v>37986</v>
          </cell>
        </row>
        <row r="130">
          <cell r="A130" t="str">
            <v>RLB48</v>
          </cell>
          <cell r="B130">
            <v>0</v>
          </cell>
          <cell r="C130">
            <v>0</v>
          </cell>
          <cell r="D130">
            <v>0</v>
          </cell>
          <cell r="E130">
            <v>-1354</v>
          </cell>
          <cell r="F130">
            <v>-767</v>
          </cell>
          <cell r="G130">
            <v>0</v>
          </cell>
          <cell r="H130">
            <v>0</v>
          </cell>
          <cell r="I130">
            <v>0</v>
          </cell>
          <cell r="J130">
            <v>0</v>
          </cell>
          <cell r="K130">
            <v>0</v>
          </cell>
          <cell r="L130">
            <v>0</v>
          </cell>
          <cell r="M130">
            <v>0</v>
          </cell>
          <cell r="N130">
            <v>0</v>
          </cell>
          <cell r="O130">
            <v>37986</v>
          </cell>
        </row>
        <row r="131">
          <cell r="A131" t="str">
            <v>RLB51</v>
          </cell>
          <cell r="B131">
            <v>-39129</v>
          </cell>
          <cell r="C131">
            <v>-48688</v>
          </cell>
          <cell r="D131">
            <v>-51564</v>
          </cell>
          <cell r="E131">
            <v>-35728</v>
          </cell>
          <cell r="F131">
            <v>-24290</v>
          </cell>
          <cell r="G131">
            <v>0</v>
          </cell>
          <cell r="H131">
            <v>0</v>
          </cell>
          <cell r="I131">
            <v>0</v>
          </cell>
          <cell r="J131">
            <v>0</v>
          </cell>
          <cell r="K131">
            <v>0</v>
          </cell>
          <cell r="L131">
            <v>0</v>
          </cell>
          <cell r="M131">
            <v>0</v>
          </cell>
          <cell r="N131">
            <v>0</v>
          </cell>
          <cell r="O131">
            <v>37986</v>
          </cell>
        </row>
        <row r="132">
          <cell r="A132" t="str">
            <v>RLB55</v>
          </cell>
          <cell r="B132">
            <v>-151061353</v>
          </cell>
          <cell r="C132">
            <v>-151802379</v>
          </cell>
          <cell r="D132">
            <v>-151593405</v>
          </cell>
          <cell r="E132">
            <v>-151384431</v>
          </cell>
          <cell r="F132">
            <v>-151177913</v>
          </cell>
          <cell r="G132">
            <v>0</v>
          </cell>
          <cell r="H132">
            <v>0</v>
          </cell>
          <cell r="I132">
            <v>0</v>
          </cell>
          <cell r="J132">
            <v>0</v>
          </cell>
          <cell r="K132">
            <v>0</v>
          </cell>
          <cell r="L132">
            <v>0</v>
          </cell>
          <cell r="M132">
            <v>0</v>
          </cell>
          <cell r="N132">
            <v>0</v>
          </cell>
          <cell r="O132">
            <v>37986</v>
          </cell>
        </row>
        <row r="133">
          <cell r="A133" t="str">
            <v>RLB57</v>
          </cell>
          <cell r="B133">
            <v>0</v>
          </cell>
          <cell r="C133">
            <v>0</v>
          </cell>
          <cell r="D133">
            <v>0</v>
          </cell>
          <cell r="E133">
            <v>0</v>
          </cell>
          <cell r="F133">
            <v>0</v>
          </cell>
          <cell r="G133">
            <v>0</v>
          </cell>
          <cell r="H133">
            <v>0</v>
          </cell>
          <cell r="I133">
            <v>0</v>
          </cell>
          <cell r="J133">
            <v>0</v>
          </cell>
          <cell r="K133">
            <v>0</v>
          </cell>
          <cell r="L133">
            <v>0</v>
          </cell>
          <cell r="M133">
            <v>0</v>
          </cell>
          <cell r="N133">
            <v>0</v>
          </cell>
          <cell r="O133">
            <v>37986</v>
          </cell>
        </row>
        <row r="134">
          <cell r="A134" t="str">
            <v>RLB58</v>
          </cell>
          <cell r="B134">
            <v>5500</v>
          </cell>
          <cell r="C134">
            <v>6325</v>
          </cell>
          <cell r="D134">
            <v>7150</v>
          </cell>
          <cell r="E134">
            <v>7975</v>
          </cell>
          <cell r="F134">
            <v>8800</v>
          </cell>
          <cell r="G134">
            <v>0</v>
          </cell>
          <cell r="H134">
            <v>0</v>
          </cell>
          <cell r="I134">
            <v>0</v>
          </cell>
          <cell r="J134">
            <v>0</v>
          </cell>
          <cell r="K134">
            <v>0</v>
          </cell>
          <cell r="L134">
            <v>0</v>
          </cell>
          <cell r="M134">
            <v>0</v>
          </cell>
          <cell r="N134">
            <v>0</v>
          </cell>
          <cell r="O134">
            <v>37986</v>
          </cell>
        </row>
        <row r="135">
          <cell r="A135" t="str">
            <v>RLB89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37986</v>
          </cell>
        </row>
        <row r="136">
          <cell r="A136" t="str">
            <v>RRG81</v>
          </cell>
          <cell r="B136">
            <v>0</v>
          </cell>
          <cell r="C136">
            <v>0</v>
          </cell>
          <cell r="D136">
            <v>0</v>
          </cell>
          <cell r="E136">
            <v>0</v>
          </cell>
          <cell r="F136">
            <v>0</v>
          </cell>
          <cell r="G136">
            <v>0</v>
          </cell>
          <cell r="H136">
            <v>0</v>
          </cell>
          <cell r="I136">
            <v>0</v>
          </cell>
          <cell r="J136">
            <v>0</v>
          </cell>
          <cell r="K136">
            <v>0</v>
          </cell>
          <cell r="L136">
            <v>0</v>
          </cell>
          <cell r="M136">
            <v>0</v>
          </cell>
          <cell r="N136">
            <v>0</v>
          </cell>
          <cell r="O136">
            <v>37986</v>
          </cell>
        </row>
        <row r="137">
          <cell r="A137" t="str">
            <v>RSLS</v>
          </cell>
          <cell r="B137">
            <v>-6013983</v>
          </cell>
          <cell r="C137">
            <v>0</v>
          </cell>
          <cell r="D137">
            <v>0</v>
          </cell>
          <cell r="E137">
            <v>0</v>
          </cell>
          <cell r="F137">
            <v>0</v>
          </cell>
          <cell r="G137">
            <v>0</v>
          </cell>
          <cell r="H137">
            <v>0</v>
          </cell>
          <cell r="I137">
            <v>0</v>
          </cell>
          <cell r="J137">
            <v>0</v>
          </cell>
          <cell r="K137">
            <v>0</v>
          </cell>
          <cell r="L137">
            <v>0</v>
          </cell>
          <cell r="M137">
            <v>0</v>
          </cell>
          <cell r="N137">
            <v>0</v>
          </cell>
          <cell r="O137">
            <v>37986</v>
          </cell>
        </row>
        <row r="138">
          <cell r="A138" t="str">
            <v>RXP18</v>
          </cell>
          <cell r="B138">
            <v>0</v>
          </cell>
          <cell r="C138">
            <v>0</v>
          </cell>
          <cell r="D138">
            <v>0</v>
          </cell>
          <cell r="E138">
            <v>0</v>
          </cell>
          <cell r="F138">
            <v>0</v>
          </cell>
          <cell r="G138">
            <v>0</v>
          </cell>
          <cell r="H138">
            <v>0</v>
          </cell>
          <cell r="I138">
            <v>0</v>
          </cell>
          <cell r="J138">
            <v>0</v>
          </cell>
          <cell r="K138">
            <v>0</v>
          </cell>
          <cell r="L138">
            <v>0</v>
          </cell>
          <cell r="M138">
            <v>0</v>
          </cell>
          <cell r="N138">
            <v>0</v>
          </cell>
          <cell r="O138">
            <v>37986</v>
          </cell>
        </row>
        <row r="139">
          <cell r="A139" t="str">
            <v>RXP25</v>
          </cell>
          <cell r="B139">
            <v>-377332</v>
          </cell>
          <cell r="C139">
            <v>0</v>
          </cell>
          <cell r="D139">
            <v>0</v>
          </cell>
          <cell r="E139">
            <v>0</v>
          </cell>
          <cell r="F139">
            <v>0</v>
          </cell>
          <cell r="G139">
            <v>0</v>
          </cell>
          <cell r="H139">
            <v>0</v>
          </cell>
          <cell r="I139">
            <v>0</v>
          </cell>
          <cell r="J139">
            <v>0</v>
          </cell>
          <cell r="K139">
            <v>0</v>
          </cell>
          <cell r="L139">
            <v>0</v>
          </cell>
          <cell r="M139">
            <v>0</v>
          </cell>
          <cell r="N139">
            <v>0</v>
          </cell>
          <cell r="O139">
            <v>37986</v>
          </cell>
        </row>
        <row r="140">
          <cell r="A140" t="str">
            <v>STD</v>
          </cell>
          <cell r="B140">
            <v>-88100</v>
          </cell>
          <cell r="C140">
            <v>-52900</v>
          </cell>
          <cell r="D140">
            <v>-49600</v>
          </cell>
          <cell r="E140">
            <v>-66000</v>
          </cell>
          <cell r="F140">
            <v>-66000</v>
          </cell>
          <cell r="G140">
            <v>0</v>
          </cell>
          <cell r="H140">
            <v>0</v>
          </cell>
          <cell r="I140">
            <v>0</v>
          </cell>
          <cell r="J140">
            <v>0</v>
          </cell>
          <cell r="K140">
            <v>0</v>
          </cell>
          <cell r="L140">
            <v>0</v>
          </cell>
          <cell r="M140">
            <v>0</v>
          </cell>
          <cell r="N140">
            <v>0</v>
          </cell>
          <cell r="O140">
            <v>37986</v>
          </cell>
        </row>
        <row r="141">
          <cell r="A141" t="str">
            <v>TOTGAS</v>
          </cell>
          <cell r="B141">
            <v>206079227</v>
          </cell>
          <cell r="C141">
            <v>0</v>
          </cell>
          <cell r="D141">
            <v>0</v>
          </cell>
          <cell r="E141">
            <v>0</v>
          </cell>
          <cell r="F141">
            <v>0</v>
          </cell>
          <cell r="G141">
            <v>0</v>
          </cell>
          <cell r="H141">
            <v>0</v>
          </cell>
          <cell r="I141">
            <v>0</v>
          </cell>
          <cell r="J141">
            <v>0</v>
          </cell>
          <cell r="K141">
            <v>0</v>
          </cell>
          <cell r="L141">
            <v>0</v>
          </cell>
          <cell r="M141">
            <v>0</v>
          </cell>
          <cell r="N141">
            <v>0</v>
          </cell>
          <cell r="O141">
            <v>37986</v>
          </cell>
        </row>
        <row r="142">
          <cell r="A142" t="str">
            <v>TOTOM</v>
          </cell>
          <cell r="B142">
            <v>66968501</v>
          </cell>
          <cell r="C142">
            <v>0</v>
          </cell>
          <cell r="D142">
            <v>0</v>
          </cell>
          <cell r="E142">
            <v>0</v>
          </cell>
          <cell r="F142">
            <v>0</v>
          </cell>
          <cell r="G142">
            <v>0</v>
          </cell>
          <cell r="H142">
            <v>0</v>
          </cell>
          <cell r="I142">
            <v>0</v>
          </cell>
          <cell r="J142">
            <v>0</v>
          </cell>
          <cell r="K142">
            <v>0</v>
          </cell>
          <cell r="L142">
            <v>0</v>
          </cell>
          <cell r="M142">
            <v>0</v>
          </cell>
          <cell r="N142">
            <v>0</v>
          </cell>
          <cell r="O142">
            <v>37986</v>
          </cell>
        </row>
        <row r="143">
          <cell r="A143" t="str">
            <v>WNRMLZ</v>
          </cell>
          <cell r="B143">
            <v>0</v>
          </cell>
          <cell r="C143">
            <v>0</v>
          </cell>
          <cell r="D143">
            <v>0</v>
          </cell>
          <cell r="E143">
            <v>0</v>
          </cell>
          <cell r="F143">
            <v>0</v>
          </cell>
          <cell r="G143">
            <v>0</v>
          </cell>
          <cell r="H143">
            <v>0</v>
          </cell>
          <cell r="I143">
            <v>0</v>
          </cell>
          <cell r="J143">
            <v>0</v>
          </cell>
          <cell r="K143">
            <v>0</v>
          </cell>
          <cell r="L143">
            <v>0</v>
          </cell>
          <cell r="M143">
            <v>0</v>
          </cell>
          <cell r="N143">
            <v>0</v>
          </cell>
          <cell r="O143">
            <v>37986</v>
          </cell>
        </row>
        <row r="144">
          <cell r="A144" t="str">
            <v>XMRGN</v>
          </cell>
          <cell r="B144">
            <v>0</v>
          </cell>
          <cell r="C144">
            <v>0</v>
          </cell>
          <cell r="D144">
            <v>0</v>
          </cell>
          <cell r="E144">
            <v>0</v>
          </cell>
          <cell r="F144">
            <v>0</v>
          </cell>
          <cell r="G144">
            <v>0</v>
          </cell>
          <cell r="H144">
            <v>0</v>
          </cell>
          <cell r="I144">
            <v>0</v>
          </cell>
          <cell r="J144">
            <v>0</v>
          </cell>
          <cell r="K144">
            <v>0</v>
          </cell>
          <cell r="L144">
            <v>0</v>
          </cell>
          <cell r="M144">
            <v>0</v>
          </cell>
          <cell r="N144">
            <v>0</v>
          </cell>
          <cell r="O144">
            <v>37986</v>
          </cell>
        </row>
      </sheetData>
      <sheetData sheetId="35"/>
      <sheetData sheetId="36" refreshError="1"/>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4"/>
    <pageSetUpPr fitToPage="1"/>
  </sheetPr>
  <dimension ref="A1:N67"/>
  <sheetViews>
    <sheetView zoomScale="75" workbookViewId="0">
      <pane xSplit="2" ySplit="11" topLeftCell="D12" activePane="bottomRight" state="frozen"/>
      <selection activeCell="A13" sqref="A13"/>
      <selection pane="topRight" activeCell="A13" sqref="A13"/>
      <selection pane="bottomLeft" activeCell="A13" sqref="A13"/>
      <selection pane="bottomRight" activeCell="J57" sqref="J57"/>
    </sheetView>
  </sheetViews>
  <sheetFormatPr defaultRowHeight="12.75" x14ac:dyDescent="0.2"/>
  <cols>
    <col min="1" max="1" width="4.5703125" customWidth="1"/>
    <col min="2" max="2" width="60.7109375" customWidth="1"/>
    <col min="3" max="5" width="16.85546875" customWidth="1"/>
    <col min="6" max="6" width="15.5703125" style="2" customWidth="1"/>
    <col min="7" max="9" width="16.5703125" customWidth="1"/>
    <col min="10" max="10" width="16.85546875" customWidth="1"/>
    <col min="12" max="12" width="23.140625" customWidth="1"/>
    <col min="14" max="14" width="12.5703125" customWidth="1"/>
  </cols>
  <sheetData>
    <row r="1" spans="1:12" ht="23.25" x14ac:dyDescent="0.35">
      <c r="B1" s="501"/>
      <c r="C1" s="501"/>
      <c r="D1" s="501"/>
      <c r="E1" s="501"/>
      <c r="F1" s="501"/>
    </row>
    <row r="2" spans="1:12" ht="20.25" customHeight="1" x14ac:dyDescent="0.3">
      <c r="B2" s="2848" t="s">
        <v>75</v>
      </c>
      <c r="C2" s="2848"/>
      <c r="D2" s="2848"/>
      <c r="E2" s="2848"/>
      <c r="F2" s="2848"/>
      <c r="G2" s="2848"/>
      <c r="H2" s="2848"/>
      <c r="I2" s="2848"/>
      <c r="J2" s="2848"/>
    </row>
    <row r="3" spans="1:12" ht="20.25" customHeight="1" x14ac:dyDescent="0.3">
      <c r="A3" s="3"/>
      <c r="B3" s="2848" t="s">
        <v>61</v>
      </c>
      <c r="C3" s="2848"/>
      <c r="D3" s="2848"/>
      <c r="E3" s="2848"/>
      <c r="F3" s="2848"/>
      <c r="G3" s="2848"/>
      <c r="H3" s="2848"/>
      <c r="I3" s="2848"/>
      <c r="J3" s="2848"/>
    </row>
    <row r="4" spans="1:12" ht="20.25" customHeight="1" x14ac:dyDescent="0.3">
      <c r="A4" s="3"/>
      <c r="B4" s="2848" t="s">
        <v>460</v>
      </c>
      <c r="C4" s="2848"/>
      <c r="D4" s="2848"/>
      <c r="E4" s="2848"/>
      <c r="F4" s="2848"/>
      <c r="G4" s="2848"/>
      <c r="H4" s="2848"/>
      <c r="I4" s="2848"/>
      <c r="J4" s="2848"/>
    </row>
    <row r="5" spans="1:12" ht="20.25" customHeight="1" thickBot="1" x14ac:dyDescent="0.35">
      <c r="A5" s="3"/>
      <c r="B5" s="213"/>
      <c r="C5" s="213"/>
      <c r="D5" s="213"/>
      <c r="E5" s="502"/>
      <c r="F5" s="502"/>
      <c r="G5" s="502"/>
      <c r="H5" s="502"/>
    </row>
    <row r="6" spans="1:12" ht="22.5" customHeight="1" thickBot="1" x14ac:dyDescent="0.35">
      <c r="A6" s="5"/>
      <c r="B6" s="91"/>
      <c r="C6" s="2850">
        <v>2012</v>
      </c>
      <c r="D6" s="2851"/>
      <c r="E6" s="2851"/>
      <c r="F6" s="2852"/>
      <c r="G6" s="2850">
        <v>2013</v>
      </c>
      <c r="H6" s="2851"/>
      <c r="I6" s="2851"/>
      <c r="J6" s="2852"/>
    </row>
    <row r="7" spans="1:12" s="6" customFormat="1" ht="17.25" customHeight="1" x14ac:dyDescent="0.25">
      <c r="A7" s="15"/>
      <c r="B7" s="92"/>
      <c r="C7" s="157">
        <v>2012</v>
      </c>
      <c r="D7" s="158">
        <v>2012</v>
      </c>
      <c r="E7" s="159">
        <v>2012</v>
      </c>
      <c r="F7" s="160">
        <v>2012</v>
      </c>
      <c r="G7" s="157">
        <v>2013</v>
      </c>
      <c r="H7" s="158">
        <v>2013</v>
      </c>
      <c r="I7" s="159">
        <v>2013</v>
      </c>
      <c r="J7" s="160">
        <v>2013</v>
      </c>
    </row>
    <row r="8" spans="1:12" ht="17.25" customHeight="1" x14ac:dyDescent="0.25">
      <c r="A8" s="15"/>
      <c r="B8" s="93"/>
      <c r="C8" s="939" t="s">
        <v>36</v>
      </c>
      <c r="D8" s="149" t="s">
        <v>37</v>
      </c>
      <c r="E8" s="153" t="s">
        <v>38</v>
      </c>
      <c r="F8" s="151" t="s">
        <v>39</v>
      </c>
      <c r="G8" s="94" t="s">
        <v>36</v>
      </c>
      <c r="H8" s="149" t="s">
        <v>37</v>
      </c>
      <c r="I8" s="153" t="s">
        <v>38</v>
      </c>
      <c r="J8" s="151" t="s">
        <v>39</v>
      </c>
    </row>
    <row r="9" spans="1:12" ht="16.5" customHeight="1" x14ac:dyDescent="0.25">
      <c r="A9" s="15"/>
      <c r="B9" s="95" t="s">
        <v>109</v>
      </c>
      <c r="C9" s="939" t="s">
        <v>331</v>
      </c>
      <c r="D9" s="147" t="s">
        <v>331</v>
      </c>
      <c r="E9" s="148" t="s">
        <v>331</v>
      </c>
      <c r="F9" s="151" t="s">
        <v>40</v>
      </c>
      <c r="G9" s="94" t="s">
        <v>32</v>
      </c>
      <c r="H9" s="149" t="s">
        <v>32</v>
      </c>
      <c r="I9" s="153" t="s">
        <v>32</v>
      </c>
      <c r="J9" s="151" t="s">
        <v>40</v>
      </c>
    </row>
    <row r="10" spans="1:12" ht="54" customHeight="1" thickBot="1" x14ac:dyDescent="0.3">
      <c r="A10" s="15"/>
      <c r="B10" s="96"/>
      <c r="C10" s="940" t="s">
        <v>408</v>
      </c>
      <c r="D10" s="150" t="s">
        <v>408</v>
      </c>
      <c r="E10" s="1599" t="s">
        <v>408</v>
      </c>
      <c r="F10" s="1600" t="s">
        <v>408</v>
      </c>
      <c r="G10" s="940" t="s">
        <v>408</v>
      </c>
      <c r="H10" s="150" t="s">
        <v>408</v>
      </c>
      <c r="I10" s="1599" t="s">
        <v>408</v>
      </c>
      <c r="J10" s="1601" t="s">
        <v>438</v>
      </c>
    </row>
    <row r="11" spans="1:12" s="13" customFormat="1" ht="17.25" customHeight="1" thickBot="1" x14ac:dyDescent="0.3">
      <c r="A11" s="15"/>
      <c r="B11" s="222" t="s">
        <v>115</v>
      </c>
      <c r="C11" s="221"/>
      <c r="D11" s="221"/>
      <c r="E11" s="221"/>
      <c r="F11" s="221"/>
      <c r="G11" s="3"/>
      <c r="H11" s="3"/>
      <c r="I11" s="3"/>
      <c r="J11"/>
    </row>
    <row r="12" spans="1:12" s="15" customFormat="1" ht="15" x14ac:dyDescent="0.2">
      <c r="A12" s="16" t="s">
        <v>3</v>
      </c>
      <c r="B12" s="156" t="s">
        <v>342</v>
      </c>
      <c r="C12" s="214">
        <f>2181500+35000</f>
        <v>2216500</v>
      </c>
      <c r="D12" s="214">
        <f>2078744+25772</f>
        <v>2104516</v>
      </c>
      <c r="E12" s="469">
        <f>25803+2317498</f>
        <v>2343301</v>
      </c>
      <c r="F12" s="467">
        <f>C12+D12+E12</f>
        <v>6664317</v>
      </c>
      <c r="G12" s="214">
        <f>'YGS Table A '!C12</f>
        <v>2429000</v>
      </c>
      <c r="H12" s="770" t="e">
        <f>'CNG Table A'!#REF!</f>
        <v>#REF!</v>
      </c>
      <c r="I12" s="771" t="e">
        <f>'SCG Table A'!#REF!</f>
        <v>#REF!</v>
      </c>
      <c r="J12" s="97" t="e">
        <f>SUM(G12:I12)</f>
        <v>#REF!</v>
      </c>
      <c r="L12" s="486"/>
    </row>
    <row r="13" spans="1:12" s="3" customFormat="1" ht="15" x14ac:dyDescent="0.2">
      <c r="A13" s="16" t="s">
        <v>9</v>
      </c>
      <c r="B13" s="614" t="s">
        <v>149</v>
      </c>
      <c r="C13" s="464">
        <v>3101859</v>
      </c>
      <c r="D13" s="464">
        <v>2852249</v>
      </c>
      <c r="E13" s="464">
        <v>3093661</v>
      </c>
      <c r="F13" s="488">
        <f>C13+D13+E13</f>
        <v>9047769</v>
      </c>
      <c r="G13" s="464">
        <f>'YGS Table A '!C13</f>
        <v>3635000</v>
      </c>
      <c r="H13" s="763" t="e">
        <f>'CNG Table A'!#REF!</f>
        <v>#REF!</v>
      </c>
      <c r="I13" s="777" t="e">
        <f>'SCG Table A'!#REF!</f>
        <v>#REF!</v>
      </c>
      <c r="J13" s="765" t="e">
        <f>SUM(G13:I13)</f>
        <v>#REF!</v>
      </c>
      <c r="L13" s="174"/>
    </row>
    <row r="14" spans="1:12" s="3" customFormat="1" ht="15" x14ac:dyDescent="0.2">
      <c r="A14" s="16" t="s">
        <v>9</v>
      </c>
      <c r="B14" s="614" t="s">
        <v>227</v>
      </c>
      <c r="C14" s="465">
        <v>599999.80000000005</v>
      </c>
      <c r="D14" s="465">
        <v>350000</v>
      </c>
      <c r="E14" s="470">
        <v>300000</v>
      </c>
      <c r="F14" s="470">
        <f>C14+D14+E14</f>
        <v>1249999.8</v>
      </c>
      <c r="G14" s="465">
        <f>'YGS Table A '!C14</f>
        <v>650000</v>
      </c>
      <c r="H14" s="760" t="e">
        <f>'CNG Table A'!#REF!</f>
        <v>#REF!</v>
      </c>
      <c r="I14" s="772" t="e">
        <f>'SCG Table A'!#REF!</f>
        <v>#REF!</v>
      </c>
      <c r="J14" s="766" t="e">
        <f>SUM(G14:I14)</f>
        <v>#REF!</v>
      </c>
      <c r="L14" s="174"/>
    </row>
    <row r="15" spans="1:12" s="3" customFormat="1" ht="15.75" thickBot="1" x14ac:dyDescent="0.25">
      <c r="A15" s="16" t="s">
        <v>9</v>
      </c>
      <c r="B15" s="615" t="s">
        <v>110</v>
      </c>
      <c r="C15" s="464">
        <v>70000</v>
      </c>
      <c r="D15" s="464">
        <v>40055</v>
      </c>
      <c r="E15" s="761">
        <v>46211</v>
      </c>
      <c r="F15" s="761">
        <f>C15+D15+E15</f>
        <v>156266</v>
      </c>
      <c r="G15" s="466">
        <f>'YGS Table A '!C15</f>
        <v>70000</v>
      </c>
      <c r="H15" s="773" t="e">
        <f>'CNG Table A'!#REF!</f>
        <v>#REF!</v>
      </c>
      <c r="I15" s="774" t="e">
        <f>'SCG Table A'!#REF!</f>
        <v>#REF!</v>
      </c>
      <c r="J15" s="767" t="e">
        <f>SUM(G15:I15)</f>
        <v>#REF!</v>
      </c>
      <c r="L15" s="174"/>
    </row>
    <row r="16" spans="1:12" ht="16.5" thickBot="1" x14ac:dyDescent="0.3">
      <c r="A16" s="15"/>
      <c r="B16" s="233" t="s">
        <v>30</v>
      </c>
      <c r="C16" s="101">
        <f t="shared" ref="C16:J16" si="0">SUM(C12:C15)</f>
        <v>5988358.7999999998</v>
      </c>
      <c r="D16" s="101">
        <f t="shared" si="0"/>
        <v>5346820</v>
      </c>
      <c r="E16" s="101">
        <f t="shared" si="0"/>
        <v>5783173</v>
      </c>
      <c r="F16" s="101">
        <f t="shared" si="0"/>
        <v>17118351.800000001</v>
      </c>
      <c r="G16" s="101">
        <f t="shared" si="0"/>
        <v>6784000</v>
      </c>
      <c r="H16" s="101" t="e">
        <f t="shared" si="0"/>
        <v>#REF!</v>
      </c>
      <c r="I16" s="101" t="e">
        <f t="shared" si="0"/>
        <v>#REF!</v>
      </c>
      <c r="J16" s="101" t="e">
        <f t="shared" si="0"/>
        <v>#REF!</v>
      </c>
      <c r="L16" s="174"/>
    </row>
    <row r="17" spans="1:12" s="3" customFormat="1" ht="15.75" x14ac:dyDescent="0.25">
      <c r="A17" s="15"/>
      <c r="B17" s="164"/>
      <c r="C17" s="161"/>
      <c r="D17" s="161"/>
      <c r="E17" s="161"/>
      <c r="F17" s="161"/>
      <c r="G17" s="162"/>
      <c r="H17" s="162"/>
      <c r="I17" s="162"/>
      <c r="J17" s="161"/>
      <c r="L17" s="174"/>
    </row>
    <row r="18" spans="1:12" s="3" customFormat="1" ht="15.75" x14ac:dyDescent="0.25">
      <c r="A18" s="13"/>
      <c r="B18" s="27" t="s">
        <v>6</v>
      </c>
      <c r="C18" s="161"/>
      <c r="D18" s="161"/>
      <c r="E18" s="161"/>
      <c r="F18" s="162"/>
      <c r="L18" s="174"/>
    </row>
    <row r="19" spans="1:12" ht="17.25" customHeight="1" thickBot="1" x14ac:dyDescent="0.3">
      <c r="A19" s="13"/>
      <c r="B19" s="2853" t="s">
        <v>111</v>
      </c>
      <c r="C19" s="2853"/>
      <c r="D19" s="2853"/>
      <c r="E19" s="2853"/>
      <c r="F19" s="2853"/>
      <c r="L19" s="174"/>
    </row>
    <row r="20" spans="1:12" ht="15.75" thickBot="1" x14ac:dyDescent="0.25">
      <c r="A20" s="18" t="s">
        <v>10</v>
      </c>
      <c r="B20" s="179" t="s">
        <v>112</v>
      </c>
      <c r="C20" s="214">
        <v>3136612</v>
      </c>
      <c r="D20" s="214">
        <v>2362464</v>
      </c>
      <c r="E20" s="214">
        <v>2080462</v>
      </c>
      <c r="F20" s="214">
        <f>C20+D20+E20</f>
        <v>7579538</v>
      </c>
      <c r="G20" s="214">
        <f>'YGS Table A '!C20</f>
        <v>2009000</v>
      </c>
      <c r="H20" s="759" t="e">
        <f>'CNG Table A'!#REF!</f>
        <v>#REF!</v>
      </c>
      <c r="I20" s="467" t="e">
        <f>'SCG Table A'!#REF!</f>
        <v>#REF!</v>
      </c>
      <c r="J20" s="469" t="e">
        <f>G20+H20+I20</f>
        <v>#REF!</v>
      </c>
      <c r="L20" s="174"/>
    </row>
    <row r="21" spans="1:12" s="163" customFormat="1" ht="16.5" thickBot="1" x14ac:dyDescent="0.3">
      <c r="A21" s="15"/>
      <c r="B21" s="227" t="s">
        <v>113</v>
      </c>
      <c r="C21" s="215">
        <f>SUM(C20)</f>
        <v>3136612</v>
      </c>
      <c r="D21" s="229">
        <f>SUM(D20)</f>
        <v>2362464</v>
      </c>
      <c r="E21" s="215">
        <f>SUM(E20)</f>
        <v>2080462</v>
      </c>
      <c r="F21" s="216">
        <f>F20</f>
        <v>7579538</v>
      </c>
      <c r="G21" s="215">
        <f>SUM(G20)</f>
        <v>2009000</v>
      </c>
      <c r="H21" s="229" t="e">
        <f>SUM(H20)</f>
        <v>#REF!</v>
      </c>
      <c r="I21" s="215" t="e">
        <f>SUM(I20)</f>
        <v>#REF!</v>
      </c>
      <c r="J21" s="216" t="e">
        <f>SUM(G21:I21)</f>
        <v>#REF!</v>
      </c>
      <c r="L21" s="174"/>
    </row>
    <row r="22" spans="1:12" s="163" customFormat="1" ht="16.5" thickBot="1" x14ac:dyDescent="0.3">
      <c r="A22" s="15"/>
      <c r="B22" s="27" t="s">
        <v>114</v>
      </c>
      <c r="F22" s="162"/>
      <c r="L22" s="174"/>
    </row>
    <row r="23" spans="1:12" ht="17.25" customHeight="1" x14ac:dyDescent="0.2">
      <c r="A23" s="18" t="s">
        <v>10</v>
      </c>
      <c r="B23" s="100" t="s">
        <v>116</v>
      </c>
      <c r="C23" s="214">
        <v>2474834</v>
      </c>
      <c r="D23" s="214">
        <v>1735328</v>
      </c>
      <c r="E23" s="214">
        <v>1457286</v>
      </c>
      <c r="F23" s="467">
        <f>C23+D23+E23</f>
        <v>5667448</v>
      </c>
      <c r="G23" s="214">
        <f>'YGS Table A '!C23</f>
        <v>1375000</v>
      </c>
      <c r="H23" s="770" t="e">
        <f>'CNG Table A'!#REF!</f>
        <v>#REF!</v>
      </c>
      <c r="I23" s="771" t="e">
        <f>'SCG Table A'!#REF!</f>
        <v>#REF!</v>
      </c>
      <c r="J23" s="97" t="e">
        <f>SUM(G23:I23)</f>
        <v>#REF!</v>
      </c>
      <c r="L23" s="174"/>
    </row>
    <row r="24" spans="1:12" ht="17.25" customHeight="1" thickBot="1" x14ac:dyDescent="0.25">
      <c r="A24" s="18" t="s">
        <v>10</v>
      </c>
      <c r="B24" s="99" t="s">
        <v>117</v>
      </c>
      <c r="C24" s="466">
        <v>324548</v>
      </c>
      <c r="D24" s="466">
        <v>190515</v>
      </c>
      <c r="E24" s="466">
        <v>184050</v>
      </c>
      <c r="F24" s="471">
        <f>C24+D24+E24</f>
        <v>699113</v>
      </c>
      <c r="G24" s="775">
        <f>'YGS Table A '!C24</f>
        <v>360000</v>
      </c>
      <c r="H24" s="762" t="e">
        <f>'CNG Table A'!#REF!</f>
        <v>#REF!</v>
      </c>
      <c r="I24" s="776" t="e">
        <f>'SCG Table A'!#REF!</f>
        <v>#REF!</v>
      </c>
      <c r="J24" s="765" t="e">
        <f>SUM(G24:I24)</f>
        <v>#REF!</v>
      </c>
      <c r="L24" s="174"/>
    </row>
    <row r="25" spans="1:12" ht="16.5" thickBot="1" x14ac:dyDescent="0.3">
      <c r="A25" s="15"/>
      <c r="B25" s="226" t="s">
        <v>118</v>
      </c>
      <c r="C25" s="783">
        <f>C23+C24</f>
        <v>2799382</v>
      </c>
      <c r="D25" s="783">
        <f>D23+D24</f>
        <v>1925843</v>
      </c>
      <c r="E25" s="783">
        <f>E23+E24</f>
        <v>1641336</v>
      </c>
      <c r="F25" s="216">
        <f>F23+F24</f>
        <v>6366561</v>
      </c>
      <c r="G25" s="783">
        <f>SUM(G23:G24)</f>
        <v>1735000</v>
      </c>
      <c r="H25" s="784" t="e">
        <f>SUM(H23:H24)</f>
        <v>#REF!</v>
      </c>
      <c r="I25" s="785" t="e">
        <f>SUM(I23:I24)</f>
        <v>#REF!</v>
      </c>
      <c r="J25" s="779" t="e">
        <f>SUM(G25:I25)</f>
        <v>#REF!</v>
      </c>
      <c r="L25" s="174"/>
    </row>
    <row r="26" spans="1:12" ht="16.5" thickBot="1" x14ac:dyDescent="0.3">
      <c r="A26" s="18" t="s">
        <v>10</v>
      </c>
      <c r="B26" s="872" t="s">
        <v>245</v>
      </c>
      <c r="C26" s="763">
        <v>246081</v>
      </c>
      <c r="D26" s="763">
        <v>192444</v>
      </c>
      <c r="E26" s="763">
        <v>187763</v>
      </c>
      <c r="F26" s="937">
        <f>SUM(C26:E26)</f>
        <v>626288</v>
      </c>
      <c r="G26" s="936">
        <f>'YGS Table A '!C26</f>
        <v>147000</v>
      </c>
      <c r="H26" s="781" t="e">
        <f>'CNG Table A'!#REF!</f>
        <v>#REF!</v>
      </c>
      <c r="I26" s="782" t="e">
        <f>'SCG Table A'!#REF!</f>
        <v>#REF!</v>
      </c>
      <c r="J26" s="780" t="e">
        <f>SUM(G26:I26)</f>
        <v>#REF!</v>
      </c>
      <c r="L26" s="174"/>
    </row>
    <row r="27" spans="1:12" s="1" customFormat="1" ht="16.5" thickBot="1" x14ac:dyDescent="0.3">
      <c r="A27" s="19"/>
      <c r="B27" s="26" t="s">
        <v>206</v>
      </c>
      <c r="C27" s="489">
        <f t="shared" ref="C27:J27" si="1">C26+C25+C21</f>
        <v>6182075</v>
      </c>
      <c r="D27" s="489">
        <f t="shared" si="1"/>
        <v>4480751</v>
      </c>
      <c r="E27" s="489">
        <f t="shared" si="1"/>
        <v>3909561</v>
      </c>
      <c r="F27" s="489">
        <f t="shared" si="1"/>
        <v>14572387</v>
      </c>
      <c r="G27" s="489">
        <f t="shared" si="1"/>
        <v>3891000</v>
      </c>
      <c r="H27" s="489" t="e">
        <f t="shared" si="1"/>
        <v>#REF!</v>
      </c>
      <c r="I27" s="489" t="e">
        <f t="shared" si="1"/>
        <v>#REF!</v>
      </c>
      <c r="J27" s="101" t="e">
        <f t="shared" si="1"/>
        <v>#REF!</v>
      </c>
      <c r="L27" s="174"/>
    </row>
    <row r="28" spans="1:12" ht="15.75" x14ac:dyDescent="0.25">
      <c r="B28" s="651"/>
      <c r="C28" s="161"/>
      <c r="D28" s="161"/>
      <c r="E28" s="161"/>
      <c r="F28" s="161"/>
      <c r="G28" s="950"/>
      <c r="H28" s="951"/>
      <c r="I28" s="951"/>
      <c r="J28" s="952"/>
    </row>
    <row r="29" spans="1:12" ht="16.5" thickBot="1" x14ac:dyDescent="0.3">
      <c r="B29" s="651" t="s">
        <v>335</v>
      </c>
      <c r="C29" s="146"/>
      <c r="D29" s="146"/>
      <c r="E29" s="146"/>
      <c r="F29" s="146"/>
      <c r="G29" s="665"/>
      <c r="H29" s="665"/>
      <c r="I29" s="665"/>
      <c r="J29" s="666"/>
    </row>
    <row r="30" spans="1:12" ht="15" x14ac:dyDescent="0.2">
      <c r="B30" s="953" t="s">
        <v>336</v>
      </c>
      <c r="C30" s="770">
        <v>0</v>
      </c>
      <c r="D30" s="770"/>
      <c r="E30" s="770"/>
      <c r="F30" s="770">
        <f>C30+D30+E30</f>
        <v>0</v>
      </c>
      <c r="G30" s="770">
        <f>'YGS Table A '!C30</f>
        <v>150000</v>
      </c>
      <c r="H30" s="770" t="e">
        <f>'CNG Table A'!#REF!</f>
        <v>#REF!</v>
      </c>
      <c r="I30" s="770" t="e">
        <f>'SCG Table A'!#REF!</f>
        <v>#REF!</v>
      </c>
      <c r="J30" s="771" t="e">
        <f>SUM(G30:I30)</f>
        <v>#REF!</v>
      </c>
    </row>
    <row r="31" spans="1:12" ht="15" x14ac:dyDescent="0.2">
      <c r="B31" s="693" t="s">
        <v>411</v>
      </c>
      <c r="C31" s="760">
        <v>0</v>
      </c>
      <c r="D31" s="760"/>
      <c r="E31" s="760"/>
      <c r="F31" s="760">
        <f>C31+D31+E31</f>
        <v>0</v>
      </c>
      <c r="G31" s="760">
        <f>'YGS Table A '!C31</f>
        <v>50000</v>
      </c>
      <c r="H31" s="760" t="e">
        <f>'CNG Table A'!#REF!</f>
        <v>#REF!</v>
      </c>
      <c r="I31" s="760" t="e">
        <f>'SCG Table A'!#REF!</f>
        <v>#REF!</v>
      </c>
      <c r="J31" s="772" t="e">
        <f>SUM(G31:I31)</f>
        <v>#REF!</v>
      </c>
    </row>
    <row r="32" spans="1:12" ht="16.5" thickBot="1" x14ac:dyDescent="0.3">
      <c r="B32" s="954" t="s">
        <v>337</v>
      </c>
      <c r="C32" s="955">
        <f>SUM(C30:C31)</f>
        <v>0</v>
      </c>
      <c r="D32" s="955">
        <f t="shared" ref="D32:J32" si="2">SUM(D30:D31)</f>
        <v>0</v>
      </c>
      <c r="E32" s="955">
        <f t="shared" si="2"/>
        <v>0</v>
      </c>
      <c r="F32" s="955">
        <f t="shared" si="2"/>
        <v>0</v>
      </c>
      <c r="G32" s="955">
        <f t="shared" si="2"/>
        <v>200000</v>
      </c>
      <c r="H32" s="955" t="e">
        <f t="shared" si="2"/>
        <v>#REF!</v>
      </c>
      <c r="I32" s="955" t="e">
        <f t="shared" si="2"/>
        <v>#REF!</v>
      </c>
      <c r="J32" s="956" t="e">
        <f t="shared" si="2"/>
        <v>#REF!</v>
      </c>
    </row>
    <row r="33" spans="1:12" s="1" customFormat="1" ht="15.75" x14ac:dyDescent="0.25">
      <c r="A33" s="19"/>
      <c r="B33" s="27"/>
      <c r="C33" s="161"/>
      <c r="D33" s="161"/>
      <c r="E33" s="161"/>
      <c r="F33" s="161"/>
      <c r="G33" s="485"/>
      <c r="L33" s="174"/>
    </row>
    <row r="34" spans="1:12" ht="16.5" thickBot="1" x14ac:dyDescent="0.3">
      <c r="A34" s="15"/>
      <c r="B34" s="27" t="s">
        <v>108</v>
      </c>
      <c r="C34" s="146"/>
      <c r="D34" s="146"/>
      <c r="E34" s="146"/>
      <c r="F34" s="146"/>
      <c r="G34" s="13"/>
      <c r="H34" s="13"/>
      <c r="I34" s="13"/>
      <c r="J34" s="13"/>
      <c r="K34" s="13"/>
      <c r="L34" s="174"/>
    </row>
    <row r="35" spans="1:12" s="3" customFormat="1" ht="15.75" x14ac:dyDescent="0.2">
      <c r="A35" s="17" t="s">
        <v>9</v>
      </c>
      <c r="B35" s="692" t="s">
        <v>147</v>
      </c>
      <c r="C35" s="214">
        <v>75000</v>
      </c>
      <c r="D35" s="214">
        <v>75000</v>
      </c>
      <c r="E35" s="214">
        <v>75000</v>
      </c>
      <c r="F35" s="467">
        <f>C35+D35+E35</f>
        <v>225000</v>
      </c>
      <c r="G35" s="214">
        <f>'YGS Table A '!C35</f>
        <v>75000</v>
      </c>
      <c r="H35" s="770" t="e">
        <f>'CNG Table A'!#REF!</f>
        <v>#REF!</v>
      </c>
      <c r="I35" s="771" t="e">
        <f>'SCG Table A'!#REF!</f>
        <v>#REF!</v>
      </c>
      <c r="J35" s="97" t="e">
        <f>SUM(G35:I35)</f>
        <v>#REF!</v>
      </c>
      <c r="K35" s="15"/>
      <c r="L35" s="174"/>
    </row>
    <row r="36" spans="1:12" s="3" customFormat="1" ht="15" x14ac:dyDescent="0.2">
      <c r="A36" s="17" t="s">
        <v>9</v>
      </c>
      <c r="B36" s="693" t="s">
        <v>178</v>
      </c>
      <c r="C36" s="465">
        <v>135000</v>
      </c>
      <c r="D36" s="465">
        <v>135000</v>
      </c>
      <c r="E36" s="465">
        <v>135000</v>
      </c>
      <c r="F36" s="470">
        <f>C36+D36+E36</f>
        <v>405000</v>
      </c>
      <c r="G36" s="465">
        <f>'YGS Table A '!C36</f>
        <v>100000</v>
      </c>
      <c r="H36" s="760" t="e">
        <f>'CNG Table A'!#REF!</f>
        <v>#REF!</v>
      </c>
      <c r="I36" s="772" t="e">
        <f>'SCG Table A'!#REF!</f>
        <v>#REF!</v>
      </c>
      <c r="J36" s="766" t="e">
        <f>SUM(G36:I36)</f>
        <v>#REF!</v>
      </c>
      <c r="K36" s="15"/>
      <c r="L36" s="174"/>
    </row>
    <row r="37" spans="1:12" s="3" customFormat="1" ht="16.5" thickBot="1" x14ac:dyDescent="0.25">
      <c r="A37" s="17" t="s">
        <v>10</v>
      </c>
      <c r="B37" s="694" t="s">
        <v>179</v>
      </c>
      <c r="C37" s="466">
        <v>75000</v>
      </c>
      <c r="D37" s="466">
        <v>75000</v>
      </c>
      <c r="E37" s="466">
        <v>75000</v>
      </c>
      <c r="F37" s="471">
        <f>C37+D37+E37</f>
        <v>225000</v>
      </c>
      <c r="G37" s="466">
        <f>'YGS Table A '!C37</f>
        <v>75000</v>
      </c>
      <c r="H37" s="773" t="e">
        <f>'CNG Table A'!#REF!</f>
        <v>#REF!</v>
      </c>
      <c r="I37" s="774" t="e">
        <f>'SCG Table A'!#REF!</f>
        <v>#REF!</v>
      </c>
      <c r="J37" s="786" t="e">
        <f>SUM(G37:I37)</f>
        <v>#REF!</v>
      </c>
      <c r="K37" s="15"/>
      <c r="L37" s="174"/>
    </row>
    <row r="38" spans="1:12" s="1" customFormat="1" ht="16.5" thickBot="1" x14ac:dyDescent="0.3">
      <c r="A38" s="19"/>
      <c r="B38" s="232" t="s">
        <v>119</v>
      </c>
      <c r="C38" s="489">
        <f t="shared" ref="C38:J38" si="3">SUM(C35:C37)</f>
        <v>285000</v>
      </c>
      <c r="D38" s="489">
        <f t="shared" si="3"/>
        <v>285000</v>
      </c>
      <c r="E38" s="489">
        <f t="shared" si="3"/>
        <v>285000</v>
      </c>
      <c r="F38" s="489">
        <f t="shared" si="3"/>
        <v>855000</v>
      </c>
      <c r="G38" s="489">
        <f>'YGS Table A '!C38</f>
        <v>250000</v>
      </c>
      <c r="H38" s="489" t="e">
        <f t="shared" si="3"/>
        <v>#REF!</v>
      </c>
      <c r="I38" s="489" t="e">
        <f t="shared" si="3"/>
        <v>#REF!</v>
      </c>
      <c r="J38" s="489" t="e">
        <f t="shared" si="3"/>
        <v>#REF!</v>
      </c>
      <c r="L38" s="174"/>
    </row>
    <row r="39" spans="1:12" ht="16.5" thickBot="1" x14ac:dyDescent="0.3">
      <c r="B39" s="651"/>
      <c r="C39" s="161"/>
      <c r="D39" s="161"/>
      <c r="E39" s="161"/>
      <c r="F39" s="161"/>
      <c r="G39" s="951"/>
      <c r="H39" s="951"/>
      <c r="I39" s="951"/>
      <c r="J39" s="952"/>
    </row>
    <row r="40" spans="1:12" ht="15.75" thickBot="1" x14ac:dyDescent="0.25">
      <c r="B40" s="958" t="s">
        <v>338</v>
      </c>
      <c r="C40" s="959">
        <v>0</v>
      </c>
      <c r="D40" s="959">
        <v>0</v>
      </c>
      <c r="E40" s="959">
        <v>0</v>
      </c>
      <c r="F40" s="959">
        <f>C40+D40+E40</f>
        <v>0</v>
      </c>
      <c r="G40" s="960">
        <f>'YGS Table A '!C40</f>
        <v>50000</v>
      </c>
      <c r="H40" s="960" t="e">
        <f>'CNG Table A'!#REF!</f>
        <v>#REF!</v>
      </c>
      <c r="I40" s="960" t="e">
        <f>'SCG Table A'!#REF!</f>
        <v>#REF!</v>
      </c>
      <c r="J40" s="961" t="e">
        <f>SUM(G40:I40)</f>
        <v>#REF!</v>
      </c>
    </row>
    <row r="41" spans="1:12" ht="16.5" thickBot="1" x14ac:dyDescent="0.3">
      <c r="B41" s="962" t="s">
        <v>339</v>
      </c>
      <c r="C41" s="963">
        <f>SUM(C40)</f>
        <v>0</v>
      </c>
      <c r="D41" s="963">
        <f t="shared" ref="D41:I41" si="4">SUM(D40)</f>
        <v>0</v>
      </c>
      <c r="E41" s="963">
        <f t="shared" si="4"/>
        <v>0</v>
      </c>
      <c r="F41" s="963">
        <f t="shared" si="4"/>
        <v>0</v>
      </c>
      <c r="G41" s="964">
        <f t="shared" si="4"/>
        <v>50000</v>
      </c>
      <c r="H41" s="964" t="e">
        <f t="shared" si="4"/>
        <v>#REF!</v>
      </c>
      <c r="I41" s="964" t="e">
        <f t="shared" si="4"/>
        <v>#REF!</v>
      </c>
      <c r="J41" s="964" t="e">
        <f>SUM(J40)</f>
        <v>#REF!</v>
      </c>
    </row>
    <row r="42" spans="1:12" ht="15.75" x14ac:dyDescent="0.25">
      <c r="B42" s="27"/>
      <c r="C42" s="517"/>
      <c r="D42" s="517"/>
      <c r="E42" s="517"/>
      <c r="F42" s="517"/>
      <c r="G42" s="517"/>
      <c r="H42" s="517"/>
      <c r="I42" s="517"/>
      <c r="J42" s="517"/>
    </row>
    <row r="43" spans="1:12" s="1" customFormat="1" ht="15.75" x14ac:dyDescent="0.25">
      <c r="A43" s="19"/>
      <c r="B43" s="27"/>
      <c r="C43" s="161"/>
      <c r="D43" s="161"/>
      <c r="E43" s="161"/>
      <c r="F43" s="161"/>
      <c r="L43" s="174"/>
    </row>
    <row r="44" spans="1:12" s="163" customFormat="1" ht="16.5" thickBot="1" x14ac:dyDescent="0.3">
      <c r="A44" s="13"/>
      <c r="B44" s="27" t="s">
        <v>120</v>
      </c>
      <c r="C44" s="161"/>
      <c r="D44" s="161"/>
      <c r="E44" s="161"/>
      <c r="F44" s="161"/>
      <c r="J44" s="518"/>
      <c r="L44" s="174"/>
    </row>
    <row r="45" spans="1:12" s="968" customFormat="1" ht="15" x14ac:dyDescent="0.2">
      <c r="B45" s="695" t="s">
        <v>340</v>
      </c>
      <c r="C45" s="469">
        <v>0</v>
      </c>
      <c r="D45" s="469">
        <v>0</v>
      </c>
      <c r="E45" s="469">
        <v>0</v>
      </c>
      <c r="F45" s="97">
        <f t="shared" ref="F45:F51" si="5">C45+D45+E45</f>
        <v>0</v>
      </c>
      <c r="G45" s="973">
        <f>'YGS Table A '!C45</f>
        <v>65000</v>
      </c>
      <c r="H45" s="469" t="e">
        <f>'CNG Table A'!#REF!</f>
        <v>#REF!</v>
      </c>
      <c r="I45" s="973" t="e">
        <f>'SCG Table A'!#REF!</f>
        <v>#REF!</v>
      </c>
      <c r="J45" s="469" t="e">
        <f t="shared" ref="J45:J51" si="6">SUM(G45:I45)</f>
        <v>#REF!</v>
      </c>
    </row>
    <row r="46" spans="1:12" s="968" customFormat="1" ht="15" x14ac:dyDescent="0.2">
      <c r="B46" s="99" t="s">
        <v>341</v>
      </c>
      <c r="C46" s="231">
        <v>0</v>
      </c>
      <c r="D46" s="231">
        <v>0</v>
      </c>
      <c r="E46" s="231">
        <v>0</v>
      </c>
      <c r="F46" s="766">
        <f t="shared" si="5"/>
        <v>0</v>
      </c>
      <c r="G46" s="974">
        <f>'YGS Table A '!C46</f>
        <v>75000</v>
      </c>
      <c r="H46" s="231" t="e">
        <f>'CNG Table A'!#REF!</f>
        <v>#REF!</v>
      </c>
      <c r="I46" s="974" t="e">
        <f>'SCG Table A'!#REF!</f>
        <v>#REF!</v>
      </c>
      <c r="J46" s="231" t="e">
        <f t="shared" si="6"/>
        <v>#REF!</v>
      </c>
    </row>
    <row r="47" spans="1:12" s="163" customFormat="1" ht="15" x14ac:dyDescent="0.2">
      <c r="A47" s="15" t="s">
        <v>11</v>
      </c>
      <c r="B47" s="966" t="s">
        <v>168</v>
      </c>
      <c r="C47" s="971">
        <v>52500</v>
      </c>
      <c r="D47" s="971">
        <v>45000</v>
      </c>
      <c r="E47" s="971">
        <v>45000</v>
      </c>
      <c r="F47" s="975">
        <f t="shared" si="5"/>
        <v>142500</v>
      </c>
      <c r="G47" s="488">
        <f>'YGS Table A '!C47</f>
        <v>60000</v>
      </c>
      <c r="H47" s="971" t="e">
        <f>'CNG Table A'!#REF!</f>
        <v>#REF!</v>
      </c>
      <c r="I47" s="975" t="e">
        <f>'SCG Table A'!#REF!</f>
        <v>#REF!</v>
      </c>
      <c r="J47" s="971" t="e">
        <f t="shared" si="6"/>
        <v>#REF!</v>
      </c>
      <c r="L47" s="174"/>
    </row>
    <row r="48" spans="1:12" s="163" customFormat="1" ht="15" x14ac:dyDescent="0.2">
      <c r="A48" s="15" t="s">
        <v>11</v>
      </c>
      <c r="B48" s="99" t="s">
        <v>121</v>
      </c>
      <c r="C48" s="231">
        <v>88500</v>
      </c>
      <c r="D48" s="231">
        <v>76500</v>
      </c>
      <c r="E48" s="231">
        <v>76500</v>
      </c>
      <c r="F48" s="974">
        <f t="shared" si="5"/>
        <v>241500</v>
      </c>
      <c r="G48" s="470">
        <f>'YGS Table A '!C48</f>
        <v>76500</v>
      </c>
      <c r="H48" s="231" t="e">
        <f>'CNG Table A'!#REF!</f>
        <v>#REF!</v>
      </c>
      <c r="I48" s="974" t="e">
        <f>'SCG Table A'!#REF!</f>
        <v>#REF!</v>
      </c>
      <c r="J48" s="231" t="e">
        <f t="shared" si="6"/>
        <v>#REF!</v>
      </c>
      <c r="L48" s="174"/>
    </row>
    <row r="49" spans="1:14" s="163" customFormat="1" ht="15" x14ac:dyDescent="0.2">
      <c r="A49" s="15" t="s">
        <v>11</v>
      </c>
      <c r="B49" s="99" t="s">
        <v>122</v>
      </c>
      <c r="C49" s="231">
        <v>426000</v>
      </c>
      <c r="D49" s="231">
        <v>387000</v>
      </c>
      <c r="E49" s="231">
        <v>387000</v>
      </c>
      <c r="F49" s="974">
        <f t="shared" si="5"/>
        <v>1200000</v>
      </c>
      <c r="G49" s="470">
        <f>'YGS Table A '!C49</f>
        <v>535000</v>
      </c>
      <c r="H49" s="231">
        <v>486000</v>
      </c>
      <c r="I49" s="974">
        <v>486000</v>
      </c>
      <c r="J49" s="231">
        <f t="shared" si="6"/>
        <v>1507000</v>
      </c>
      <c r="L49" s="174"/>
    </row>
    <row r="50" spans="1:14" s="163" customFormat="1" ht="15" x14ac:dyDescent="0.2">
      <c r="A50" s="15" t="s">
        <v>11</v>
      </c>
      <c r="B50" s="490" t="s">
        <v>221</v>
      </c>
      <c r="C50" s="231">
        <v>24750</v>
      </c>
      <c r="D50" s="231">
        <v>24750</v>
      </c>
      <c r="E50" s="231">
        <v>24750</v>
      </c>
      <c r="F50" s="974">
        <f t="shared" si="5"/>
        <v>74250</v>
      </c>
      <c r="G50" s="470">
        <f>'YGS Table A '!C50</f>
        <v>24750</v>
      </c>
      <c r="H50" s="231" t="e">
        <f>'CNG Table A'!#REF!</f>
        <v>#REF!</v>
      </c>
      <c r="I50" s="974" t="e">
        <f>'SCG Table A'!#REF!</f>
        <v>#REF!</v>
      </c>
      <c r="J50" s="231" t="e">
        <f t="shared" si="6"/>
        <v>#REF!</v>
      </c>
      <c r="L50" s="174"/>
    </row>
    <row r="51" spans="1:14" ht="15.75" thickBot="1" x14ac:dyDescent="0.25">
      <c r="B51" s="969" t="s">
        <v>343</v>
      </c>
      <c r="C51" s="682">
        <v>0</v>
      </c>
      <c r="D51" s="682"/>
      <c r="E51" s="682"/>
      <c r="F51" s="765">
        <f t="shared" si="5"/>
        <v>0</v>
      </c>
      <c r="G51" s="970">
        <f>'YGS Table A '!C51</f>
        <v>599325</v>
      </c>
      <c r="H51" s="682" t="e">
        <f>'CNG Table A'!#REF!</f>
        <v>#REF!</v>
      </c>
      <c r="I51" s="967" t="e">
        <f>'SCG Table A'!#REF!</f>
        <v>#REF!</v>
      </c>
      <c r="J51" s="971" t="e">
        <f t="shared" si="6"/>
        <v>#REF!</v>
      </c>
    </row>
    <row r="52" spans="1:14" s="1" customFormat="1" ht="16.5" thickBot="1" x14ac:dyDescent="0.3">
      <c r="A52" s="19"/>
      <c r="B52" s="648" t="s">
        <v>207</v>
      </c>
      <c r="C52" s="101">
        <f>SUM(C47:C50)</f>
        <v>591750</v>
      </c>
      <c r="D52" s="101">
        <f>SUM(D47:D50)</f>
        <v>533250</v>
      </c>
      <c r="E52" s="101">
        <f>SUM(E47:E50)</f>
        <v>533250</v>
      </c>
      <c r="F52" s="976">
        <f>SUM(F47:F50)</f>
        <v>1658250</v>
      </c>
      <c r="G52" s="873">
        <f>SUM(G45:G51)</f>
        <v>1435575</v>
      </c>
      <c r="H52" s="489" t="e">
        <f>SUM(H45:H51)</f>
        <v>#REF!</v>
      </c>
      <c r="I52" s="977" t="e">
        <f>SUM(I45:I51)</f>
        <v>#REF!</v>
      </c>
      <c r="J52" s="101" t="e">
        <f>SUM(J45:J51)</f>
        <v>#REF!</v>
      </c>
      <c r="L52" s="174"/>
    </row>
    <row r="53" spans="1:14" s="163" customFormat="1" ht="16.5" thickBot="1" x14ac:dyDescent="0.3">
      <c r="A53" s="13"/>
      <c r="B53" s="226" t="s">
        <v>123</v>
      </c>
      <c r="C53" s="161"/>
      <c r="D53" s="161"/>
      <c r="E53" s="161"/>
      <c r="F53" s="161"/>
      <c r="L53" s="174"/>
    </row>
    <row r="54" spans="1:14" s="4" customFormat="1" ht="15.75" x14ac:dyDescent="0.25">
      <c r="A54" s="20"/>
      <c r="B54" s="223" t="s">
        <v>7</v>
      </c>
      <c r="C54" s="224">
        <f>+C16+C35+C36+((C32+C46)*0.8)</f>
        <v>6198358.7999999998</v>
      </c>
      <c r="D54" s="224">
        <f t="shared" ref="D54:J54" si="7">+D16+D35+D36+((D32+D46)*0.8)</f>
        <v>5556820</v>
      </c>
      <c r="E54" s="472">
        <f t="shared" si="7"/>
        <v>5993173</v>
      </c>
      <c r="F54" s="476">
        <f t="shared" si="7"/>
        <v>17748351.800000001</v>
      </c>
      <c r="G54" s="476">
        <f t="shared" si="7"/>
        <v>7179000</v>
      </c>
      <c r="H54" s="476" t="e">
        <f t="shared" si="7"/>
        <v>#REF!</v>
      </c>
      <c r="I54" s="476" t="e">
        <f t="shared" si="7"/>
        <v>#REF!</v>
      </c>
      <c r="J54" s="476" t="e">
        <f t="shared" si="7"/>
        <v>#REF!</v>
      </c>
      <c r="L54" s="174"/>
      <c r="N54" s="484"/>
    </row>
    <row r="55" spans="1:14" s="4" customFormat="1" ht="15.75" x14ac:dyDescent="0.25">
      <c r="A55" s="20"/>
      <c r="B55" s="225" t="s">
        <v>8</v>
      </c>
      <c r="C55" s="218">
        <f t="shared" ref="C55:J55" si="8">+C27+C37+((C32+C46)*0.2)</f>
        <v>6257075</v>
      </c>
      <c r="D55" s="218">
        <f t="shared" si="8"/>
        <v>4555751</v>
      </c>
      <c r="E55" s="473">
        <f t="shared" si="8"/>
        <v>3984561</v>
      </c>
      <c r="F55" s="477">
        <f t="shared" si="8"/>
        <v>14797387</v>
      </c>
      <c r="G55" s="477">
        <f t="shared" si="8"/>
        <v>4021000</v>
      </c>
      <c r="H55" s="477" t="e">
        <f t="shared" si="8"/>
        <v>#REF!</v>
      </c>
      <c r="I55" s="477" t="e">
        <f t="shared" si="8"/>
        <v>#REF!</v>
      </c>
      <c r="J55" s="477" t="e">
        <f t="shared" si="8"/>
        <v>#REF!</v>
      </c>
      <c r="L55" s="174"/>
    </row>
    <row r="56" spans="1:14" s="4" customFormat="1" ht="16.5" thickBot="1" x14ac:dyDescent="0.3">
      <c r="A56" s="13"/>
      <c r="B56" s="491" t="s">
        <v>12</v>
      </c>
      <c r="C56" s="235">
        <f t="shared" ref="C56:J56" si="9">+C40+C45+SUM(C47:C51)</f>
        <v>591750</v>
      </c>
      <c r="D56" s="219">
        <f t="shared" si="9"/>
        <v>533250</v>
      </c>
      <c r="E56" s="474">
        <f t="shared" si="9"/>
        <v>533250</v>
      </c>
      <c r="F56" s="477">
        <f t="shared" si="9"/>
        <v>1658250</v>
      </c>
      <c r="G56" s="479">
        <f t="shared" si="9"/>
        <v>1410575</v>
      </c>
      <c r="H56" s="481" t="e">
        <f t="shared" si="9"/>
        <v>#REF!</v>
      </c>
      <c r="I56" s="481" t="e">
        <f t="shared" si="9"/>
        <v>#REF!</v>
      </c>
      <c r="J56" s="481" t="e">
        <f t="shared" si="9"/>
        <v>#REF!</v>
      </c>
      <c r="L56" s="174"/>
    </row>
    <row r="57" spans="1:14" s="1" customFormat="1" ht="16.5" thickBot="1" x14ac:dyDescent="0.3">
      <c r="A57" s="13"/>
      <c r="B57" s="26" t="s">
        <v>33</v>
      </c>
      <c r="C57" s="234">
        <f t="shared" ref="C57:J57" si="10">SUM(C54:C56)</f>
        <v>13047183.800000001</v>
      </c>
      <c r="D57" s="188">
        <f t="shared" si="10"/>
        <v>10645821</v>
      </c>
      <c r="E57" s="475">
        <f t="shared" si="10"/>
        <v>10510984</v>
      </c>
      <c r="F57" s="478">
        <f t="shared" si="10"/>
        <v>34203988.799999997</v>
      </c>
      <c r="G57" s="480">
        <f t="shared" si="10"/>
        <v>12610575</v>
      </c>
      <c r="H57" s="482" t="e">
        <f t="shared" si="10"/>
        <v>#REF!</v>
      </c>
      <c r="I57" s="483" t="e">
        <f t="shared" si="10"/>
        <v>#REF!</v>
      </c>
      <c r="J57" s="478" t="e">
        <f t="shared" si="10"/>
        <v>#REF!</v>
      </c>
      <c r="L57" s="174"/>
    </row>
    <row r="58" spans="1:14" x14ac:dyDescent="0.2">
      <c r="A58" s="19"/>
      <c r="C58" s="12"/>
      <c r="D58" s="12"/>
      <c r="E58" s="12"/>
      <c r="F58" s="48"/>
      <c r="G58" s="14"/>
      <c r="H58" s="14"/>
      <c r="I58" s="14"/>
    </row>
    <row r="59" spans="1:14" ht="15" x14ac:dyDescent="0.2">
      <c r="C59" s="238"/>
      <c r="D59" s="239"/>
      <c r="E59" s="503"/>
      <c r="F59" s="240"/>
      <c r="H59" s="14"/>
      <c r="I59" s="14"/>
    </row>
    <row r="60" spans="1:14" x14ac:dyDescent="0.2">
      <c r="B60" s="15"/>
      <c r="C60" s="3"/>
      <c r="D60" s="174"/>
      <c r="E60" s="3"/>
      <c r="F60" s="609"/>
    </row>
    <row r="61" spans="1:14" x14ac:dyDescent="0.2">
      <c r="B61" s="15"/>
      <c r="C61" s="14"/>
      <c r="D61" s="14"/>
    </row>
    <row r="62" spans="1:14" x14ac:dyDescent="0.2">
      <c r="B62" s="3"/>
      <c r="C62" s="3"/>
      <c r="D62" s="3"/>
    </row>
    <row r="63" spans="1:14" x14ac:dyDescent="0.2">
      <c r="B63" s="3"/>
      <c r="C63" s="14"/>
    </row>
    <row r="64" spans="1:14" x14ac:dyDescent="0.2">
      <c r="B64" s="3"/>
    </row>
    <row r="65" spans="2:6" ht="20.25" x14ac:dyDescent="0.3">
      <c r="B65" s="2849"/>
      <c r="C65" s="2849"/>
      <c r="D65" s="2849"/>
      <c r="E65" s="2849"/>
      <c r="F65" s="2849"/>
    </row>
    <row r="66" spans="2:6" ht="20.25" x14ac:dyDescent="0.3">
      <c r="B66" s="2849"/>
      <c r="C66" s="2849"/>
      <c r="D66" s="2849"/>
      <c r="E66" s="2849"/>
      <c r="F66" s="2849"/>
    </row>
    <row r="67" spans="2:6" ht="20.25" x14ac:dyDescent="0.3">
      <c r="B67" s="2849"/>
      <c r="C67" s="2849"/>
      <c r="D67" s="2849"/>
      <c r="E67" s="2849"/>
      <c r="F67" s="2849"/>
    </row>
  </sheetData>
  <mergeCells count="9">
    <mergeCell ref="B2:J2"/>
    <mergeCell ref="B3:J3"/>
    <mergeCell ref="B4:J4"/>
    <mergeCell ref="B67:F67"/>
    <mergeCell ref="B65:F65"/>
    <mergeCell ref="B66:F66"/>
    <mergeCell ref="C6:F6"/>
    <mergeCell ref="G6:J6"/>
    <mergeCell ref="B19:F19"/>
  </mergeCells>
  <phoneticPr fontId="10" type="noConversion"/>
  <printOptions horizontalCentered="1" verticalCentered="1"/>
  <pageMargins left="0.5" right="0.5" top="0.22" bottom="1.18" header="0.22" footer="0.23"/>
  <pageSetup scale="50" orientation="landscape" r:id="rId1"/>
  <headerFooter alignWithMargins="0">
    <oddFooter>&amp;R&amp;14
&amp;C&amp;"Arial"&amp;11&amp;K000000
Totals may vary due to rounding_x000D_&amp;1#&amp;"Calibri"&amp;12&amp;K008000Internal Use</oddFooter>
  </headerFooter>
  <ignoredErrors>
    <ignoredError sqref="J13:J15 J47:J50 J24 J35:J3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indexed="47"/>
    <pageSetUpPr fitToPage="1"/>
  </sheetPr>
  <dimension ref="A1:I148"/>
  <sheetViews>
    <sheetView topLeftCell="A13" zoomScale="80" zoomScaleNormal="80" zoomScaleSheetLayoutView="25" workbookViewId="0">
      <selection activeCell="H14" sqref="H14"/>
    </sheetView>
  </sheetViews>
  <sheetFormatPr defaultRowHeight="15" x14ac:dyDescent="0.2"/>
  <cols>
    <col min="1" max="1" width="46.5703125" bestFit="1" customWidth="1"/>
    <col min="2" max="2" width="5.7109375" hidden="1" customWidth="1"/>
    <col min="3" max="3" width="9.140625" hidden="1" customWidth="1"/>
    <col min="4" max="4" width="18.5703125" style="723" bestFit="1" customWidth="1"/>
    <col min="5" max="5" width="4.42578125" style="723" customWidth="1"/>
    <col min="6" max="7" width="18.5703125" style="723" customWidth="1"/>
    <col min="8" max="8" width="19.42578125" style="723" customWidth="1"/>
  </cols>
  <sheetData>
    <row r="1" spans="1:8" ht="15" customHeight="1" x14ac:dyDescent="0.2">
      <c r="A1" s="2859" t="s">
        <v>37</v>
      </c>
      <c r="B1" s="2859"/>
      <c r="C1" s="2859"/>
      <c r="D1" s="2859"/>
      <c r="E1" s="2859"/>
      <c r="F1" s="2859"/>
      <c r="G1" s="2859"/>
      <c r="H1" s="2859"/>
    </row>
    <row r="2" spans="1:8" ht="15" customHeight="1" x14ac:dyDescent="0.2">
      <c r="A2" s="2859" t="s">
        <v>260</v>
      </c>
      <c r="B2" s="2859"/>
      <c r="C2" s="2859"/>
      <c r="D2" s="2859"/>
      <c r="E2" s="2859"/>
      <c r="F2" s="2859"/>
      <c r="G2" s="2859"/>
      <c r="H2" s="2859"/>
    </row>
    <row r="3" spans="1:8" ht="15" customHeight="1" x14ac:dyDescent="0.2">
      <c r="A3" s="2859" t="s">
        <v>261</v>
      </c>
      <c r="B3" s="2859"/>
      <c r="C3" s="2859"/>
      <c r="D3" s="2859"/>
      <c r="E3" s="2859"/>
      <c r="F3" s="2859"/>
      <c r="G3" s="2859"/>
      <c r="H3" s="2859"/>
    </row>
    <row r="4" spans="1:8" ht="15" customHeight="1" x14ac:dyDescent="0.2">
      <c r="A4" s="2859"/>
      <c r="B4" s="2859"/>
      <c r="C4" s="2859"/>
      <c r="D4" s="2859"/>
      <c r="E4" s="2859"/>
      <c r="F4" s="2859"/>
      <c r="G4" s="2859"/>
      <c r="H4" s="2859"/>
    </row>
    <row r="5" spans="1:8" ht="15" customHeight="1" x14ac:dyDescent="0.2">
      <c r="A5" s="212"/>
      <c r="B5" s="212"/>
      <c r="C5" s="212"/>
      <c r="D5" s="212"/>
      <c r="E5" s="212"/>
      <c r="F5" s="212"/>
      <c r="G5" s="212"/>
      <c r="H5" s="212"/>
    </row>
    <row r="6" spans="1:8" ht="15" customHeight="1" x14ac:dyDescent="0.25">
      <c r="A6" s="2857" t="s">
        <v>305</v>
      </c>
      <c r="B6" s="2858"/>
      <c r="C6" s="2858"/>
      <c r="D6" s="2858"/>
      <c r="E6" s="2858"/>
      <c r="F6" s="2858"/>
      <c r="G6" s="2858"/>
      <c r="H6" s="2858"/>
    </row>
    <row r="7" spans="1:8" ht="15" customHeight="1" x14ac:dyDescent="0.25">
      <c r="A7" s="708"/>
      <c r="B7" s="708"/>
      <c r="C7" s="708"/>
      <c r="D7" s="709"/>
      <c r="E7" s="709"/>
      <c r="F7" s="709"/>
      <c r="G7" s="709"/>
      <c r="H7" s="709"/>
    </row>
    <row r="8" spans="1:8" ht="15" customHeight="1" x14ac:dyDescent="0.25">
      <c r="A8" s="707"/>
      <c r="B8" s="707"/>
      <c r="C8" s="707"/>
      <c r="D8" s="710"/>
      <c r="E8" s="710"/>
      <c r="F8" s="710"/>
      <c r="G8" s="710"/>
      <c r="H8" s="710"/>
    </row>
    <row r="9" spans="1:8" ht="15" customHeight="1" x14ac:dyDescent="0.25">
      <c r="A9" s="707"/>
      <c r="B9" s="707"/>
      <c r="C9" s="707"/>
      <c r="D9" s="711" t="s">
        <v>306</v>
      </c>
      <c r="E9" s="710"/>
      <c r="F9" s="710"/>
      <c r="G9" s="710"/>
      <c r="H9" s="711" t="s">
        <v>306</v>
      </c>
    </row>
    <row r="10" spans="1:8" ht="15" customHeight="1" x14ac:dyDescent="0.25">
      <c r="A10" s="707"/>
      <c r="B10" s="707"/>
      <c r="C10" s="707"/>
      <c r="D10" s="711" t="s">
        <v>262</v>
      </c>
      <c r="E10" s="711"/>
      <c r="F10" s="711"/>
      <c r="G10" s="711"/>
      <c r="H10" s="710" t="s">
        <v>263</v>
      </c>
    </row>
    <row r="11" spans="1:8" ht="15" customHeight="1" x14ac:dyDescent="0.25">
      <c r="B11" s="707"/>
      <c r="C11" s="707"/>
      <c r="D11" s="710" t="s">
        <v>186</v>
      </c>
      <c r="E11" s="710"/>
      <c r="F11" s="711" t="s">
        <v>306</v>
      </c>
      <c r="G11" s="711" t="s">
        <v>306</v>
      </c>
      <c r="H11" s="712" t="s">
        <v>264</v>
      </c>
    </row>
    <row r="12" spans="1:8" ht="14.25" customHeight="1" x14ac:dyDescent="0.25">
      <c r="A12" s="707"/>
      <c r="B12" s="707"/>
      <c r="C12" s="707"/>
      <c r="D12" s="710" t="s">
        <v>265</v>
      </c>
      <c r="E12" s="710"/>
      <c r="F12" s="710" t="s">
        <v>263</v>
      </c>
      <c r="G12" s="710" t="s">
        <v>1</v>
      </c>
      <c r="H12" s="709" t="s">
        <v>266</v>
      </c>
    </row>
    <row r="13" spans="1:8" ht="15" customHeight="1" thickBot="1" x14ac:dyDescent="0.3">
      <c r="A13" s="13"/>
      <c r="B13" s="713"/>
      <c r="C13" s="713"/>
      <c r="D13" s="714" t="s">
        <v>307</v>
      </c>
      <c r="E13" s="714"/>
      <c r="F13" s="715" t="s">
        <v>264</v>
      </c>
      <c r="G13" s="714" t="s">
        <v>344</v>
      </c>
      <c r="H13" s="715" t="s">
        <v>1</v>
      </c>
    </row>
    <row r="14" spans="1:8" ht="15" customHeight="1" x14ac:dyDescent="0.25">
      <c r="A14" s="716" t="s">
        <v>267</v>
      </c>
      <c r="B14" s="665"/>
      <c r="C14" s="665"/>
      <c r="D14" s="717"/>
      <c r="E14" s="717"/>
      <c r="F14" s="712"/>
      <c r="G14" s="717"/>
      <c r="H14" s="712"/>
    </row>
    <row r="15" spans="1:8" ht="15" customHeight="1" thickBot="1" x14ac:dyDescent="0.3">
      <c r="A15" s="718" t="s">
        <v>268</v>
      </c>
      <c r="B15" s="713"/>
      <c r="C15" s="713"/>
      <c r="D15" s="714"/>
      <c r="E15" s="714"/>
      <c r="F15" s="715"/>
      <c r="G15" s="714"/>
      <c r="H15" s="715"/>
    </row>
    <row r="16" spans="1:8" ht="15" customHeight="1" x14ac:dyDescent="0.2">
      <c r="A16" s="132" t="s">
        <v>283</v>
      </c>
      <c r="B16" s="180"/>
      <c r="C16" s="180"/>
      <c r="D16" s="32" t="e">
        <f>('CNG Income Eligible'!#REF!)/1000</f>
        <v>#REF!</v>
      </c>
      <c r="E16" s="719"/>
      <c r="F16" s="800">
        <f>('CNG Income Eligible'!J15)/1000</f>
        <v>2911.9721699999991</v>
      </c>
      <c r="G16" s="890">
        <v>2104</v>
      </c>
      <c r="H16" s="719">
        <f>F16-G16</f>
        <v>807.9721699999991</v>
      </c>
    </row>
    <row r="17" spans="1:9" ht="15" customHeight="1" x14ac:dyDescent="0.2">
      <c r="A17" s="132" t="s">
        <v>160</v>
      </c>
      <c r="B17" s="180"/>
      <c r="C17" s="180"/>
      <c r="D17" s="884" t="e">
        <f>('CNG HES'!#REF!)/1000</f>
        <v>#REF!</v>
      </c>
      <c r="E17" s="720"/>
      <c r="F17" s="105" t="e">
        <f>('CNG HES'!#REF!)/1000</f>
        <v>#REF!</v>
      </c>
      <c r="G17" s="592">
        <v>2852</v>
      </c>
      <c r="H17" s="721" t="e">
        <f>F17-G17</f>
        <v>#REF!</v>
      </c>
    </row>
    <row r="18" spans="1:9" ht="15" customHeight="1" x14ac:dyDescent="0.2">
      <c r="A18" s="132" t="s">
        <v>230</v>
      </c>
      <c r="B18" s="180"/>
      <c r="C18" s="180"/>
      <c r="D18" s="884" t="e">
        <f>('CNG New Construction'!#REF!)/1000</f>
        <v>#REF!</v>
      </c>
      <c r="E18" s="720"/>
      <c r="F18" s="105" t="e">
        <f>('CNG New Construction'!#REF!)/1000</f>
        <v>#REF!</v>
      </c>
      <c r="G18" s="592">
        <v>350</v>
      </c>
      <c r="H18" s="721" t="e">
        <f>F18-G18</f>
        <v>#REF!</v>
      </c>
    </row>
    <row r="19" spans="1:9" ht="15" customHeight="1" x14ac:dyDescent="0.2">
      <c r="A19" s="132" t="s">
        <v>197</v>
      </c>
      <c r="B19" s="665"/>
      <c r="C19" s="665"/>
      <c r="D19" s="884" t="e">
        <f>('CNG Water Heating'!#REF!)/1000</f>
        <v>#REF!</v>
      </c>
      <c r="E19" s="720"/>
      <c r="F19" s="105" t="e">
        <f>('CNG Water Heating'!#REF!)/1000</f>
        <v>#REF!</v>
      </c>
      <c r="G19" s="592">
        <v>40</v>
      </c>
      <c r="H19" s="721" t="e">
        <f>F19-G19</f>
        <v>#REF!</v>
      </c>
    </row>
    <row r="20" spans="1:9" s="7" customFormat="1" ht="15" customHeight="1" x14ac:dyDescent="0.2">
      <c r="A20" s="102" t="s">
        <v>269</v>
      </c>
      <c r="B20" s="186"/>
      <c r="C20" s="186"/>
      <c r="D20" s="733" t="e">
        <f>SUM(D16:D19)</f>
        <v>#REF!</v>
      </c>
      <c r="E20" s="733"/>
      <c r="F20" s="733" t="e">
        <f>SUM(F16:F19)</f>
        <v>#REF!</v>
      </c>
      <c r="G20" s="733">
        <f>SUM(G16:G19)</f>
        <v>5346</v>
      </c>
      <c r="H20" s="733" t="e">
        <f>SUM(H16:H19)</f>
        <v>#REF!</v>
      </c>
    </row>
    <row r="21" spans="1:9" ht="15" customHeight="1" x14ac:dyDescent="0.2">
      <c r="A21" s="180"/>
      <c r="B21" s="180"/>
      <c r="C21" s="180"/>
      <c r="D21" s="879"/>
      <c r="E21" s="720"/>
      <c r="F21" s="885"/>
      <c r="G21" s="592"/>
    </row>
    <row r="22" spans="1:9" ht="15" customHeight="1" thickBot="1" x14ac:dyDescent="0.25">
      <c r="A22" s="724" t="s">
        <v>270</v>
      </c>
      <c r="B22" s="713"/>
      <c r="C22" s="713"/>
      <c r="D22" s="880"/>
      <c r="E22" s="725"/>
      <c r="F22" s="886"/>
      <c r="G22" s="887"/>
      <c r="H22" s="726"/>
    </row>
    <row r="23" spans="1:9" ht="15" customHeight="1" x14ac:dyDescent="0.2">
      <c r="A23" s="180" t="s">
        <v>285</v>
      </c>
      <c r="B23" s="665"/>
      <c r="C23" s="665"/>
      <c r="D23" s="32" t="e">
        <f>('CNG ECB'!#REF!)/1000</f>
        <v>#REF!</v>
      </c>
      <c r="E23" s="719"/>
      <c r="F23" s="884" t="e">
        <f>('CNG ECB'!#REF!)/1000</f>
        <v>#REF!</v>
      </c>
      <c r="G23" s="592">
        <v>2362</v>
      </c>
      <c r="H23" s="719" t="e">
        <f>F23-G23</f>
        <v>#REF!</v>
      </c>
    </row>
    <row r="24" spans="1:9" ht="15" customHeight="1" x14ac:dyDescent="0.2">
      <c r="A24" s="180" t="s">
        <v>275</v>
      </c>
      <c r="B24" s="665"/>
      <c r="C24" s="665"/>
      <c r="D24" s="801" t="e">
        <f>('CNG ENOPP'!#REF!)/1000</f>
        <v>#REF!</v>
      </c>
      <c r="E24" s="720"/>
      <c r="F24" s="105" t="e">
        <f>('CNG ENOPP'!#REF!)/1000</f>
        <v>#REF!</v>
      </c>
      <c r="G24" s="592">
        <v>1735</v>
      </c>
      <c r="H24" s="721" t="e">
        <f>F24-G24</f>
        <v>#REF!</v>
      </c>
    </row>
    <row r="25" spans="1:9" ht="15" customHeight="1" x14ac:dyDescent="0.2">
      <c r="A25" s="132" t="s">
        <v>276</v>
      </c>
      <c r="B25" s="665"/>
      <c r="C25" s="665"/>
      <c r="D25" s="801" t="e">
        <f>('CNG O&amp;M'!#REF!)/1000</f>
        <v>#REF!</v>
      </c>
      <c r="E25" s="720"/>
      <c r="F25" s="105" t="e">
        <f>('CNG O&amp;M'!#REF!)/1000</f>
        <v>#REF!</v>
      </c>
      <c r="G25" s="592">
        <v>191</v>
      </c>
      <c r="H25" s="721" t="e">
        <f>F25-G25</f>
        <v>#REF!</v>
      </c>
    </row>
    <row r="26" spans="1:9" ht="15" customHeight="1" x14ac:dyDescent="0.2">
      <c r="A26" s="132" t="s">
        <v>245</v>
      </c>
      <c r="B26" s="665"/>
      <c r="C26" s="665"/>
      <c r="D26" s="801" t="e">
        <f>'CNG SBEA'!#REF!/1000</f>
        <v>#REF!</v>
      </c>
      <c r="E26" s="720"/>
      <c r="F26" s="105" t="e">
        <f>'CNG SBEA'!#REF!/1000</f>
        <v>#REF!</v>
      </c>
      <c r="G26" s="592">
        <v>192</v>
      </c>
      <c r="H26" s="721" t="e">
        <f>F26-G26</f>
        <v>#REF!</v>
      </c>
    </row>
    <row r="27" spans="1:9" s="7" customFormat="1" ht="15" customHeight="1" x14ac:dyDescent="0.25">
      <c r="A27" s="728" t="s">
        <v>271</v>
      </c>
      <c r="B27" s="729"/>
      <c r="C27" s="729"/>
      <c r="D27" s="733" t="e">
        <f>SUM(D23:D26)</f>
        <v>#REF!</v>
      </c>
      <c r="E27" s="733"/>
      <c r="F27" s="733" t="e">
        <f>SUM(F23:F26)</f>
        <v>#REF!</v>
      </c>
      <c r="G27" s="733">
        <f>SUM(G23:G26)</f>
        <v>4480</v>
      </c>
      <c r="H27" s="733" t="e">
        <f>SUM(H23:H26)</f>
        <v>#REF!</v>
      </c>
      <c r="I27" s="891"/>
    </row>
    <row r="28" spans="1:9" ht="15" customHeight="1" x14ac:dyDescent="0.2">
      <c r="A28" s="730"/>
      <c r="B28" s="665"/>
      <c r="C28" s="665"/>
      <c r="D28" s="879"/>
      <c r="E28" s="720"/>
      <c r="F28" s="885"/>
      <c r="G28" s="592"/>
    </row>
    <row r="29" spans="1:9" ht="15" customHeight="1" thickBot="1" x14ac:dyDescent="0.25">
      <c r="A29" s="724" t="s">
        <v>277</v>
      </c>
      <c r="B29" s="713"/>
      <c r="C29" s="713"/>
      <c r="D29" s="881"/>
      <c r="E29" s="731"/>
      <c r="F29" s="888"/>
      <c r="G29" s="889"/>
      <c r="H29" s="732"/>
    </row>
    <row r="30" spans="1:9" ht="15" customHeight="1" x14ac:dyDescent="0.2">
      <c r="A30" s="13" t="s">
        <v>278</v>
      </c>
      <c r="B30" s="665"/>
      <c r="C30" s="665"/>
      <c r="D30" s="882">
        <v>0</v>
      </c>
      <c r="E30" s="727"/>
      <c r="F30" s="882">
        <v>57</v>
      </c>
      <c r="G30" s="592">
        <v>75</v>
      </c>
      <c r="H30" s="719">
        <f>F30-G30</f>
        <v>-18</v>
      </c>
    </row>
    <row r="31" spans="1:9" ht="15" customHeight="1" x14ac:dyDescent="0.2">
      <c r="A31" s="132" t="s">
        <v>279</v>
      </c>
      <c r="B31" s="665"/>
      <c r="C31" s="665"/>
      <c r="D31" s="526">
        <v>0</v>
      </c>
      <c r="E31" s="721"/>
      <c r="F31" s="526">
        <v>25</v>
      </c>
      <c r="G31" s="592">
        <v>135</v>
      </c>
      <c r="H31" s="721">
        <f>F31-G31</f>
        <v>-110</v>
      </c>
    </row>
    <row r="32" spans="1:9" ht="15" customHeight="1" x14ac:dyDescent="0.2">
      <c r="A32" s="132" t="s">
        <v>280</v>
      </c>
      <c r="B32" s="665"/>
      <c r="C32" s="665"/>
      <c r="D32" s="526">
        <v>0</v>
      </c>
      <c r="E32" s="721"/>
      <c r="F32" s="526">
        <v>25</v>
      </c>
      <c r="G32" s="592">
        <v>75</v>
      </c>
      <c r="H32" s="721">
        <f>F32-G32</f>
        <v>-50</v>
      </c>
    </row>
    <row r="33" spans="1:8" s="7" customFormat="1" ht="15" customHeight="1" x14ac:dyDescent="0.25">
      <c r="A33" s="728" t="s">
        <v>272</v>
      </c>
      <c r="B33" s="729"/>
      <c r="C33" s="729"/>
      <c r="D33" s="733">
        <f>SUM(D30:D32)</f>
        <v>0</v>
      </c>
      <c r="E33" s="733"/>
      <c r="F33" s="733">
        <f>SUM(F30:F32)</f>
        <v>107</v>
      </c>
      <c r="G33" s="733">
        <f>SUM(G30:G32)</f>
        <v>285</v>
      </c>
      <c r="H33" s="733">
        <f>SUM(H30:H32)</f>
        <v>-178</v>
      </c>
    </row>
    <row r="34" spans="1:8" ht="15" customHeight="1" x14ac:dyDescent="0.2">
      <c r="A34" s="734"/>
      <c r="B34" s="665"/>
      <c r="C34" s="665"/>
      <c r="D34" s="526"/>
      <c r="E34" s="721"/>
      <c r="F34" s="882"/>
      <c r="G34" s="882"/>
      <c r="H34" s="892"/>
    </row>
    <row r="35" spans="1:8" ht="15" customHeight="1" thickBot="1" x14ac:dyDescent="0.25">
      <c r="A35" s="718" t="s">
        <v>24</v>
      </c>
      <c r="B35" s="713"/>
      <c r="C35" s="713"/>
      <c r="D35" s="948"/>
      <c r="E35" s="726"/>
      <c r="F35" s="887"/>
      <c r="G35" s="887"/>
      <c r="H35" s="726"/>
    </row>
    <row r="36" spans="1:8" ht="15" customHeight="1" x14ac:dyDescent="0.2">
      <c r="A36" s="34" t="s">
        <v>330</v>
      </c>
      <c r="B36" s="665"/>
      <c r="C36" s="665"/>
      <c r="D36" s="882">
        <v>108</v>
      </c>
      <c r="E36" s="727"/>
      <c r="F36" s="882">
        <v>185</v>
      </c>
      <c r="G36" s="882">
        <v>0</v>
      </c>
      <c r="H36" s="727">
        <f>F36-G36</f>
        <v>185</v>
      </c>
    </row>
    <row r="37" spans="1:8" ht="15" customHeight="1" x14ac:dyDescent="0.2">
      <c r="A37" s="180" t="s">
        <v>273</v>
      </c>
      <c r="B37" s="665"/>
      <c r="C37" s="665"/>
      <c r="D37" s="592">
        <v>0</v>
      </c>
      <c r="E37" s="727"/>
      <c r="F37" s="592">
        <v>45</v>
      </c>
      <c r="G37" s="592">
        <v>45</v>
      </c>
      <c r="H37" s="721">
        <f>F37-G37</f>
        <v>0</v>
      </c>
    </row>
    <row r="38" spans="1:8" ht="15" customHeight="1" x14ac:dyDescent="0.2">
      <c r="A38" s="180" t="s">
        <v>281</v>
      </c>
      <c r="B38" s="665"/>
      <c r="C38" s="665"/>
      <c r="D38" s="526">
        <v>12</v>
      </c>
      <c r="E38" s="721"/>
      <c r="F38" s="526">
        <v>77</v>
      </c>
      <c r="G38" s="592">
        <v>77</v>
      </c>
      <c r="H38" s="721">
        <f>F38-G38</f>
        <v>0</v>
      </c>
    </row>
    <row r="39" spans="1:8" ht="15" customHeight="1" x14ac:dyDescent="0.2">
      <c r="A39" s="180" t="s">
        <v>282</v>
      </c>
      <c r="B39" s="665"/>
      <c r="C39" s="665"/>
      <c r="D39" s="526">
        <v>17</v>
      </c>
      <c r="E39" s="721"/>
      <c r="F39" s="526">
        <v>200</v>
      </c>
      <c r="G39" s="592">
        <v>388</v>
      </c>
      <c r="H39" s="721">
        <f>F39-G39</f>
        <v>-188</v>
      </c>
    </row>
    <row r="40" spans="1:8" ht="15" customHeight="1" x14ac:dyDescent="0.2">
      <c r="A40" s="13" t="s">
        <v>284</v>
      </c>
      <c r="B40" s="665"/>
      <c r="C40" s="665"/>
      <c r="D40" s="526">
        <v>5</v>
      </c>
      <c r="E40" s="721"/>
      <c r="F40" s="526">
        <v>25</v>
      </c>
      <c r="G40" s="592">
        <v>25</v>
      </c>
      <c r="H40" s="721">
        <f>F40-G40</f>
        <v>0</v>
      </c>
    </row>
    <row r="41" spans="1:8" s="7" customFormat="1" ht="15" customHeight="1" x14ac:dyDescent="0.25">
      <c r="A41" s="728" t="s">
        <v>274</v>
      </c>
      <c r="B41" s="729"/>
      <c r="C41" s="729"/>
      <c r="D41" s="733">
        <f>SUM(D36:D40)</f>
        <v>142</v>
      </c>
      <c r="E41" s="733"/>
      <c r="F41" s="733">
        <f>SUM(F36:F40)</f>
        <v>532</v>
      </c>
      <c r="G41" s="733">
        <f>SUM(G36:G40)</f>
        <v>535</v>
      </c>
      <c r="H41" s="733">
        <f>SUM(H36:H40)</f>
        <v>-3</v>
      </c>
    </row>
    <row r="42" spans="1:8" ht="15" customHeight="1" thickBot="1" x14ac:dyDescent="0.25">
      <c r="A42" s="735"/>
      <c r="B42" s="713"/>
      <c r="C42" s="713"/>
      <c r="D42" s="881"/>
      <c r="E42" s="731"/>
      <c r="F42" s="893"/>
      <c r="G42" s="893"/>
      <c r="H42" s="894"/>
    </row>
    <row r="43" spans="1:8" s="7" customFormat="1" ht="18" customHeight="1" thickBot="1" x14ac:dyDescent="0.3">
      <c r="A43" s="718" t="s">
        <v>0</v>
      </c>
      <c r="B43" s="736"/>
      <c r="C43" s="736"/>
      <c r="D43" s="737" t="e">
        <f>D20+D27+D33+D41</f>
        <v>#REF!</v>
      </c>
      <c r="E43" s="737"/>
      <c r="F43" s="737" t="e">
        <f>F20+F27+F33+F41</f>
        <v>#REF!</v>
      </c>
      <c r="G43" s="737">
        <f>G20+G27+G33+G41</f>
        <v>10646</v>
      </c>
      <c r="H43" s="737" t="e">
        <f>H20+H27+H33+H41</f>
        <v>#REF!</v>
      </c>
    </row>
    <row r="44" spans="1:8" ht="15" customHeight="1" x14ac:dyDescent="0.2">
      <c r="A44" s="730"/>
      <c r="B44" s="665"/>
      <c r="C44" s="665"/>
      <c r="D44" s="720"/>
      <c r="E44" s="720"/>
      <c r="F44" s="720"/>
      <c r="G44" s="720"/>
      <c r="H44" s="720"/>
    </row>
    <row r="45" spans="1:8" ht="15" customHeight="1" x14ac:dyDescent="0.2">
      <c r="A45" s="730"/>
      <c r="B45" s="665"/>
      <c r="C45" s="665"/>
      <c r="D45" s="720"/>
      <c r="E45" s="720"/>
      <c r="F45" s="720"/>
      <c r="G45" s="720"/>
      <c r="H45" s="720"/>
    </row>
    <row r="46" spans="1:8" x14ac:dyDescent="0.2">
      <c r="A46" s="13"/>
      <c r="B46" s="13"/>
      <c r="C46" s="13"/>
      <c r="D46" s="738"/>
      <c r="E46" s="738"/>
      <c r="F46" s="738"/>
      <c r="G46" s="738"/>
      <c r="H46" s="738"/>
    </row>
    <row r="47" spans="1:8" x14ac:dyDescent="0.2">
      <c r="A47" s="739"/>
      <c r="B47" s="13"/>
      <c r="C47" s="13"/>
      <c r="D47" s="738"/>
      <c r="E47" s="738"/>
      <c r="F47" s="738"/>
      <c r="G47" s="738"/>
      <c r="H47" s="738"/>
    </row>
    <row r="48" spans="1:8" x14ac:dyDescent="0.2">
      <c r="A48" s="13"/>
      <c r="B48" s="13"/>
      <c r="C48" s="13"/>
      <c r="D48" s="738"/>
      <c r="E48" s="738"/>
      <c r="F48" s="738"/>
      <c r="G48" s="738"/>
      <c r="H48" s="738"/>
    </row>
    <row r="49" spans="1:8" x14ac:dyDescent="0.2">
      <c r="A49" s="244"/>
      <c r="B49" s="13"/>
      <c r="C49" s="13"/>
      <c r="D49" s="738"/>
      <c r="E49" s="738"/>
      <c r="F49" s="738"/>
      <c r="G49" s="738"/>
      <c r="H49" s="738"/>
    </row>
    <row r="50" spans="1:8" x14ac:dyDescent="0.2">
      <c r="A50" s="244"/>
      <c r="B50" s="13"/>
      <c r="C50" s="13"/>
      <c r="D50" s="738"/>
      <c r="E50" s="738"/>
      <c r="F50" s="738"/>
      <c r="G50" s="738"/>
      <c r="H50" s="738"/>
    </row>
    <row r="51" spans="1:8" x14ac:dyDescent="0.2">
      <c r="A51" s="13"/>
      <c r="B51" s="13"/>
      <c r="C51" s="13"/>
      <c r="D51" s="738"/>
      <c r="E51" s="738"/>
      <c r="F51" s="738"/>
      <c r="G51" s="738"/>
      <c r="H51" s="738"/>
    </row>
    <row r="52" spans="1:8" x14ac:dyDescent="0.2">
      <c r="A52" s="13"/>
      <c r="B52" s="13"/>
      <c r="C52" s="13"/>
      <c r="D52" s="738"/>
      <c r="E52" s="738"/>
      <c r="F52" s="738"/>
      <c r="G52" s="738"/>
      <c r="H52" s="738"/>
    </row>
    <row r="53" spans="1:8" x14ac:dyDescent="0.2">
      <c r="A53" s="13"/>
      <c r="B53" s="13"/>
      <c r="C53" s="13"/>
      <c r="D53" s="738"/>
      <c r="E53" s="738"/>
      <c r="F53" s="738"/>
      <c r="G53" s="738"/>
      <c r="H53" s="738"/>
    </row>
    <row r="54" spans="1:8" x14ac:dyDescent="0.2">
      <c r="A54" s="13"/>
      <c r="B54" s="13"/>
      <c r="C54" s="13"/>
      <c r="D54" s="738"/>
      <c r="E54" s="738"/>
      <c r="F54" s="738"/>
      <c r="G54" s="738"/>
      <c r="H54" s="738"/>
    </row>
    <row r="55" spans="1:8" x14ac:dyDescent="0.2">
      <c r="A55" s="13"/>
      <c r="B55" s="13"/>
      <c r="C55" s="13"/>
      <c r="D55" s="738"/>
      <c r="E55" s="738"/>
      <c r="F55" s="738"/>
      <c r="G55" s="738"/>
      <c r="H55" s="738"/>
    </row>
    <row r="56" spans="1:8" x14ac:dyDescent="0.2">
      <c r="A56" s="13"/>
      <c r="B56" s="13"/>
      <c r="C56" s="13"/>
      <c r="D56" s="738"/>
      <c r="E56" s="738"/>
      <c r="F56" s="738"/>
      <c r="G56" s="738"/>
      <c r="H56" s="738"/>
    </row>
    <row r="57" spans="1:8" x14ac:dyDescent="0.2">
      <c r="A57" s="13"/>
      <c r="B57" s="13"/>
      <c r="C57" s="13"/>
      <c r="D57" s="738"/>
      <c r="E57" s="738"/>
      <c r="F57" s="738"/>
      <c r="G57" s="738"/>
      <c r="H57" s="738"/>
    </row>
    <row r="58" spans="1:8" x14ac:dyDescent="0.2">
      <c r="A58" s="13"/>
      <c r="B58" s="13"/>
      <c r="C58" s="13"/>
      <c r="D58" s="738"/>
      <c r="E58" s="738"/>
      <c r="F58" s="738"/>
      <c r="G58" s="738"/>
      <c r="H58" s="738"/>
    </row>
    <row r="59" spans="1:8" x14ac:dyDescent="0.2">
      <c r="A59" s="13"/>
      <c r="B59" s="13"/>
      <c r="C59" s="13"/>
      <c r="D59" s="738"/>
      <c r="E59" s="738"/>
      <c r="F59" s="738"/>
      <c r="G59" s="738"/>
      <c r="H59" s="738"/>
    </row>
    <row r="60" spans="1:8" x14ac:dyDescent="0.2">
      <c r="A60" s="13"/>
      <c r="B60" s="13"/>
      <c r="C60" s="13"/>
      <c r="D60" s="738"/>
      <c r="E60" s="738"/>
      <c r="F60" s="738"/>
      <c r="G60" s="738"/>
      <c r="H60" s="738"/>
    </row>
    <row r="61" spans="1:8" x14ac:dyDescent="0.2">
      <c r="A61" s="13"/>
      <c r="B61" s="13"/>
      <c r="C61" s="13"/>
      <c r="D61" s="738"/>
      <c r="E61" s="738"/>
      <c r="F61" s="738"/>
      <c r="G61" s="738"/>
      <c r="H61" s="738"/>
    </row>
    <row r="62" spans="1:8" x14ac:dyDescent="0.2">
      <c r="A62" s="13"/>
      <c r="B62" s="13"/>
      <c r="C62" s="13"/>
      <c r="D62" s="738"/>
      <c r="E62" s="738"/>
      <c r="F62" s="738"/>
      <c r="G62" s="738"/>
      <c r="H62" s="738"/>
    </row>
    <row r="63" spans="1:8" x14ac:dyDescent="0.2">
      <c r="A63" s="13"/>
      <c r="B63" s="13"/>
      <c r="C63" s="13"/>
      <c r="D63" s="738"/>
      <c r="E63" s="738"/>
      <c r="F63" s="738"/>
      <c r="G63" s="738"/>
      <c r="H63" s="738"/>
    </row>
    <row r="64" spans="1:8" x14ac:dyDescent="0.2">
      <c r="A64" s="13"/>
      <c r="B64" s="13"/>
      <c r="C64" s="13"/>
      <c r="D64" s="738"/>
      <c r="E64" s="738"/>
      <c r="F64" s="738"/>
      <c r="G64" s="738"/>
      <c r="H64" s="738"/>
    </row>
    <row r="65" spans="1:8" x14ac:dyDescent="0.2">
      <c r="A65" s="13"/>
      <c r="B65" s="13"/>
      <c r="C65" s="13"/>
      <c r="D65" s="738"/>
      <c r="E65" s="738"/>
      <c r="F65" s="738"/>
      <c r="G65" s="738"/>
      <c r="H65" s="738"/>
    </row>
    <row r="66" spans="1:8" x14ac:dyDescent="0.2">
      <c r="A66" s="13"/>
      <c r="B66" s="13"/>
      <c r="C66" s="13"/>
      <c r="D66" s="738"/>
      <c r="E66" s="738"/>
      <c r="F66" s="738"/>
      <c r="G66" s="738"/>
      <c r="H66" s="738"/>
    </row>
    <row r="67" spans="1:8" x14ac:dyDescent="0.2">
      <c r="A67" s="13"/>
      <c r="B67" s="13"/>
      <c r="C67" s="13"/>
      <c r="D67" s="738"/>
      <c r="E67" s="738"/>
      <c r="F67" s="738"/>
      <c r="G67" s="738"/>
      <c r="H67" s="738"/>
    </row>
    <row r="68" spans="1:8" x14ac:dyDescent="0.2">
      <c r="A68" s="13"/>
      <c r="B68" s="13"/>
      <c r="C68" s="13"/>
      <c r="D68" s="738"/>
      <c r="E68" s="738"/>
      <c r="F68" s="738"/>
      <c r="G68" s="738"/>
      <c r="H68" s="738"/>
    </row>
    <row r="69" spans="1:8" x14ac:dyDescent="0.2">
      <c r="A69" s="13"/>
      <c r="B69" s="13"/>
      <c r="C69" s="13"/>
      <c r="D69" s="738"/>
      <c r="E69" s="738"/>
      <c r="F69" s="738"/>
      <c r="G69" s="738"/>
      <c r="H69" s="738"/>
    </row>
    <row r="70" spans="1:8" x14ac:dyDescent="0.2">
      <c r="A70" s="13"/>
      <c r="B70" s="13"/>
      <c r="C70" s="13"/>
      <c r="D70" s="738"/>
      <c r="E70" s="738"/>
      <c r="F70" s="738"/>
      <c r="G70" s="738"/>
      <c r="H70" s="738"/>
    </row>
    <row r="71" spans="1:8" x14ac:dyDescent="0.2">
      <c r="A71" s="13"/>
      <c r="B71" s="13"/>
      <c r="C71" s="13"/>
      <c r="D71" s="738"/>
      <c r="E71" s="738"/>
      <c r="F71" s="738"/>
      <c r="G71" s="738"/>
      <c r="H71" s="738"/>
    </row>
    <row r="72" spans="1:8" x14ac:dyDescent="0.2">
      <c r="A72" s="13"/>
      <c r="B72" s="13"/>
      <c r="C72" s="13"/>
      <c r="D72" s="738"/>
      <c r="E72" s="738"/>
      <c r="F72" s="738"/>
      <c r="G72" s="738"/>
      <c r="H72" s="738"/>
    </row>
    <row r="73" spans="1:8" x14ac:dyDescent="0.2">
      <c r="A73" s="13"/>
      <c r="B73" s="13"/>
      <c r="C73" s="13"/>
      <c r="D73" s="738"/>
      <c r="E73" s="738"/>
      <c r="F73" s="738"/>
      <c r="G73" s="738"/>
      <c r="H73" s="738"/>
    </row>
    <row r="74" spans="1:8" x14ac:dyDescent="0.2">
      <c r="A74" s="13"/>
      <c r="B74" s="13"/>
      <c r="C74" s="13"/>
      <c r="D74" s="738"/>
      <c r="E74" s="738"/>
      <c r="F74" s="738"/>
      <c r="G74" s="738"/>
      <c r="H74" s="738"/>
    </row>
    <row r="75" spans="1:8" x14ac:dyDescent="0.2">
      <c r="A75" s="13"/>
      <c r="B75" s="13"/>
      <c r="C75" s="13"/>
      <c r="D75" s="738"/>
      <c r="E75" s="738"/>
      <c r="F75" s="738"/>
      <c r="G75" s="738"/>
      <c r="H75" s="738"/>
    </row>
    <row r="76" spans="1:8" x14ac:dyDescent="0.2">
      <c r="A76" s="13"/>
      <c r="B76" s="13"/>
      <c r="C76" s="13"/>
      <c r="D76" s="738"/>
      <c r="E76" s="738"/>
      <c r="F76" s="738"/>
      <c r="G76" s="738"/>
      <c r="H76" s="738"/>
    </row>
    <row r="77" spans="1:8" x14ac:dyDescent="0.2">
      <c r="A77" s="13"/>
      <c r="B77" s="13"/>
      <c r="C77" s="13"/>
      <c r="D77" s="738"/>
      <c r="E77" s="738"/>
      <c r="F77" s="738"/>
      <c r="G77" s="738"/>
      <c r="H77" s="738"/>
    </row>
    <row r="78" spans="1:8" x14ac:dyDescent="0.2">
      <c r="A78" s="13"/>
      <c r="B78" s="13"/>
      <c r="C78" s="13"/>
      <c r="D78" s="738"/>
      <c r="E78" s="738"/>
      <c r="F78" s="738"/>
      <c r="G78" s="738"/>
      <c r="H78" s="738"/>
    </row>
    <row r="79" spans="1:8" x14ac:dyDescent="0.2">
      <c r="A79" s="13"/>
      <c r="B79" s="13"/>
      <c r="C79" s="13"/>
      <c r="D79" s="738"/>
      <c r="E79" s="738"/>
      <c r="F79" s="738"/>
      <c r="G79" s="738"/>
      <c r="H79" s="738"/>
    </row>
    <row r="80" spans="1:8" x14ac:dyDescent="0.2">
      <c r="A80" s="13"/>
      <c r="B80" s="13"/>
      <c r="C80" s="13"/>
      <c r="D80" s="738"/>
      <c r="E80" s="738"/>
      <c r="F80" s="738"/>
      <c r="G80" s="738"/>
      <c r="H80" s="738"/>
    </row>
    <row r="81" spans="1:8" x14ac:dyDescent="0.2">
      <c r="A81" s="13"/>
      <c r="B81" s="13"/>
      <c r="C81" s="13"/>
      <c r="D81" s="738"/>
      <c r="E81" s="738"/>
      <c r="F81" s="738"/>
      <c r="G81" s="738"/>
      <c r="H81" s="738"/>
    </row>
    <row r="82" spans="1:8" x14ac:dyDescent="0.2">
      <c r="A82" s="13"/>
      <c r="B82" s="13"/>
      <c r="C82" s="13"/>
      <c r="D82" s="738"/>
      <c r="E82" s="738"/>
      <c r="F82" s="738"/>
      <c r="G82" s="738"/>
      <c r="H82" s="738"/>
    </row>
    <row r="83" spans="1:8" x14ac:dyDescent="0.2">
      <c r="A83" s="13"/>
      <c r="B83" s="13"/>
      <c r="C83" s="13"/>
      <c r="D83" s="738"/>
      <c r="E83" s="738"/>
      <c r="F83" s="738"/>
      <c r="G83" s="738"/>
      <c r="H83" s="738"/>
    </row>
    <row r="84" spans="1:8" x14ac:dyDescent="0.2">
      <c r="A84" s="13"/>
      <c r="B84" s="13"/>
      <c r="C84" s="13"/>
      <c r="D84" s="738"/>
      <c r="E84" s="738"/>
      <c r="F84" s="738"/>
      <c r="G84" s="738"/>
      <c r="H84" s="738"/>
    </row>
    <row r="85" spans="1:8" x14ac:dyDescent="0.2">
      <c r="A85" s="13"/>
      <c r="B85" s="13"/>
      <c r="C85" s="13"/>
      <c r="D85" s="738"/>
      <c r="E85" s="738"/>
      <c r="F85" s="738"/>
      <c r="G85" s="738"/>
      <c r="H85" s="738"/>
    </row>
    <row r="86" spans="1:8" x14ac:dyDescent="0.2">
      <c r="A86" s="13"/>
      <c r="B86" s="13"/>
      <c r="C86" s="13"/>
      <c r="D86" s="738"/>
      <c r="E86" s="738"/>
      <c r="F86" s="738"/>
      <c r="G86" s="738"/>
      <c r="H86" s="738"/>
    </row>
    <row r="87" spans="1:8" x14ac:dyDescent="0.2">
      <c r="A87" s="13"/>
      <c r="B87" s="13"/>
      <c r="C87" s="13"/>
      <c r="D87" s="738"/>
      <c r="E87" s="738"/>
      <c r="F87" s="738"/>
      <c r="G87" s="738"/>
      <c r="H87" s="738"/>
    </row>
    <row r="88" spans="1:8" x14ac:dyDescent="0.2">
      <c r="A88" s="13"/>
      <c r="B88" s="13"/>
      <c r="C88" s="13"/>
      <c r="D88" s="738"/>
      <c r="E88" s="738"/>
      <c r="F88" s="738"/>
      <c r="G88" s="738"/>
      <c r="H88" s="738"/>
    </row>
    <row r="89" spans="1:8" x14ac:dyDescent="0.2">
      <c r="A89" s="13"/>
      <c r="B89" s="13"/>
      <c r="C89" s="13"/>
      <c r="D89" s="738"/>
      <c r="E89" s="738"/>
      <c r="F89" s="738"/>
      <c r="G89" s="738"/>
      <c r="H89" s="738"/>
    </row>
    <row r="90" spans="1:8" x14ac:dyDescent="0.2">
      <c r="A90" s="13"/>
      <c r="B90" s="13"/>
      <c r="C90" s="13"/>
      <c r="D90" s="738"/>
      <c r="E90" s="738"/>
      <c r="F90" s="738"/>
      <c r="G90" s="738"/>
      <c r="H90" s="738"/>
    </row>
    <row r="91" spans="1:8" x14ac:dyDescent="0.2">
      <c r="A91" s="13"/>
      <c r="B91" s="13"/>
      <c r="C91" s="13"/>
      <c r="D91" s="738"/>
      <c r="E91" s="738"/>
      <c r="F91" s="738"/>
      <c r="G91" s="738"/>
      <c r="H91" s="738"/>
    </row>
    <row r="92" spans="1:8" x14ac:dyDescent="0.2">
      <c r="A92" s="13"/>
      <c r="B92" s="13"/>
      <c r="C92" s="13"/>
      <c r="D92" s="738"/>
      <c r="E92" s="738"/>
      <c r="F92" s="738"/>
      <c r="G92" s="738"/>
      <c r="H92" s="738"/>
    </row>
    <row r="93" spans="1:8" x14ac:dyDescent="0.2">
      <c r="A93" s="13"/>
      <c r="B93" s="13"/>
      <c r="C93" s="13"/>
      <c r="D93" s="738"/>
      <c r="E93" s="738"/>
      <c r="F93" s="738"/>
      <c r="G93" s="738"/>
      <c r="H93" s="738"/>
    </row>
    <row r="94" spans="1:8" x14ac:dyDescent="0.2">
      <c r="A94" s="13"/>
      <c r="B94" s="13"/>
      <c r="C94" s="13"/>
      <c r="D94" s="738"/>
      <c r="E94" s="738"/>
      <c r="F94" s="738"/>
      <c r="G94" s="738"/>
      <c r="H94" s="738"/>
    </row>
    <row r="95" spans="1:8" x14ac:dyDescent="0.2">
      <c r="A95" s="13"/>
      <c r="B95" s="13"/>
      <c r="C95" s="13"/>
      <c r="D95" s="738"/>
      <c r="E95" s="738"/>
      <c r="F95" s="738"/>
      <c r="G95" s="738"/>
      <c r="H95" s="738"/>
    </row>
    <row r="96" spans="1:8" x14ac:dyDescent="0.2">
      <c r="A96" s="13"/>
      <c r="B96" s="13"/>
      <c r="C96" s="13"/>
      <c r="D96" s="738"/>
      <c r="E96" s="738"/>
      <c r="F96" s="738"/>
      <c r="G96" s="738"/>
      <c r="H96" s="738"/>
    </row>
    <row r="97" spans="1:8" x14ac:dyDescent="0.2">
      <c r="A97" s="13"/>
      <c r="B97" s="13"/>
      <c r="C97" s="13"/>
      <c r="D97" s="738"/>
      <c r="E97" s="738"/>
      <c r="F97" s="738"/>
      <c r="G97" s="738"/>
      <c r="H97" s="738"/>
    </row>
    <row r="98" spans="1:8" x14ac:dyDescent="0.2">
      <c r="A98" s="13"/>
      <c r="B98" s="13"/>
      <c r="C98" s="13"/>
      <c r="D98" s="738"/>
      <c r="E98" s="738"/>
      <c r="F98" s="738"/>
      <c r="G98" s="738"/>
      <c r="H98" s="738"/>
    </row>
    <row r="99" spans="1:8" x14ac:dyDescent="0.2">
      <c r="A99" s="13"/>
      <c r="B99" s="13"/>
      <c r="C99" s="13"/>
      <c r="D99" s="738"/>
      <c r="E99" s="738"/>
      <c r="F99" s="738"/>
      <c r="G99" s="738"/>
      <c r="H99" s="738"/>
    </row>
    <row r="100" spans="1:8" x14ac:dyDescent="0.2">
      <c r="A100" s="13"/>
      <c r="B100" s="13"/>
      <c r="C100" s="13"/>
      <c r="D100" s="738"/>
      <c r="E100" s="738"/>
      <c r="F100" s="738"/>
      <c r="G100" s="738"/>
      <c r="H100" s="738"/>
    </row>
    <row r="101" spans="1:8" x14ac:dyDescent="0.2">
      <c r="A101" s="13"/>
      <c r="B101" s="13"/>
      <c r="C101" s="13"/>
      <c r="D101" s="738"/>
      <c r="E101" s="738"/>
      <c r="F101" s="738"/>
      <c r="G101" s="738"/>
      <c r="H101" s="738"/>
    </row>
    <row r="102" spans="1:8" x14ac:dyDescent="0.2">
      <c r="A102" s="13"/>
      <c r="B102" s="13"/>
      <c r="C102" s="13"/>
      <c r="D102" s="738"/>
      <c r="E102" s="738"/>
      <c r="F102" s="738"/>
      <c r="G102" s="738"/>
      <c r="H102" s="738"/>
    </row>
    <row r="103" spans="1:8" x14ac:dyDescent="0.2">
      <c r="A103" s="13"/>
      <c r="B103" s="13"/>
      <c r="C103" s="13"/>
      <c r="D103" s="738"/>
      <c r="E103" s="738"/>
      <c r="F103" s="738"/>
      <c r="G103" s="738"/>
      <c r="H103" s="738"/>
    </row>
    <row r="104" spans="1:8" x14ac:dyDescent="0.2">
      <c r="A104" s="13"/>
      <c r="B104" s="13"/>
      <c r="C104" s="13"/>
      <c r="D104" s="738"/>
      <c r="E104" s="738"/>
      <c r="F104" s="738"/>
      <c r="G104" s="738"/>
      <c r="H104" s="738"/>
    </row>
    <row r="105" spans="1:8" x14ac:dyDescent="0.2">
      <c r="A105" s="13"/>
      <c r="B105" s="13"/>
      <c r="C105" s="13"/>
      <c r="D105" s="738"/>
      <c r="E105" s="738"/>
      <c r="F105" s="738"/>
      <c r="G105" s="738"/>
      <c r="H105" s="738"/>
    </row>
    <row r="106" spans="1:8" x14ac:dyDescent="0.2">
      <c r="A106" s="13"/>
      <c r="B106" s="13"/>
      <c r="C106" s="13"/>
      <c r="D106" s="738"/>
      <c r="E106" s="738"/>
      <c r="F106" s="738"/>
      <c r="G106" s="738"/>
      <c r="H106" s="738"/>
    </row>
    <row r="107" spans="1:8" x14ac:dyDescent="0.2">
      <c r="A107" s="13"/>
      <c r="B107" s="13"/>
      <c r="C107" s="13"/>
      <c r="D107" s="738"/>
      <c r="E107" s="738"/>
      <c r="F107" s="738"/>
      <c r="G107" s="738"/>
      <c r="H107" s="738"/>
    </row>
    <row r="108" spans="1:8" x14ac:dyDescent="0.2">
      <c r="A108" s="13"/>
      <c r="B108" s="13"/>
      <c r="C108" s="13"/>
      <c r="D108" s="738"/>
      <c r="E108" s="738"/>
      <c r="F108" s="738"/>
      <c r="G108" s="738"/>
      <c r="H108" s="738"/>
    </row>
    <row r="109" spans="1:8" x14ac:dyDescent="0.2">
      <c r="A109" s="13"/>
      <c r="B109" s="13"/>
      <c r="C109" s="13"/>
      <c r="D109" s="738"/>
      <c r="E109" s="738"/>
      <c r="F109" s="738"/>
      <c r="G109" s="738"/>
      <c r="H109" s="738"/>
    </row>
    <row r="110" spans="1:8" x14ac:dyDescent="0.2">
      <c r="A110" s="13"/>
      <c r="B110" s="13"/>
      <c r="C110" s="13"/>
      <c r="D110" s="738"/>
      <c r="E110" s="738"/>
      <c r="F110" s="738"/>
      <c r="G110" s="738"/>
      <c r="H110" s="738"/>
    </row>
    <row r="111" spans="1:8" x14ac:dyDescent="0.2">
      <c r="A111" s="13"/>
      <c r="B111" s="13"/>
      <c r="C111" s="13"/>
      <c r="D111" s="738"/>
      <c r="E111" s="738"/>
      <c r="F111" s="738"/>
      <c r="G111" s="738"/>
      <c r="H111" s="738"/>
    </row>
    <row r="112" spans="1:8" x14ac:dyDescent="0.2">
      <c r="A112" s="13"/>
      <c r="B112" s="13"/>
      <c r="C112" s="13"/>
      <c r="D112" s="738"/>
      <c r="E112" s="738"/>
      <c r="F112" s="738"/>
      <c r="G112" s="738"/>
      <c r="H112" s="738"/>
    </row>
    <row r="113" spans="1:8" x14ac:dyDescent="0.2">
      <c r="A113" s="13"/>
      <c r="B113" s="13"/>
      <c r="C113" s="13"/>
      <c r="D113" s="738"/>
      <c r="E113" s="738"/>
      <c r="F113" s="738"/>
      <c r="G113" s="738"/>
      <c r="H113" s="738"/>
    </row>
    <row r="114" spans="1:8" x14ac:dyDescent="0.2">
      <c r="A114" s="13"/>
      <c r="B114" s="13"/>
      <c r="C114" s="13"/>
      <c r="D114" s="738"/>
      <c r="E114" s="738"/>
      <c r="F114" s="738"/>
      <c r="G114" s="738"/>
      <c r="H114" s="738"/>
    </row>
    <row r="115" spans="1:8" x14ac:dyDescent="0.2">
      <c r="A115" s="13"/>
      <c r="B115" s="13"/>
      <c r="C115" s="13"/>
      <c r="D115" s="738"/>
      <c r="E115" s="738"/>
      <c r="F115" s="738"/>
      <c r="G115" s="738"/>
      <c r="H115" s="738"/>
    </row>
    <row r="116" spans="1:8" x14ac:dyDescent="0.2">
      <c r="A116" s="13"/>
      <c r="B116" s="13"/>
      <c r="C116" s="13"/>
      <c r="D116" s="738"/>
      <c r="E116" s="738"/>
      <c r="F116" s="738"/>
      <c r="G116" s="738"/>
      <c r="H116" s="738"/>
    </row>
    <row r="117" spans="1:8" x14ac:dyDescent="0.2">
      <c r="A117" s="13"/>
      <c r="B117" s="13"/>
      <c r="C117" s="13"/>
      <c r="D117" s="738"/>
      <c r="E117" s="738"/>
      <c r="F117" s="738"/>
      <c r="G117" s="738"/>
      <c r="H117" s="738"/>
    </row>
    <row r="118" spans="1:8" x14ac:dyDescent="0.2">
      <c r="A118" s="13"/>
      <c r="B118" s="13"/>
      <c r="C118" s="13"/>
      <c r="D118" s="738"/>
      <c r="E118" s="738"/>
      <c r="F118" s="738"/>
      <c r="G118" s="738"/>
      <c r="H118" s="738"/>
    </row>
    <row r="119" spans="1:8" x14ac:dyDescent="0.2">
      <c r="A119" s="13"/>
      <c r="B119" s="13"/>
      <c r="C119" s="13"/>
      <c r="D119" s="738"/>
      <c r="E119" s="738"/>
      <c r="F119" s="738"/>
      <c r="G119" s="738"/>
      <c r="H119" s="738"/>
    </row>
    <row r="120" spans="1:8" x14ac:dyDescent="0.2">
      <c r="A120" s="13"/>
      <c r="B120" s="13"/>
      <c r="C120" s="13"/>
      <c r="D120" s="738"/>
      <c r="E120" s="738"/>
      <c r="F120" s="738"/>
      <c r="G120" s="738"/>
      <c r="H120" s="738"/>
    </row>
    <row r="121" spans="1:8" x14ac:dyDescent="0.2">
      <c r="A121" s="13"/>
      <c r="B121" s="13"/>
      <c r="C121" s="13"/>
      <c r="D121" s="738"/>
      <c r="E121" s="738"/>
      <c r="F121" s="738"/>
      <c r="G121" s="738"/>
      <c r="H121" s="738"/>
    </row>
    <row r="122" spans="1:8" x14ac:dyDescent="0.2">
      <c r="A122" s="13"/>
      <c r="B122" s="13"/>
      <c r="C122" s="13"/>
      <c r="D122" s="738"/>
      <c r="E122" s="738"/>
      <c r="F122" s="738"/>
      <c r="G122" s="738"/>
      <c r="H122" s="738"/>
    </row>
    <row r="123" spans="1:8" x14ac:dyDescent="0.2">
      <c r="A123" s="13"/>
      <c r="B123" s="13"/>
      <c r="C123" s="13"/>
      <c r="D123" s="738"/>
      <c r="E123" s="738"/>
      <c r="F123" s="738"/>
      <c r="G123" s="738"/>
      <c r="H123" s="738"/>
    </row>
    <row r="124" spans="1:8" x14ac:dyDescent="0.2">
      <c r="A124" s="13"/>
      <c r="B124" s="13"/>
      <c r="C124" s="13"/>
      <c r="D124" s="738"/>
      <c r="E124" s="738"/>
      <c r="F124" s="738"/>
      <c r="G124" s="738"/>
      <c r="H124" s="738"/>
    </row>
    <row r="125" spans="1:8" x14ac:dyDescent="0.2">
      <c r="A125" s="13"/>
      <c r="B125" s="13"/>
      <c r="C125" s="13"/>
      <c r="D125" s="738"/>
      <c r="E125" s="738"/>
      <c r="F125" s="738"/>
      <c r="G125" s="738"/>
      <c r="H125" s="738"/>
    </row>
    <row r="126" spans="1:8" x14ac:dyDescent="0.2">
      <c r="A126" s="13"/>
      <c r="B126" s="13"/>
      <c r="C126" s="13"/>
      <c r="D126" s="738"/>
      <c r="E126" s="738"/>
      <c r="F126" s="738"/>
      <c r="G126" s="738"/>
      <c r="H126" s="738"/>
    </row>
    <row r="127" spans="1:8" x14ac:dyDescent="0.2">
      <c r="A127" s="13"/>
      <c r="B127" s="13"/>
      <c r="C127" s="13"/>
      <c r="D127" s="738"/>
      <c r="E127" s="738"/>
      <c r="F127" s="738"/>
      <c r="G127" s="738"/>
      <c r="H127" s="738"/>
    </row>
    <row r="128" spans="1:8" x14ac:dyDescent="0.2">
      <c r="A128" s="13"/>
      <c r="B128" s="13"/>
      <c r="C128" s="13"/>
      <c r="D128" s="738"/>
      <c r="E128" s="738"/>
      <c r="F128" s="738"/>
      <c r="G128" s="738"/>
      <c r="H128" s="738"/>
    </row>
    <row r="129" spans="1:8" x14ac:dyDescent="0.2">
      <c r="A129" s="13"/>
      <c r="B129" s="13"/>
      <c r="C129" s="13"/>
      <c r="D129" s="738"/>
      <c r="E129" s="738"/>
      <c r="F129" s="738"/>
      <c r="G129" s="738"/>
      <c r="H129" s="738"/>
    </row>
    <row r="130" spans="1:8" x14ac:dyDescent="0.2">
      <c r="A130" s="13"/>
      <c r="B130" s="13"/>
      <c r="C130" s="13"/>
      <c r="D130" s="738"/>
      <c r="E130" s="738"/>
      <c r="F130" s="738"/>
      <c r="G130" s="738"/>
      <c r="H130" s="738"/>
    </row>
    <row r="131" spans="1:8" x14ac:dyDescent="0.2">
      <c r="A131" s="13"/>
      <c r="B131" s="13"/>
      <c r="C131" s="13"/>
      <c r="D131" s="738"/>
      <c r="E131" s="738"/>
      <c r="F131" s="738"/>
      <c r="G131" s="738"/>
      <c r="H131" s="738"/>
    </row>
    <row r="132" spans="1:8" x14ac:dyDescent="0.2">
      <c r="A132" s="13"/>
      <c r="B132" s="13"/>
      <c r="C132" s="13"/>
      <c r="D132" s="738"/>
      <c r="E132" s="738"/>
      <c r="F132" s="738"/>
      <c r="G132" s="738"/>
      <c r="H132" s="738"/>
    </row>
    <row r="133" spans="1:8" x14ac:dyDescent="0.2">
      <c r="A133" s="13"/>
      <c r="B133" s="13"/>
      <c r="C133" s="13"/>
      <c r="D133" s="738"/>
      <c r="E133" s="738"/>
      <c r="F133" s="738"/>
      <c r="G133" s="738"/>
      <c r="H133" s="738"/>
    </row>
    <row r="134" spans="1:8" x14ac:dyDescent="0.2">
      <c r="A134" s="13"/>
      <c r="B134" s="13"/>
      <c r="C134" s="13"/>
      <c r="D134" s="738"/>
      <c r="E134" s="738"/>
      <c r="F134" s="738"/>
      <c r="G134" s="738"/>
      <c r="H134" s="738"/>
    </row>
    <row r="135" spans="1:8" x14ac:dyDescent="0.2">
      <c r="A135" s="13"/>
      <c r="B135" s="13"/>
      <c r="C135" s="13"/>
      <c r="D135" s="738"/>
      <c r="E135" s="738"/>
      <c r="F135" s="738"/>
      <c r="G135" s="738"/>
      <c r="H135" s="738"/>
    </row>
    <row r="136" spans="1:8" x14ac:dyDescent="0.2">
      <c r="A136" s="13"/>
      <c r="B136" s="13"/>
      <c r="C136" s="13"/>
      <c r="D136" s="738"/>
      <c r="E136" s="738"/>
      <c r="F136" s="738"/>
      <c r="G136" s="738"/>
      <c r="H136" s="738"/>
    </row>
    <row r="137" spans="1:8" x14ac:dyDescent="0.2">
      <c r="A137" s="13"/>
      <c r="B137" s="13"/>
      <c r="C137" s="13"/>
      <c r="D137" s="738"/>
      <c r="E137" s="738"/>
      <c r="F137" s="738"/>
      <c r="G137" s="738"/>
      <c r="H137" s="738"/>
    </row>
    <row r="138" spans="1:8" x14ac:dyDescent="0.2">
      <c r="A138" s="13"/>
      <c r="B138" s="13"/>
      <c r="C138" s="13"/>
      <c r="D138" s="738"/>
      <c r="E138" s="738"/>
      <c r="F138" s="738"/>
      <c r="G138" s="738"/>
      <c r="H138" s="738"/>
    </row>
    <row r="139" spans="1:8" x14ac:dyDescent="0.2">
      <c r="A139" s="13"/>
      <c r="B139" s="13"/>
      <c r="C139" s="13"/>
      <c r="D139" s="738"/>
      <c r="E139" s="738"/>
      <c r="F139" s="738"/>
      <c r="G139" s="738"/>
      <c r="H139" s="738"/>
    </row>
    <row r="140" spans="1:8" x14ac:dyDescent="0.2">
      <c r="A140" s="13"/>
      <c r="B140" s="13"/>
      <c r="C140" s="13"/>
      <c r="D140" s="738"/>
      <c r="E140" s="738"/>
      <c r="F140" s="738"/>
      <c r="G140" s="738"/>
      <c r="H140" s="738"/>
    </row>
    <row r="141" spans="1:8" x14ac:dyDescent="0.2">
      <c r="A141" s="13"/>
      <c r="B141" s="13"/>
      <c r="C141" s="13"/>
      <c r="D141" s="738"/>
      <c r="E141" s="738"/>
      <c r="F141" s="738"/>
      <c r="G141" s="738"/>
      <c r="H141" s="738"/>
    </row>
    <row r="142" spans="1:8" x14ac:dyDescent="0.2">
      <c r="A142" s="13"/>
      <c r="B142" s="13"/>
      <c r="C142" s="13"/>
      <c r="D142" s="738"/>
      <c r="E142" s="738"/>
      <c r="F142" s="738"/>
      <c r="G142" s="738"/>
      <c r="H142" s="738"/>
    </row>
    <row r="143" spans="1:8" x14ac:dyDescent="0.2">
      <c r="A143" s="13"/>
      <c r="B143" s="13"/>
      <c r="C143" s="13"/>
      <c r="D143" s="738"/>
      <c r="E143" s="738"/>
      <c r="F143" s="738"/>
      <c r="G143" s="738"/>
      <c r="H143" s="738"/>
    </row>
    <row r="144" spans="1:8" x14ac:dyDescent="0.2">
      <c r="A144" s="13"/>
      <c r="B144" s="13"/>
      <c r="C144" s="13"/>
      <c r="D144" s="738"/>
      <c r="E144" s="738"/>
      <c r="F144" s="738"/>
      <c r="G144" s="738"/>
      <c r="H144" s="738"/>
    </row>
    <row r="145" spans="1:8" x14ac:dyDescent="0.2">
      <c r="A145" s="13"/>
      <c r="B145" s="13"/>
      <c r="C145" s="13"/>
      <c r="D145" s="738"/>
      <c r="E145" s="738"/>
      <c r="F145" s="738"/>
      <c r="G145" s="738"/>
      <c r="H145" s="738"/>
    </row>
    <row r="146" spans="1:8" x14ac:dyDescent="0.2">
      <c r="A146" s="13"/>
      <c r="B146" s="13"/>
      <c r="C146" s="13"/>
      <c r="D146" s="738"/>
      <c r="E146" s="738"/>
      <c r="F146" s="738"/>
      <c r="G146" s="738"/>
      <c r="H146" s="738"/>
    </row>
    <row r="147" spans="1:8" x14ac:dyDescent="0.2">
      <c r="A147" s="13"/>
      <c r="B147" s="13"/>
      <c r="C147" s="13"/>
      <c r="D147" s="738"/>
      <c r="E147" s="738"/>
      <c r="F147" s="738"/>
      <c r="G147" s="738"/>
      <c r="H147" s="738"/>
    </row>
    <row r="148" spans="1:8" x14ac:dyDescent="0.2">
      <c r="A148" s="13"/>
      <c r="B148" s="13"/>
      <c r="C148" s="13"/>
      <c r="D148" s="738"/>
      <c r="E148" s="738"/>
      <c r="F148" s="738"/>
      <c r="G148" s="738"/>
      <c r="H148" s="738"/>
    </row>
  </sheetData>
  <mergeCells count="5">
    <mergeCell ref="A6:H6"/>
    <mergeCell ref="A1:H1"/>
    <mergeCell ref="A2:H2"/>
    <mergeCell ref="A3:H3"/>
    <mergeCell ref="A4:H4"/>
  </mergeCells>
  <phoneticPr fontId="10" type="noConversion"/>
  <printOptions horizontalCentered="1"/>
  <pageMargins left="0.5" right="0.5" top="0.75" bottom="0.45" header="0.5" footer="0.45"/>
  <pageSetup scale="77" orientation="portrait" horizontalDpi="300" r:id="rId1"/>
  <headerFooter alignWithMargins="0">
    <oddFooter>&amp;C&amp;1#&amp;"Calibri"&amp;12&amp;K008000Internal Use</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3">
    <tabColor indexed="44"/>
    <pageSetUpPr fitToPage="1"/>
  </sheetPr>
  <dimension ref="A1:K79"/>
  <sheetViews>
    <sheetView topLeftCell="B9" zoomScale="75" zoomScaleNormal="75" workbookViewId="0">
      <pane xSplit="1" ySplit="3" topLeftCell="C12" activePane="bottomRight" state="frozen"/>
      <selection activeCell="A40" sqref="A40:IV40"/>
      <selection pane="topRight" activeCell="A40" sqref="A40:IV40"/>
      <selection pane="bottomLeft" activeCell="A40" sqref="A40:IV40"/>
      <selection pane="bottomRight" activeCell="A40" sqref="A40:IV40"/>
    </sheetView>
  </sheetViews>
  <sheetFormatPr defaultRowHeight="12.75" x14ac:dyDescent="0.2"/>
  <cols>
    <col min="1" max="1" width="7.140625" style="49" customWidth="1"/>
    <col min="2" max="2" width="60.28515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9.140625" style="49"/>
    <col min="11" max="11" width="12.7109375" style="49" bestFit="1" customWidth="1"/>
    <col min="12" max="16384" width="9.140625" style="49"/>
  </cols>
  <sheetData>
    <row r="1" spans="1:11" ht="25.5" x14ac:dyDescent="0.35">
      <c r="B1" s="2944" t="s">
        <v>82</v>
      </c>
      <c r="C1" s="2944"/>
      <c r="D1" s="2944"/>
      <c r="E1" s="2944"/>
      <c r="F1" s="2944"/>
      <c r="G1" s="2944"/>
      <c r="H1" s="2944"/>
      <c r="I1" s="2944"/>
    </row>
    <row r="2" spans="1:11" ht="25.5" x14ac:dyDescent="0.35">
      <c r="B2" s="2944" t="s">
        <v>626</v>
      </c>
      <c r="C2" s="2944"/>
      <c r="D2" s="2944"/>
      <c r="E2" s="2944"/>
      <c r="F2" s="2944"/>
      <c r="G2" s="2944"/>
      <c r="H2" s="2944"/>
      <c r="I2" s="2944"/>
    </row>
    <row r="3" spans="1:11" ht="25.5" hidden="1" x14ac:dyDescent="0.35">
      <c r="B3" s="1895"/>
      <c r="C3" s="10"/>
      <c r="D3" s="8"/>
      <c r="E3" s="8"/>
      <c r="F3" s="1895"/>
      <c r="G3" s="9"/>
      <c r="H3" s="9"/>
      <c r="I3" s="1895"/>
    </row>
    <row r="4" spans="1:11" ht="25.5" hidden="1" x14ac:dyDescent="0.35">
      <c r="B4" s="1895"/>
      <c r="C4" s="10"/>
      <c r="D4" s="8"/>
      <c r="E4" s="8"/>
      <c r="F4" s="1895"/>
      <c r="G4" s="9"/>
      <c r="H4" s="9"/>
      <c r="I4" s="1895"/>
    </row>
    <row r="5" spans="1:11" ht="25.5" hidden="1" x14ac:dyDescent="0.35">
      <c r="B5" s="1895"/>
      <c r="C5" s="10"/>
      <c r="D5" s="8"/>
      <c r="E5" s="8"/>
      <c r="F5" s="1895"/>
      <c r="G5" s="9"/>
      <c r="H5" s="9"/>
      <c r="I5" s="1895"/>
    </row>
    <row r="6" spans="1:11" ht="25.5" hidden="1" x14ac:dyDescent="0.35">
      <c r="B6" s="1895"/>
      <c r="C6" s="10"/>
      <c r="D6" s="8"/>
      <c r="E6" s="8"/>
      <c r="F6" s="1895"/>
      <c r="G6" s="9"/>
      <c r="H6" s="9"/>
      <c r="I6" s="1895"/>
    </row>
    <row r="7" spans="1:11" ht="25.5" hidden="1" x14ac:dyDescent="0.35">
      <c r="B7" s="1895"/>
      <c r="C7" s="10"/>
      <c r="D7" s="8"/>
      <c r="E7" s="8"/>
      <c r="F7" s="1895"/>
      <c r="G7" s="9"/>
      <c r="H7" s="9"/>
      <c r="I7" s="1895"/>
    </row>
    <row r="8" spans="1:11" ht="6.75" customHeight="1" x14ac:dyDescent="0.25">
      <c r="B8" s="11"/>
      <c r="C8" s="10"/>
      <c r="D8" s="8"/>
      <c r="E8" s="8"/>
      <c r="F8" s="9"/>
      <c r="G8" s="9"/>
      <c r="H8" s="9"/>
      <c r="I8" s="9"/>
    </row>
    <row r="9" spans="1:11" ht="6.75" customHeight="1" thickBot="1" x14ac:dyDescent="0.3">
      <c r="B9" s="11"/>
      <c r="C9" s="10"/>
      <c r="D9" s="8"/>
      <c r="E9" s="8"/>
      <c r="F9" s="9"/>
      <c r="G9" s="9"/>
      <c r="H9" s="9"/>
      <c r="I9" s="9"/>
    </row>
    <row r="10" spans="1:11" ht="48.75" thickBot="1" x14ac:dyDescent="0.35">
      <c r="A10" s="21"/>
      <c r="B10" s="630" t="s">
        <v>620</v>
      </c>
      <c r="C10" s="631" t="s">
        <v>53</v>
      </c>
      <c r="D10" s="631" t="s">
        <v>13</v>
      </c>
      <c r="E10" s="631" t="s">
        <v>4</v>
      </c>
      <c r="F10" s="631" t="s">
        <v>2</v>
      </c>
      <c r="G10" s="631" t="s">
        <v>14</v>
      </c>
      <c r="H10" s="631" t="s">
        <v>15</v>
      </c>
      <c r="I10" s="631" t="s">
        <v>16</v>
      </c>
    </row>
    <row r="11" spans="1:11" ht="21" thickBot="1" x14ac:dyDescent="0.35">
      <c r="A11" s="21"/>
      <c r="B11" s="2888" t="s">
        <v>5</v>
      </c>
      <c r="C11" s="2889"/>
      <c r="D11" s="2889"/>
      <c r="E11" s="2889"/>
      <c r="F11" s="2889"/>
      <c r="G11" s="2889"/>
      <c r="H11" s="2889"/>
      <c r="I11" s="2890"/>
    </row>
    <row r="12" spans="1:11" ht="24.6" customHeight="1" x14ac:dyDescent="0.3">
      <c r="A12" s="83"/>
      <c r="B12" s="156" t="s">
        <v>227</v>
      </c>
      <c r="C12" s="633">
        <v>29576.973500000004</v>
      </c>
      <c r="D12" s="633">
        <v>720</v>
      </c>
      <c r="E12" s="633">
        <f>336535-291773-20000-20000+939.26</f>
        <v>5701.26</v>
      </c>
      <c r="F12" s="633">
        <f>699376+24870</f>
        <v>724246</v>
      </c>
      <c r="G12" s="633">
        <v>6000</v>
      </c>
      <c r="H12" s="633">
        <v>1500</v>
      </c>
      <c r="I12" s="634">
        <f t="shared" ref="I12:I17" si="0">SUM(C12:H12)</f>
        <v>767744.23349999997</v>
      </c>
      <c r="K12" s="587"/>
    </row>
    <row r="13" spans="1:11" ht="24.6" customHeight="1" x14ac:dyDescent="0.3">
      <c r="A13" s="83"/>
      <c r="B13" s="614" t="s">
        <v>149</v>
      </c>
      <c r="C13" s="638">
        <v>220476.05762500002</v>
      </c>
      <c r="D13" s="638">
        <v>0</v>
      </c>
      <c r="E13" s="638">
        <f>76634+50000+1762.04-18589+45.05+61780</f>
        <v>171632.09</v>
      </c>
      <c r="F13" s="638">
        <f>1743307-700000+37100+11292/2</f>
        <v>1086053</v>
      </c>
      <c r="G13" s="638">
        <v>8000</v>
      </c>
      <c r="H13" s="638">
        <v>3000</v>
      </c>
      <c r="I13" s="640">
        <f t="shared" si="0"/>
        <v>1489161.147625</v>
      </c>
      <c r="K13" s="587"/>
    </row>
    <row r="14" spans="1:11" ht="24.6" customHeight="1" x14ac:dyDescent="0.3">
      <c r="A14" s="83"/>
      <c r="B14" s="614" t="s">
        <v>596</v>
      </c>
      <c r="C14" s="638">
        <v>43011</v>
      </c>
      <c r="D14" s="638">
        <f>2300+4000</f>
        <v>6300</v>
      </c>
      <c r="E14" s="638">
        <f>38000+90000+10000+3232.87</f>
        <v>141232.87</v>
      </c>
      <c r="F14" s="638">
        <f>1810063.9+700000-150973+83889</f>
        <v>2442979.9</v>
      </c>
      <c r="G14" s="638">
        <v>6000</v>
      </c>
      <c r="H14" s="638">
        <v>3000</v>
      </c>
      <c r="I14" s="640">
        <f t="shared" si="0"/>
        <v>2642523.77</v>
      </c>
      <c r="K14" s="587"/>
    </row>
    <row r="15" spans="1:11" ht="24.6" customHeight="1" x14ac:dyDescent="0.3">
      <c r="A15" s="83"/>
      <c r="B15" s="614" t="s">
        <v>222</v>
      </c>
      <c r="C15" s="638">
        <v>236221.05990000008</v>
      </c>
      <c r="D15" s="638">
        <v>2500</v>
      </c>
      <c r="E15" s="638">
        <f>50000-40000+10000+20000+3118.81</f>
        <v>43118.81</v>
      </c>
      <c r="F15" s="638">
        <f>2178005+77450</f>
        <v>2255455</v>
      </c>
      <c r="G15" s="638">
        <v>8000</v>
      </c>
      <c r="H15" s="638">
        <v>4000</v>
      </c>
      <c r="I15" s="640">
        <f t="shared" si="0"/>
        <v>2549294.8699000003</v>
      </c>
      <c r="K15" s="587"/>
    </row>
    <row r="16" spans="1:11" ht="24.6" customHeight="1" thickBot="1" x14ac:dyDescent="0.35">
      <c r="A16" s="83"/>
      <c r="B16" s="617" t="s">
        <v>529</v>
      </c>
      <c r="C16" s="641">
        <v>15214.370500000003</v>
      </c>
      <c r="D16" s="641">
        <v>0</v>
      </c>
      <c r="E16" s="641">
        <f>135761+184.93</f>
        <v>135945.93</v>
      </c>
      <c r="F16" s="641">
        <v>0</v>
      </c>
      <c r="G16" s="641">
        <v>0</v>
      </c>
      <c r="H16" s="641">
        <v>0</v>
      </c>
      <c r="I16" s="643">
        <f t="shared" si="0"/>
        <v>151160.30049999998</v>
      </c>
      <c r="K16" s="587"/>
    </row>
    <row r="17" spans="1:11" ht="24.6" hidden="1" customHeight="1" thickBot="1" x14ac:dyDescent="0.35">
      <c r="A17" s="84"/>
      <c r="B17" s="2293" t="s">
        <v>150</v>
      </c>
      <c r="C17" s="635">
        <v>0</v>
      </c>
      <c r="D17" s="635">
        <v>0</v>
      </c>
      <c r="E17" s="635">
        <v>0</v>
      </c>
      <c r="F17" s="635">
        <v>0</v>
      </c>
      <c r="G17" s="635">
        <v>0</v>
      </c>
      <c r="H17" s="635">
        <v>0</v>
      </c>
      <c r="I17" s="2295">
        <f t="shared" si="0"/>
        <v>0</v>
      </c>
    </row>
    <row r="18" spans="1:11" ht="24.6" customHeight="1" thickBot="1" x14ac:dyDescent="0.35">
      <c r="A18" s="84"/>
      <c r="B18" s="232" t="s">
        <v>30</v>
      </c>
      <c r="C18" s="662">
        <f>SUM(C12:C17)</f>
        <v>544499.46152500005</v>
      </c>
      <c r="D18" s="662">
        <f t="shared" ref="D18:I18" si="1">SUM(D12:D17)</f>
        <v>9520</v>
      </c>
      <c r="E18" s="662">
        <f t="shared" si="1"/>
        <v>497630.95999999996</v>
      </c>
      <c r="F18" s="662">
        <f t="shared" si="1"/>
        <v>6508733.9000000004</v>
      </c>
      <c r="G18" s="662">
        <f t="shared" si="1"/>
        <v>28000</v>
      </c>
      <c r="H18" s="662">
        <f t="shared" si="1"/>
        <v>11500</v>
      </c>
      <c r="I18" s="662">
        <f t="shared" si="1"/>
        <v>7599884.321525</v>
      </c>
      <c r="K18" s="587"/>
    </row>
    <row r="19" spans="1:11" s="51" customFormat="1" ht="24.6" customHeight="1" x14ac:dyDescent="0.2">
      <c r="B19" s="663"/>
      <c r="C19" s="664"/>
      <c r="D19" s="622"/>
      <c r="E19" s="622"/>
      <c r="F19" s="665"/>
      <c r="G19" s="665"/>
      <c r="H19" s="665"/>
      <c r="I19" s="666"/>
    </row>
    <row r="20" spans="1:11" ht="24.6" customHeight="1" thickBot="1" x14ac:dyDescent="0.35">
      <c r="A20" s="84"/>
      <c r="B20" s="2885" t="s">
        <v>151</v>
      </c>
      <c r="C20" s="2886"/>
      <c r="D20" s="2886"/>
      <c r="E20" s="2886"/>
      <c r="F20" s="2886"/>
      <c r="G20" s="2886"/>
      <c r="H20" s="2886"/>
      <c r="I20" s="2887"/>
    </row>
    <row r="21" spans="1:11" ht="24.6" customHeight="1" thickBot="1" x14ac:dyDescent="0.35">
      <c r="A21" s="83"/>
      <c r="B21" s="100" t="s">
        <v>154</v>
      </c>
      <c r="C21" s="644">
        <v>205534.34539999996</v>
      </c>
      <c r="D21" s="644">
        <v>2000</v>
      </c>
      <c r="E21" s="644">
        <f>12000+1999.86</f>
        <v>13999.86</v>
      </c>
      <c r="F21" s="644">
        <f>1900092+1806412-2109520+1806412-1831318-222564+48824+11292/2</f>
        <v>1403984</v>
      </c>
      <c r="G21" s="644">
        <f>23600+2071892-2088692</f>
        <v>6800</v>
      </c>
      <c r="H21" s="644">
        <v>8000</v>
      </c>
      <c r="I21" s="634">
        <f>SUM(C21:H21)</f>
        <v>1640318.2053999999</v>
      </c>
      <c r="K21" s="587"/>
    </row>
    <row r="22" spans="1:11" ht="24.6" customHeight="1" thickBot="1" x14ac:dyDescent="0.35">
      <c r="A22" s="84"/>
      <c r="B22" s="26" t="s">
        <v>152</v>
      </c>
      <c r="C22" s="645">
        <f>SUM(C21)</f>
        <v>205534.34539999996</v>
      </c>
      <c r="D22" s="645">
        <f t="shared" ref="D22:I22" si="2">SUM(D21)</f>
        <v>2000</v>
      </c>
      <c r="E22" s="645">
        <f t="shared" si="2"/>
        <v>13999.86</v>
      </c>
      <c r="F22" s="645">
        <f t="shared" si="2"/>
        <v>1403984</v>
      </c>
      <c r="G22" s="645">
        <f t="shared" si="2"/>
        <v>6800</v>
      </c>
      <c r="H22" s="645">
        <f t="shared" si="2"/>
        <v>8000</v>
      </c>
      <c r="I22" s="645">
        <f t="shared" si="2"/>
        <v>1640318.2053999999</v>
      </c>
    </row>
    <row r="23" spans="1:11" s="51" customFormat="1" ht="24.6" customHeight="1" x14ac:dyDescent="0.3">
      <c r="A23" s="83"/>
      <c r="B23" s="2894"/>
      <c r="C23" s="2895"/>
      <c r="D23" s="2895"/>
      <c r="E23" s="2895"/>
      <c r="F23" s="2895"/>
      <c r="G23" s="2895"/>
      <c r="H23" s="2895"/>
      <c r="I23" s="2896"/>
    </row>
    <row r="24" spans="1:11" ht="24.6" customHeight="1" thickBot="1" x14ac:dyDescent="0.35">
      <c r="A24" s="84"/>
      <c r="B24" s="2885" t="s">
        <v>153</v>
      </c>
      <c r="C24" s="2886"/>
      <c r="D24" s="2886"/>
      <c r="E24" s="2886"/>
      <c r="F24" s="2886"/>
      <c r="G24" s="2886"/>
      <c r="H24" s="2886"/>
      <c r="I24" s="2887"/>
    </row>
    <row r="25" spans="1:11" ht="24.6" customHeight="1" x14ac:dyDescent="0.3">
      <c r="A25" s="83"/>
      <c r="B25" s="156" t="s">
        <v>155</v>
      </c>
      <c r="C25" s="633">
        <v>159393.65340000004</v>
      </c>
      <c r="D25" s="633">
        <v>2000</v>
      </c>
      <c r="E25" s="633">
        <f>12000+1316.13-0.87</f>
        <v>13315.26</v>
      </c>
      <c r="F25" s="633">
        <f>914253+1190343-1086820+1190343-1210184-146659+30798</f>
        <v>882074</v>
      </c>
      <c r="G25" s="633">
        <f>10500+1048767-1044453</f>
        <v>14814</v>
      </c>
      <c r="H25" s="633">
        <v>4200</v>
      </c>
      <c r="I25" s="634">
        <f>SUM(C25:H25)</f>
        <v>1075796.9134</v>
      </c>
      <c r="K25" s="587"/>
    </row>
    <row r="26" spans="1:11" ht="24.6" customHeight="1" thickBot="1" x14ac:dyDescent="0.35">
      <c r="A26" s="83"/>
      <c r="B26" s="1024" t="s">
        <v>581</v>
      </c>
      <c r="C26" s="635">
        <v>27069.272249999998</v>
      </c>
      <c r="D26" s="635">
        <v>2000</v>
      </c>
      <c r="E26" s="635">
        <f>12000+334.54</f>
        <v>12334.54</v>
      </c>
      <c r="F26" s="635">
        <f>369557+302537-414654+302537-305509-37275+7858</f>
        <v>225051</v>
      </c>
      <c r="G26" s="635">
        <v>5000</v>
      </c>
      <c r="H26" s="635">
        <v>2000</v>
      </c>
      <c r="I26" s="1025">
        <f>SUM(C26:H26)</f>
        <v>273454.81225000002</v>
      </c>
      <c r="K26" s="587"/>
    </row>
    <row r="27" spans="1:11" ht="24.6" customHeight="1" thickBot="1" x14ac:dyDescent="0.35">
      <c r="A27" s="84"/>
      <c r="B27" s="921" t="s">
        <v>152</v>
      </c>
      <c r="C27" s="645">
        <f>SUM(C25:C26)</f>
        <v>186462.92565000005</v>
      </c>
      <c r="D27" s="645">
        <f>D25+D26</f>
        <v>4000</v>
      </c>
      <c r="E27" s="645">
        <f>E25+E26</f>
        <v>25649.800000000003</v>
      </c>
      <c r="F27" s="645">
        <f>F25+F26</f>
        <v>1107125</v>
      </c>
      <c r="G27" s="645">
        <f>G25+G26</f>
        <v>19814</v>
      </c>
      <c r="H27" s="645">
        <f>H25+H26</f>
        <v>6200</v>
      </c>
      <c r="I27" s="932">
        <f>SUM(I25:I26)</f>
        <v>1349251.7256499999</v>
      </c>
    </row>
    <row r="28" spans="1:11" ht="24.6" customHeight="1" thickBot="1" x14ac:dyDescent="0.35">
      <c r="A28" s="84"/>
      <c r="B28" s="930" t="s">
        <v>245</v>
      </c>
      <c r="C28" s="703">
        <v>11652.027750000001</v>
      </c>
      <c r="D28" s="703">
        <v>1000</v>
      </c>
      <c r="E28" s="703">
        <f>5000+355.23</f>
        <v>5355.23</v>
      </c>
      <c r="F28" s="644">
        <f>255686+320092-274218+320092-323712-39438+9352</f>
        <v>267854</v>
      </c>
      <c r="G28" s="703">
        <v>2500</v>
      </c>
      <c r="H28" s="703">
        <v>2000</v>
      </c>
      <c r="I28" s="931">
        <f>SUM(C28:H28)</f>
        <v>290361.25774999999</v>
      </c>
      <c r="K28" s="587"/>
    </row>
    <row r="29" spans="1:11" ht="24.6" customHeight="1" thickBot="1" x14ac:dyDescent="0.35">
      <c r="A29" s="84"/>
      <c r="B29" s="26" t="s">
        <v>31</v>
      </c>
      <c r="C29" s="645">
        <f>C22+C27+C28</f>
        <v>403649.29879999999</v>
      </c>
      <c r="D29" s="645">
        <f t="shared" ref="D29:I29" si="3">D22+D27+D28</f>
        <v>7000</v>
      </c>
      <c r="E29" s="645">
        <f t="shared" si="3"/>
        <v>45004.89</v>
      </c>
      <c r="F29" s="645">
        <f t="shared" si="3"/>
        <v>2778963</v>
      </c>
      <c r="G29" s="645">
        <f t="shared" si="3"/>
        <v>29114</v>
      </c>
      <c r="H29" s="645">
        <f t="shared" si="3"/>
        <v>16200</v>
      </c>
      <c r="I29" s="645">
        <f t="shared" si="3"/>
        <v>3279931.1887999997</v>
      </c>
      <c r="K29" s="587"/>
    </row>
    <row r="30" spans="1:11" ht="21" thickBot="1" x14ac:dyDescent="0.35">
      <c r="A30" s="83"/>
      <c r="B30" s="2885" t="s">
        <v>158</v>
      </c>
      <c r="C30" s="2886"/>
      <c r="D30" s="2886"/>
      <c r="E30" s="2886"/>
      <c r="F30" s="2886"/>
      <c r="G30" s="2886"/>
      <c r="H30" s="2886"/>
      <c r="I30" s="2887"/>
    </row>
    <row r="31" spans="1:11" s="9" customFormat="1" ht="16.5" customHeight="1" thickBot="1" x14ac:dyDescent="0.3">
      <c r="A31" s="1145"/>
      <c r="B31" s="2926" t="s">
        <v>393</v>
      </c>
      <c r="C31" s="2927"/>
      <c r="D31" s="2927"/>
      <c r="E31" s="2927"/>
      <c r="F31" s="2927"/>
      <c r="G31" s="2927"/>
      <c r="H31" s="2927"/>
      <c r="I31" s="2928"/>
    </row>
    <row r="32" spans="1:11" s="9" customFormat="1" ht="16.5" hidden="1" customHeight="1" x14ac:dyDescent="0.25">
      <c r="A32" s="1150"/>
      <c r="B32" s="953" t="s">
        <v>573</v>
      </c>
      <c r="C32" s="669">
        <v>0</v>
      </c>
      <c r="D32" s="669">
        <v>0</v>
      </c>
      <c r="E32" s="669">
        <v>0</v>
      </c>
      <c r="F32" s="669">
        <v>0</v>
      </c>
      <c r="G32" s="669">
        <v>0</v>
      </c>
      <c r="H32" s="669">
        <v>0</v>
      </c>
      <c r="I32" s="668">
        <f t="shared" ref="I32:I39" si="4">SUM(C32:H32)</f>
        <v>0</v>
      </c>
    </row>
    <row r="33" spans="1:11" s="9" customFormat="1" ht="16.5" customHeight="1" x14ac:dyDescent="0.25">
      <c r="A33" s="1150"/>
      <c r="B33" s="693" t="s">
        <v>600</v>
      </c>
      <c r="C33" s="1854">
        <v>18486</v>
      </c>
      <c r="D33" s="669">
        <v>469</v>
      </c>
      <c r="E33" s="669">
        <f>11200+16883</f>
        <v>28083</v>
      </c>
      <c r="F33" s="669">
        <v>0</v>
      </c>
      <c r="G33" s="669">
        <v>2347</v>
      </c>
      <c r="H33" s="669">
        <f>24917+264-11292</f>
        <v>13889</v>
      </c>
      <c r="I33" s="1899">
        <f t="shared" si="4"/>
        <v>63274</v>
      </c>
      <c r="K33" s="9">
        <f>63274-74566</f>
        <v>-11292</v>
      </c>
    </row>
    <row r="34" spans="1:11" s="9" customFormat="1" ht="16.5" customHeight="1" x14ac:dyDescent="0.25">
      <c r="A34" s="1150"/>
      <c r="B34" s="693" t="s">
        <v>487</v>
      </c>
      <c r="C34" s="1854">
        <v>0</v>
      </c>
      <c r="D34" s="669">
        <v>0</v>
      </c>
      <c r="E34" s="669">
        <v>0</v>
      </c>
      <c r="F34" s="669">
        <v>0</v>
      </c>
      <c r="G34" s="669">
        <v>0</v>
      </c>
      <c r="H34" s="669">
        <v>0</v>
      </c>
      <c r="I34" s="1899">
        <f t="shared" si="4"/>
        <v>0</v>
      </c>
    </row>
    <row r="35" spans="1:11" s="9" customFormat="1" ht="16.5" customHeight="1" x14ac:dyDescent="0.25">
      <c r="A35" s="1150"/>
      <c r="B35" s="693" t="s">
        <v>601</v>
      </c>
      <c r="C35" s="1854">
        <v>4830</v>
      </c>
      <c r="D35" s="669">
        <v>373</v>
      </c>
      <c r="E35" s="669">
        <v>16500</v>
      </c>
      <c r="F35" s="669">
        <v>0</v>
      </c>
      <c r="G35" s="669">
        <v>862</v>
      </c>
      <c r="H35" s="669">
        <f>2667+287</f>
        <v>2954</v>
      </c>
      <c r="I35" s="1899">
        <f t="shared" si="4"/>
        <v>25519</v>
      </c>
    </row>
    <row r="36" spans="1:11" s="9" customFormat="1" ht="16.5" customHeight="1" thickBot="1" x14ac:dyDescent="0.3">
      <c r="A36" s="1150"/>
      <c r="B36" s="693" t="s">
        <v>602</v>
      </c>
      <c r="C36" s="1854">
        <v>1157</v>
      </c>
      <c r="D36" s="669">
        <v>83</v>
      </c>
      <c r="E36" s="669">
        <v>8250</v>
      </c>
      <c r="F36" s="669">
        <v>0</v>
      </c>
      <c r="G36" s="669">
        <v>192</v>
      </c>
      <c r="H36" s="669">
        <f>1583+64</f>
        <v>1647</v>
      </c>
      <c r="I36" s="1899">
        <f t="shared" si="4"/>
        <v>11329</v>
      </c>
    </row>
    <row r="37" spans="1:11" s="9" customFormat="1" ht="16.5" hidden="1" customHeight="1" x14ac:dyDescent="0.25">
      <c r="A37" s="1150"/>
      <c r="B37" s="1352" t="s">
        <v>414</v>
      </c>
      <c r="C37" s="669">
        <v>0</v>
      </c>
      <c r="D37" s="669">
        <v>0</v>
      </c>
      <c r="E37" s="669">
        <v>0</v>
      </c>
      <c r="F37" s="669">
        <v>0</v>
      </c>
      <c r="G37" s="669">
        <v>0</v>
      </c>
      <c r="H37" s="669">
        <v>0</v>
      </c>
      <c r="I37" s="670">
        <f t="shared" si="4"/>
        <v>0</v>
      </c>
    </row>
    <row r="38" spans="1:11" s="9" customFormat="1" ht="16.5" hidden="1" customHeight="1" x14ac:dyDescent="0.25">
      <c r="A38" s="1150"/>
      <c r="B38" s="1167" t="s">
        <v>486</v>
      </c>
      <c r="C38" s="1854">
        <v>0</v>
      </c>
      <c r="D38" s="669">
        <v>0</v>
      </c>
      <c r="E38" s="669">
        <v>0</v>
      </c>
      <c r="F38" s="669">
        <v>0</v>
      </c>
      <c r="G38" s="669">
        <v>0</v>
      </c>
      <c r="H38" s="669">
        <v>0</v>
      </c>
      <c r="I38" s="1899">
        <f t="shared" si="4"/>
        <v>0</v>
      </c>
    </row>
    <row r="39" spans="1:11" s="9" customFormat="1" ht="16.5" hidden="1" customHeight="1" thickBot="1" x14ac:dyDescent="0.3">
      <c r="A39" s="1150"/>
      <c r="B39" s="1167" t="s">
        <v>487</v>
      </c>
      <c r="C39" s="669">
        <v>0</v>
      </c>
      <c r="D39" s="669">
        <v>0</v>
      </c>
      <c r="E39" s="669">
        <v>0</v>
      </c>
      <c r="F39" s="669">
        <v>0</v>
      </c>
      <c r="G39" s="669">
        <v>0</v>
      </c>
      <c r="H39" s="669">
        <v>0</v>
      </c>
      <c r="I39" s="1157">
        <f t="shared" si="4"/>
        <v>0</v>
      </c>
    </row>
    <row r="40" spans="1:11" s="9" customFormat="1" ht="16.5" customHeight="1" thickBot="1" x14ac:dyDescent="0.3">
      <c r="A40" s="1150"/>
      <c r="B40" s="1160" t="s">
        <v>395</v>
      </c>
      <c r="C40" s="1161">
        <f>SUM(C32:C39)</f>
        <v>24473</v>
      </c>
      <c r="D40" s="1161">
        <f t="shared" ref="D40:I40" si="5">SUM(D32:D39)</f>
        <v>925</v>
      </c>
      <c r="E40" s="1161">
        <f t="shared" si="5"/>
        <v>52833</v>
      </c>
      <c r="F40" s="1161">
        <f t="shared" si="5"/>
        <v>0</v>
      </c>
      <c r="G40" s="1161">
        <f t="shared" si="5"/>
        <v>3401</v>
      </c>
      <c r="H40" s="2268">
        <f t="shared" si="5"/>
        <v>18490</v>
      </c>
      <c r="I40" s="2269">
        <f t="shared" si="5"/>
        <v>100122</v>
      </c>
    </row>
    <row r="41" spans="1:11" s="9" customFormat="1" ht="16.5" hidden="1" customHeight="1" thickBot="1" x14ac:dyDescent="0.3">
      <c r="A41" s="1150"/>
      <c r="B41" s="1160"/>
      <c r="C41" s="1896"/>
      <c r="D41" s="1896"/>
      <c r="E41" s="1896"/>
      <c r="F41" s="1896"/>
      <c r="G41" s="1896"/>
      <c r="H41" s="1896"/>
      <c r="I41" s="1896"/>
    </row>
    <row r="42" spans="1:11" s="1164" customFormat="1" ht="16.5" customHeight="1" thickBot="1" x14ac:dyDescent="0.3">
      <c r="A42" s="1150"/>
      <c r="B42" s="2929" t="s">
        <v>396</v>
      </c>
      <c r="C42" s="2930"/>
      <c r="D42" s="2930"/>
      <c r="E42" s="2930"/>
      <c r="F42" s="2930"/>
      <c r="G42" s="2930"/>
      <c r="H42" s="2930"/>
      <c r="I42" s="2931"/>
    </row>
    <row r="43" spans="1:11" s="9" customFormat="1" ht="16.5" hidden="1" customHeight="1" x14ac:dyDescent="0.25">
      <c r="A43" s="1150"/>
      <c r="B43" s="953" t="s">
        <v>584</v>
      </c>
      <c r="C43" s="1166">
        <v>0</v>
      </c>
      <c r="D43" s="1166">
        <v>0</v>
      </c>
      <c r="E43" s="667" t="e">
        <f>+#REF!-C43</f>
        <v>#REF!</v>
      </c>
      <c r="F43" s="1166">
        <v>0</v>
      </c>
      <c r="G43" s="1166">
        <v>0</v>
      </c>
      <c r="H43" s="1166">
        <v>0</v>
      </c>
      <c r="I43" s="668" t="e">
        <f>SUM(E43:H43)</f>
        <v>#REF!</v>
      </c>
    </row>
    <row r="44" spans="1:11" s="9" customFormat="1" ht="16.5" customHeight="1" x14ac:dyDescent="0.25">
      <c r="A44" s="1150"/>
      <c r="B44" s="2264" t="s">
        <v>607</v>
      </c>
      <c r="C44" s="1166">
        <v>0</v>
      </c>
      <c r="D44" s="1166">
        <v>0</v>
      </c>
      <c r="E44" s="1901">
        <f>186292-100000</f>
        <v>86292</v>
      </c>
      <c r="F44" s="1166">
        <v>0</v>
      </c>
      <c r="G44" s="1166">
        <v>0</v>
      </c>
      <c r="H44" s="1166">
        <v>0</v>
      </c>
      <c r="I44" s="1899">
        <f>SUM(C44:H44)</f>
        <v>86292</v>
      </c>
    </row>
    <row r="45" spans="1:11" s="9" customFormat="1" ht="16.5" customHeight="1" x14ac:dyDescent="0.25">
      <c r="A45" s="1150"/>
      <c r="B45" s="2264" t="s">
        <v>608</v>
      </c>
      <c r="C45" s="1166">
        <v>0</v>
      </c>
      <c r="D45" s="1166">
        <v>0</v>
      </c>
      <c r="E45" s="1901">
        <v>75000</v>
      </c>
      <c r="F45" s="1166">
        <v>0</v>
      </c>
      <c r="G45" s="1166">
        <v>0</v>
      </c>
      <c r="H45" s="1166">
        <v>0</v>
      </c>
      <c r="I45" s="1899">
        <f>SUM(C45:H45)</f>
        <v>75000</v>
      </c>
    </row>
    <row r="46" spans="1:11" s="9" customFormat="1" ht="16.5" customHeight="1" thickBot="1" x14ac:dyDescent="0.3">
      <c r="A46" s="1150"/>
      <c r="B46" s="2264" t="s">
        <v>603</v>
      </c>
      <c r="C46" s="1166">
        <v>0</v>
      </c>
      <c r="D46" s="1166">
        <v>0</v>
      </c>
      <c r="E46" s="1901">
        <v>50000</v>
      </c>
      <c r="F46" s="1166">
        <v>0</v>
      </c>
      <c r="G46" s="1166">
        <v>0</v>
      </c>
      <c r="H46" s="1166">
        <v>0</v>
      </c>
      <c r="I46" s="1899">
        <f>SUM(C46:H46)</f>
        <v>50000</v>
      </c>
    </row>
    <row r="47" spans="1:11" s="9" customFormat="1" ht="16.5" hidden="1" customHeight="1" x14ac:dyDescent="0.25">
      <c r="A47" s="1150"/>
      <c r="B47" s="693" t="s">
        <v>585</v>
      </c>
      <c r="C47" s="1166">
        <v>0</v>
      </c>
      <c r="D47" s="1166">
        <v>0</v>
      </c>
      <c r="E47" s="669" t="e">
        <f>+#REF!-C47</f>
        <v>#REF!</v>
      </c>
      <c r="F47" s="1166">
        <v>0</v>
      </c>
      <c r="G47" s="1166">
        <v>0</v>
      </c>
      <c r="H47" s="1166">
        <v>0</v>
      </c>
      <c r="I47" s="670" t="e">
        <f>SUM(E47:H47)</f>
        <v>#REF!</v>
      </c>
    </row>
    <row r="48" spans="1:11" s="9" customFormat="1" ht="16.5" hidden="1" customHeight="1" x14ac:dyDescent="0.25">
      <c r="A48" s="1150"/>
      <c r="B48" s="693" t="s">
        <v>586</v>
      </c>
      <c r="C48" s="1900">
        <v>0</v>
      </c>
      <c r="D48" s="1900">
        <v>0</v>
      </c>
      <c r="E48" s="1901" t="e">
        <f>+#REF!-C48</f>
        <v>#REF!</v>
      </c>
      <c r="F48" s="1900">
        <v>0</v>
      </c>
      <c r="G48" s="1900">
        <v>0</v>
      </c>
      <c r="H48" s="1900">
        <v>0</v>
      </c>
      <c r="I48" s="1899" t="e">
        <f>SUM(E48:H48)</f>
        <v>#REF!</v>
      </c>
    </row>
    <row r="49" spans="1:9" s="9" customFormat="1" ht="16.5" hidden="1" customHeight="1" x14ac:dyDescent="0.25">
      <c r="A49" s="1150"/>
      <c r="B49" s="693" t="s">
        <v>579</v>
      </c>
      <c r="C49" s="1166">
        <v>0</v>
      </c>
      <c r="D49" s="1166">
        <v>0</v>
      </c>
      <c r="E49" s="669" t="e">
        <f>+#REF!-C49</f>
        <v>#REF!</v>
      </c>
      <c r="F49" s="1166">
        <v>0</v>
      </c>
      <c r="G49" s="1166">
        <v>0</v>
      </c>
      <c r="H49" s="1166">
        <v>0</v>
      </c>
      <c r="I49" s="670" t="e">
        <f>SUM(E49:H49)</f>
        <v>#REF!</v>
      </c>
    </row>
    <row r="50" spans="1:9" s="9" customFormat="1" ht="16.5" hidden="1" customHeight="1" thickBot="1" x14ac:dyDescent="0.3">
      <c r="A50" s="1150"/>
      <c r="B50" s="694" t="s">
        <v>587</v>
      </c>
      <c r="C50" s="1166">
        <v>0</v>
      </c>
      <c r="D50" s="1166">
        <v>0</v>
      </c>
      <c r="E50" s="913" t="e">
        <f>+#REF!-C50</f>
        <v>#REF!</v>
      </c>
      <c r="F50" s="1166">
        <v>0</v>
      </c>
      <c r="G50" s="1166">
        <v>0</v>
      </c>
      <c r="H50" s="1166">
        <v>0</v>
      </c>
      <c r="I50" s="1157" t="e">
        <f>SUM(C50:H50)</f>
        <v>#REF!</v>
      </c>
    </row>
    <row r="51" spans="1:9" s="1164" customFormat="1" ht="16.5" customHeight="1" thickBot="1" x14ac:dyDescent="0.3">
      <c r="A51" s="1150"/>
      <c r="B51" s="1168" t="s">
        <v>397</v>
      </c>
      <c r="C51" s="1169">
        <f>SUM(C43:C50)</f>
        <v>0</v>
      </c>
      <c r="D51" s="1169">
        <f t="shared" ref="D51:I51" si="6">SUM(D43:D50)</f>
        <v>0</v>
      </c>
      <c r="E51" s="1169" t="e">
        <f t="shared" si="6"/>
        <v>#REF!</v>
      </c>
      <c r="F51" s="1169">
        <f t="shared" si="6"/>
        <v>0</v>
      </c>
      <c r="G51" s="1169">
        <f t="shared" si="6"/>
        <v>0</v>
      </c>
      <c r="H51" s="1169">
        <f t="shared" si="6"/>
        <v>0</v>
      </c>
      <c r="I51" s="2272" t="e">
        <f t="shared" si="6"/>
        <v>#REF!</v>
      </c>
    </row>
    <row r="52" spans="1:9" s="1164" customFormat="1" ht="16.5" hidden="1" customHeight="1" thickBot="1" x14ac:dyDescent="0.3">
      <c r="A52" s="1150"/>
      <c r="B52" s="2929" t="s">
        <v>398</v>
      </c>
      <c r="C52" s="2930"/>
      <c r="D52" s="2930"/>
      <c r="E52" s="2930"/>
      <c r="F52" s="2930"/>
      <c r="G52" s="2930"/>
      <c r="H52" s="2930"/>
      <c r="I52" s="2931"/>
    </row>
    <row r="53" spans="1:9" s="9" customFormat="1" ht="16.5" hidden="1" customHeight="1" x14ac:dyDescent="0.25">
      <c r="A53" s="1150"/>
      <c r="B53" s="953" t="s">
        <v>549</v>
      </c>
      <c r="C53" s="1171">
        <v>0</v>
      </c>
      <c r="D53" s="1171">
        <v>0</v>
      </c>
      <c r="E53" s="1171" t="e">
        <f>+#REF!-C53</f>
        <v>#REF!</v>
      </c>
      <c r="F53" s="1171">
        <v>0</v>
      </c>
      <c r="G53" s="1171">
        <v>0</v>
      </c>
      <c r="H53" s="1171">
        <v>0</v>
      </c>
      <c r="I53" s="668" t="e">
        <f>SUM(C53:H53)</f>
        <v>#REF!</v>
      </c>
    </row>
    <row r="54" spans="1:9" s="9" customFormat="1" ht="16.5" hidden="1" customHeight="1" thickBot="1" x14ac:dyDescent="0.3">
      <c r="A54" s="1150"/>
      <c r="B54" s="1173" t="s">
        <v>400</v>
      </c>
      <c r="C54" s="1174">
        <f>SUM(C53)</f>
        <v>0</v>
      </c>
      <c r="D54" s="1174">
        <f t="shared" ref="D54:I54" si="7">SUM(D53)</f>
        <v>0</v>
      </c>
      <c r="E54" s="1174" t="e">
        <f t="shared" si="7"/>
        <v>#REF!</v>
      </c>
      <c r="F54" s="1174">
        <f t="shared" si="7"/>
        <v>0</v>
      </c>
      <c r="G54" s="1174">
        <f t="shared" si="7"/>
        <v>0</v>
      </c>
      <c r="H54" s="1174">
        <f t="shared" si="7"/>
        <v>0</v>
      </c>
      <c r="I54" s="1174" t="e">
        <f t="shared" si="7"/>
        <v>#REF!</v>
      </c>
    </row>
    <row r="55" spans="1:9" s="9" customFormat="1" ht="16.5" hidden="1" customHeight="1" x14ac:dyDescent="0.25">
      <c r="A55" s="1150"/>
      <c r="B55" s="1897"/>
      <c r="C55" s="1898"/>
      <c r="D55" s="1898"/>
      <c r="E55" s="1898"/>
      <c r="F55" s="1898"/>
      <c r="G55" s="1898"/>
      <c r="H55" s="1898"/>
      <c r="I55" s="1898"/>
    </row>
    <row r="56" spans="1:9" s="9" customFormat="1" ht="16.5" hidden="1" customHeight="1" x14ac:dyDescent="0.25">
      <c r="A56" s="1150"/>
      <c r="B56" s="1897"/>
      <c r="C56" s="1898"/>
      <c r="D56" s="1898"/>
      <c r="E56" s="1898"/>
      <c r="F56" s="1898"/>
      <c r="G56" s="1898"/>
      <c r="H56" s="1898"/>
      <c r="I56" s="1898"/>
    </row>
    <row r="57" spans="1:9" s="9" customFormat="1" ht="16.5" hidden="1" customHeight="1" thickBot="1" x14ac:dyDescent="0.3">
      <c r="A57" s="1150"/>
      <c r="B57" s="2929" t="s">
        <v>629</v>
      </c>
      <c r="C57" s="2930"/>
      <c r="D57" s="2930"/>
      <c r="E57" s="2930"/>
      <c r="F57" s="2930"/>
      <c r="G57" s="2930"/>
      <c r="H57" s="2930"/>
      <c r="I57" s="2931"/>
    </row>
    <row r="58" spans="1:9" s="9" customFormat="1" ht="16.5" hidden="1" customHeight="1" thickBot="1" x14ac:dyDescent="0.3">
      <c r="A58" s="1150"/>
      <c r="B58" s="953" t="s">
        <v>631</v>
      </c>
      <c r="C58" s="2300">
        <v>0</v>
      </c>
      <c r="D58" s="2300">
        <v>0</v>
      </c>
      <c r="E58" s="667">
        <v>0</v>
      </c>
      <c r="F58" s="633">
        <v>0</v>
      </c>
      <c r="G58" s="2300">
        <v>0</v>
      </c>
      <c r="H58" s="2300">
        <v>0</v>
      </c>
      <c r="I58" s="668">
        <f>SUM(C58:H58)</f>
        <v>0</v>
      </c>
    </row>
    <row r="59" spans="1:9" s="9" customFormat="1" ht="16.5" hidden="1" customHeight="1" thickBot="1" x14ac:dyDescent="0.3">
      <c r="A59" s="1150"/>
      <c r="B59" s="1168" t="s">
        <v>632</v>
      </c>
      <c r="C59" s="1169">
        <f>SUM(C58)</f>
        <v>0</v>
      </c>
      <c r="D59" s="1169">
        <f t="shared" ref="D59:I59" si="8">SUM(D58)</f>
        <v>0</v>
      </c>
      <c r="E59" s="1169">
        <f t="shared" si="8"/>
        <v>0</v>
      </c>
      <c r="F59" s="1169">
        <f t="shared" si="8"/>
        <v>0</v>
      </c>
      <c r="G59" s="1169">
        <f t="shared" si="8"/>
        <v>0</v>
      </c>
      <c r="H59" s="1169">
        <f t="shared" si="8"/>
        <v>0</v>
      </c>
      <c r="I59" s="2272">
        <f t="shared" si="8"/>
        <v>0</v>
      </c>
    </row>
    <row r="60" spans="1:9" s="9" customFormat="1" ht="16.5" customHeight="1" x14ac:dyDescent="0.25">
      <c r="A60" s="1150"/>
      <c r="B60" s="2932" t="s">
        <v>401</v>
      </c>
      <c r="C60" s="2933"/>
      <c r="D60" s="2933"/>
      <c r="E60" s="2933"/>
      <c r="F60" s="2933"/>
      <c r="G60" s="2933"/>
      <c r="H60" s="2933"/>
      <c r="I60" s="2934"/>
    </row>
    <row r="61" spans="1:9" s="9" customFormat="1" ht="16.5" customHeight="1" x14ac:dyDescent="0.25">
      <c r="A61" s="1150"/>
      <c r="B61" s="615" t="s">
        <v>545</v>
      </c>
      <c r="C61" s="638">
        <v>136991.511</v>
      </c>
      <c r="D61" s="638">
        <v>0</v>
      </c>
      <c r="E61" s="638">
        <f>20675-11292+1</f>
        <v>9384</v>
      </c>
      <c r="F61" s="638">
        <v>0</v>
      </c>
      <c r="G61" s="638">
        <v>0</v>
      </c>
      <c r="H61" s="638">
        <v>0</v>
      </c>
      <c r="I61" s="640">
        <f>SUM(C61:H61)</f>
        <v>146375.511</v>
      </c>
    </row>
    <row r="62" spans="1:9" s="9" customFormat="1" ht="16.5" customHeight="1" x14ac:dyDescent="0.25">
      <c r="A62" s="1150"/>
      <c r="B62" s="615" t="s">
        <v>546</v>
      </c>
      <c r="C62" s="638" t="e">
        <f>+#REF!</f>
        <v>#REF!</v>
      </c>
      <c r="D62" s="638">
        <v>0</v>
      </c>
      <c r="E62" s="638">
        <f>77725-61780</f>
        <v>15945</v>
      </c>
      <c r="F62" s="638">
        <v>0</v>
      </c>
      <c r="G62" s="638">
        <v>0</v>
      </c>
      <c r="H62" s="638">
        <v>0</v>
      </c>
      <c r="I62" s="640" t="e">
        <f t="shared" ref="I62:I69" si="9">SUM(C62:H62)</f>
        <v>#REF!</v>
      </c>
    </row>
    <row r="63" spans="1:9" s="9" customFormat="1" ht="16.5" customHeight="1" x14ac:dyDescent="0.25">
      <c r="A63" s="1150"/>
      <c r="B63" s="615" t="s">
        <v>547</v>
      </c>
      <c r="C63" s="638">
        <v>21669.774000000005</v>
      </c>
      <c r="D63" s="638">
        <v>0</v>
      </c>
      <c r="E63" s="638">
        <f>120000+1357680-1390358</f>
        <v>87322</v>
      </c>
      <c r="F63" s="638">
        <v>0</v>
      </c>
      <c r="G63" s="638">
        <v>0</v>
      </c>
      <c r="H63" s="638">
        <v>0</v>
      </c>
      <c r="I63" s="640">
        <f t="shared" si="9"/>
        <v>108991.774</v>
      </c>
    </row>
    <row r="64" spans="1:9" s="9" customFormat="1" ht="16.5" customHeight="1" x14ac:dyDescent="0.25">
      <c r="A64" s="1150"/>
      <c r="B64" s="615" t="s">
        <v>548</v>
      </c>
      <c r="C64" s="638">
        <v>138979.22125</v>
      </c>
      <c r="D64" s="638">
        <v>0</v>
      </c>
      <c r="E64" s="638">
        <v>0</v>
      </c>
      <c r="F64" s="638">
        <v>0</v>
      </c>
      <c r="G64" s="638">
        <v>0</v>
      </c>
      <c r="H64" s="638">
        <v>0</v>
      </c>
      <c r="I64" s="640">
        <f t="shared" si="9"/>
        <v>138979.22125</v>
      </c>
    </row>
    <row r="65" spans="1:10" s="1159" customFormat="1" ht="16.5" customHeight="1" x14ac:dyDescent="0.25">
      <c r="A65" s="1145"/>
      <c r="B65" s="615" t="s">
        <v>639</v>
      </c>
      <c r="C65" s="638">
        <v>0</v>
      </c>
      <c r="D65" s="638">
        <v>0</v>
      </c>
      <c r="E65" s="638">
        <v>217523</v>
      </c>
      <c r="F65" s="638">
        <v>0</v>
      </c>
      <c r="G65" s="638">
        <v>0</v>
      </c>
      <c r="H65" s="638">
        <v>0</v>
      </c>
      <c r="I65" s="640">
        <f t="shared" si="9"/>
        <v>217523</v>
      </c>
      <c r="J65" s="9"/>
    </row>
    <row r="66" spans="1:10" s="9" customFormat="1" ht="16.5" customHeight="1" x14ac:dyDescent="0.25">
      <c r="A66" s="1145"/>
      <c r="B66" s="615" t="s">
        <v>640</v>
      </c>
      <c r="C66" s="638">
        <v>0</v>
      </c>
      <c r="D66" s="638">
        <v>0</v>
      </c>
      <c r="E66" s="638">
        <f>17600+1067</f>
        <v>18667</v>
      </c>
      <c r="F66" s="638">
        <v>0</v>
      </c>
      <c r="G66" s="638">
        <v>0</v>
      </c>
      <c r="H66" s="638">
        <v>0</v>
      </c>
      <c r="I66" s="640">
        <f>SUM(C66:H66)</f>
        <v>18667</v>
      </c>
    </row>
    <row r="67" spans="1:10" s="9" customFormat="1" ht="16.5" customHeight="1" x14ac:dyDescent="0.25">
      <c r="A67" s="1145"/>
      <c r="B67" s="615" t="s">
        <v>641</v>
      </c>
      <c r="C67" s="638">
        <v>0</v>
      </c>
      <c r="D67" s="638">
        <v>0</v>
      </c>
      <c r="E67" s="638">
        <v>31893</v>
      </c>
      <c r="F67" s="638">
        <v>0</v>
      </c>
      <c r="G67" s="638">
        <v>0</v>
      </c>
      <c r="H67" s="638">
        <v>0</v>
      </c>
      <c r="I67" s="640">
        <f t="shared" si="9"/>
        <v>31893</v>
      </c>
    </row>
    <row r="68" spans="1:10" s="9" customFormat="1" ht="16.5" customHeight="1" x14ac:dyDescent="0.25">
      <c r="A68" s="1145"/>
      <c r="B68" s="615" t="s">
        <v>642</v>
      </c>
      <c r="C68" s="638">
        <v>0</v>
      </c>
      <c r="D68" s="638">
        <v>0</v>
      </c>
      <c r="E68" s="638" t="e">
        <f>+#REF!-C68</f>
        <v>#REF!</v>
      </c>
      <c r="F68" s="638">
        <v>0</v>
      </c>
      <c r="G68" s="638">
        <v>0</v>
      </c>
      <c r="H68" s="638">
        <v>0</v>
      </c>
      <c r="I68" s="640" t="e">
        <f>SUM(C68:H68)</f>
        <v>#REF!</v>
      </c>
    </row>
    <row r="69" spans="1:10" s="9" customFormat="1" ht="16.5" customHeight="1" thickBot="1" x14ac:dyDescent="0.3">
      <c r="A69" s="1145"/>
      <c r="B69" s="2432" t="s">
        <v>643</v>
      </c>
      <c r="C69" s="925">
        <v>0</v>
      </c>
      <c r="D69" s="925">
        <v>0</v>
      </c>
      <c r="E69" s="925">
        <v>0</v>
      </c>
      <c r="F69" s="925">
        <v>0</v>
      </c>
      <c r="G69" s="925">
        <v>0</v>
      </c>
      <c r="H69" s="925" t="e">
        <f>#REF!</f>
        <v>#REF!</v>
      </c>
      <c r="I69" s="789" t="e">
        <f t="shared" si="9"/>
        <v>#REF!</v>
      </c>
    </row>
    <row r="70" spans="1:10" s="9" customFormat="1" ht="16.5" customHeight="1" thickBot="1" x14ac:dyDescent="0.3">
      <c r="A70" s="1145"/>
      <c r="B70" s="648" t="s">
        <v>43</v>
      </c>
      <c r="C70" s="2433" t="e">
        <f t="shared" ref="C70:I70" si="10">SUM(C61:C69)</f>
        <v>#REF!</v>
      </c>
      <c r="D70" s="2433">
        <f t="shared" si="10"/>
        <v>0</v>
      </c>
      <c r="E70" s="2433" t="e">
        <f t="shared" si="10"/>
        <v>#REF!</v>
      </c>
      <c r="F70" s="2433">
        <f t="shared" si="10"/>
        <v>0</v>
      </c>
      <c r="G70" s="2433">
        <f t="shared" si="10"/>
        <v>0</v>
      </c>
      <c r="H70" s="2433" t="e">
        <f t="shared" si="10"/>
        <v>#REF!</v>
      </c>
      <c r="I70" s="2433" t="e">
        <f t="shared" si="10"/>
        <v>#REF!</v>
      </c>
    </row>
    <row r="71" spans="1:10" ht="19.5" hidden="1" customHeight="1" thickBot="1" x14ac:dyDescent="0.35">
      <c r="A71" s="83"/>
      <c r="B71" s="2891" t="s">
        <v>28</v>
      </c>
      <c r="C71" s="2892"/>
      <c r="D71" s="2892"/>
      <c r="E71" s="2892"/>
      <c r="F71" s="2892"/>
      <c r="G71" s="2892"/>
      <c r="H71" s="2892"/>
      <c r="I71" s="2893"/>
    </row>
    <row r="72" spans="1:10" ht="21" hidden="1" customHeight="1" x14ac:dyDescent="0.3">
      <c r="A72" s="83"/>
      <c r="B72" s="1032" t="s">
        <v>7</v>
      </c>
      <c r="C72" s="655" t="e">
        <f>C18+C32*0.8+C33*0.5+C34*0.8+C35*0.8+C36*0.5+C37*0.8+C38+C39*0.8+C44+C48+C62*0.8</f>
        <v>#REF!</v>
      </c>
      <c r="D72" s="655">
        <f t="shared" ref="D72:I72" si="11">D18+D32*0.8+D33*0.5+D34*0.8+D35*0.8+D36*0.5+D37*0.8+D38+D39*0.8+D44+D48+D62*0.8</f>
        <v>10094.4</v>
      </c>
      <c r="E72" s="655" t="e">
        <f t="shared" si="11"/>
        <v>#REF!</v>
      </c>
      <c r="F72" s="655">
        <f t="shared" si="11"/>
        <v>6508733.9000000004</v>
      </c>
      <c r="G72" s="655">
        <f t="shared" si="11"/>
        <v>29959.1</v>
      </c>
      <c r="H72" s="655">
        <f t="shared" si="11"/>
        <v>21631.200000000001</v>
      </c>
      <c r="I72" s="1033" t="e">
        <f t="shared" si="11"/>
        <v>#REF!</v>
      </c>
    </row>
    <row r="73" spans="1:10" ht="21" hidden="1" customHeight="1" x14ac:dyDescent="0.3">
      <c r="A73" s="21"/>
      <c r="B73" s="1034" t="s">
        <v>8</v>
      </c>
      <c r="C73" s="657" t="e">
        <f>C29+C32*0.2+C33*0.5+C34*0.2+C35*0.2+C36*0.5+C37*0.2+C39*0.2+C45+C47+C49+C50+C58+C62*0.2</f>
        <v>#REF!</v>
      </c>
      <c r="D73" s="657">
        <f t="shared" ref="D73:I73" si="12">D29+D32*0.2+D33*0.5+D34*0.2+D35*0.2+D36*0.5+D37*0.2+D39*0.2+D45+D47+D49+D50+D58+D62*0.2</f>
        <v>7350.6</v>
      </c>
      <c r="E73" s="657" t="e">
        <f t="shared" si="12"/>
        <v>#REF!</v>
      </c>
      <c r="F73" s="657">
        <f t="shared" si="12"/>
        <v>2778963</v>
      </c>
      <c r="G73" s="657">
        <f t="shared" si="12"/>
        <v>30555.9</v>
      </c>
      <c r="H73" s="657">
        <f t="shared" si="12"/>
        <v>24558.799999999999</v>
      </c>
      <c r="I73" s="1035" t="e">
        <f t="shared" si="12"/>
        <v>#REF!</v>
      </c>
    </row>
    <row r="74" spans="1:10" ht="21" hidden="1" customHeight="1" thickBot="1" x14ac:dyDescent="0.35">
      <c r="A74" s="86"/>
      <c r="B74" s="1036" t="s">
        <v>12</v>
      </c>
      <c r="C74" s="659">
        <f>C43+C46+C53+C61+C63+C64+C65+C66+C67+C68+C69</f>
        <v>297640.50624999998</v>
      </c>
      <c r="D74" s="659">
        <f t="shared" ref="D74:I74" si="13">D43+D46+D53+D61+D63+D64+D65+D66+D67+D68+D69</f>
        <v>0</v>
      </c>
      <c r="E74" s="659" t="e">
        <f t="shared" si="13"/>
        <v>#REF!</v>
      </c>
      <c r="F74" s="659">
        <f t="shared" si="13"/>
        <v>0</v>
      </c>
      <c r="G74" s="659">
        <f t="shared" si="13"/>
        <v>0</v>
      </c>
      <c r="H74" s="659" t="e">
        <f t="shared" si="13"/>
        <v>#REF!</v>
      </c>
      <c r="I74" s="1037" t="e">
        <f t="shared" si="13"/>
        <v>#REF!</v>
      </c>
    </row>
    <row r="75" spans="1:10" ht="21" thickBot="1" x14ac:dyDescent="0.35">
      <c r="A75" s="83"/>
      <c r="B75" s="648" t="s">
        <v>58</v>
      </c>
      <c r="C75" s="649" t="e">
        <f>C18+C29+C40+C51+C70</f>
        <v>#REF!</v>
      </c>
      <c r="D75" s="649">
        <f t="shared" ref="D75:I75" si="14">D18+D29+D40+D51+D70</f>
        <v>17445</v>
      </c>
      <c r="E75" s="649" t="e">
        <f t="shared" si="14"/>
        <v>#REF!</v>
      </c>
      <c r="F75" s="649">
        <f t="shared" si="14"/>
        <v>9287696.9000000004</v>
      </c>
      <c r="G75" s="649">
        <f t="shared" si="14"/>
        <v>60515</v>
      </c>
      <c r="H75" s="649" t="e">
        <f t="shared" si="14"/>
        <v>#REF!</v>
      </c>
      <c r="I75" s="649" t="e">
        <f t="shared" si="14"/>
        <v>#REF!</v>
      </c>
    </row>
    <row r="76" spans="1:10" ht="15.75" x14ac:dyDescent="0.25">
      <c r="B76" s="144"/>
    </row>
    <row r="77" spans="1:10" ht="15.75" x14ac:dyDescent="0.25">
      <c r="B77" s="144"/>
      <c r="I77" s="2470" t="e">
        <f>I75-#REF!</f>
        <v>#REF!</v>
      </c>
    </row>
    <row r="78" spans="1:10" ht="15.75" x14ac:dyDescent="0.25">
      <c r="B78" s="144"/>
    </row>
    <row r="79" spans="1:10" ht="15.75" x14ac:dyDescent="0.25">
      <c r="B79" s="144"/>
    </row>
  </sheetData>
  <mergeCells count="13">
    <mergeCell ref="B71:I71"/>
    <mergeCell ref="B30:I30"/>
    <mergeCell ref="B31:I31"/>
    <mergeCell ref="B42:I42"/>
    <mergeCell ref="B52:I52"/>
    <mergeCell ref="B57:I57"/>
    <mergeCell ref="B60:I60"/>
    <mergeCell ref="B24:I24"/>
    <mergeCell ref="B1:I1"/>
    <mergeCell ref="B2:I2"/>
    <mergeCell ref="B11:I11"/>
    <mergeCell ref="B20:I20"/>
    <mergeCell ref="B23:I23"/>
  </mergeCells>
  <printOptions horizontalCentered="1" verticalCentered="1"/>
  <pageMargins left="0.5" right="0.06" top="0.2" bottom="0.18" header="0.2" footer="0.25"/>
  <pageSetup scale="62" orientation="landscape" r:id="rId1"/>
  <headerFooter alignWithMargins="0">
    <oddFooter>&amp;C&amp;"Arial"&amp;11&amp;K000000&amp;14
Totals may vary due to rounding&amp;12
_x000D_&amp;1#&amp;"Calibri"&amp;12&amp;K008000Internal Use</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8">
    <tabColor indexed="44"/>
    <pageSetUpPr fitToPage="1"/>
  </sheetPr>
  <dimension ref="A1:M61"/>
  <sheetViews>
    <sheetView zoomScale="75" zoomScaleNormal="75" workbookViewId="0">
      <pane ySplit="10" topLeftCell="A26" activePane="bottomLeft" state="frozen"/>
      <selection activeCell="A40" sqref="A40:IV40"/>
      <selection pane="bottomLeft" activeCell="A40" sqref="A40:IV40"/>
    </sheetView>
  </sheetViews>
  <sheetFormatPr defaultRowHeight="12.75" x14ac:dyDescent="0.2"/>
  <cols>
    <col min="1" max="1" width="7.140625" style="49" customWidth="1"/>
    <col min="2" max="2" width="60.28515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15.42578125" style="2469" bestFit="1" customWidth="1"/>
    <col min="11" max="11" width="13.7109375" style="49" bestFit="1" customWidth="1"/>
    <col min="12" max="12" width="15.42578125" style="49" bestFit="1" customWidth="1"/>
    <col min="13" max="13" width="13.42578125" style="49" bestFit="1" customWidth="1"/>
    <col min="14" max="16384" width="9.140625" style="49"/>
  </cols>
  <sheetData>
    <row r="1" spans="1:13" ht="25.5" x14ac:dyDescent="0.35">
      <c r="B1" s="2944" t="s">
        <v>82</v>
      </c>
      <c r="C1" s="2944"/>
      <c r="D1" s="2944"/>
      <c r="E1" s="2944"/>
      <c r="F1" s="2944"/>
      <c r="G1" s="2944"/>
      <c r="H1" s="2944"/>
      <c r="I1" s="2944"/>
    </row>
    <row r="2" spans="1:13" ht="25.5" x14ac:dyDescent="0.35">
      <c r="B2" s="2944" t="s">
        <v>691</v>
      </c>
      <c r="C2" s="2944"/>
      <c r="D2" s="2944"/>
      <c r="E2" s="2944"/>
      <c r="F2" s="2944"/>
      <c r="G2" s="2944"/>
      <c r="H2" s="2944"/>
      <c r="I2" s="2944"/>
    </row>
    <row r="3" spans="1:13" ht="25.5" hidden="1" x14ac:dyDescent="0.35">
      <c r="B3" s="1895"/>
      <c r="C3" s="10"/>
      <c r="D3" s="8"/>
      <c r="E3" s="8"/>
      <c r="F3" s="1895"/>
      <c r="G3" s="9"/>
      <c r="H3" s="9"/>
      <c r="I3" s="1895"/>
    </row>
    <row r="4" spans="1:13" ht="25.5" hidden="1" x14ac:dyDescent="0.35">
      <c r="B4" s="1895"/>
      <c r="C4" s="10"/>
      <c r="D4" s="8"/>
      <c r="E4" s="8"/>
      <c r="F4" s="1895"/>
      <c r="G4" s="9"/>
      <c r="H4" s="9"/>
      <c r="I4" s="1895"/>
    </row>
    <row r="5" spans="1:13" ht="25.5" hidden="1" x14ac:dyDescent="0.35">
      <c r="B5" s="1895"/>
      <c r="C5" s="10"/>
      <c r="D5" s="8"/>
      <c r="E5" s="8"/>
      <c r="F5" s="1895"/>
      <c r="G5" s="9"/>
      <c r="H5" s="9"/>
      <c r="I5" s="1895"/>
    </row>
    <row r="6" spans="1:13" ht="25.5" hidden="1" x14ac:dyDescent="0.35">
      <c r="B6" s="1895"/>
      <c r="C6" s="10"/>
      <c r="D6" s="8"/>
      <c r="E6" s="8"/>
      <c r="F6" s="1895"/>
      <c r="G6" s="9"/>
      <c r="H6" s="9"/>
      <c r="I6" s="1895"/>
    </row>
    <row r="7" spans="1:13" ht="25.5" hidden="1" x14ac:dyDescent="0.35">
      <c r="B7" s="1895"/>
      <c r="C7" s="10"/>
      <c r="D7" s="8"/>
      <c r="E7" s="8"/>
      <c r="F7" s="1895"/>
      <c r="G7" s="9"/>
      <c r="H7" s="9"/>
      <c r="I7" s="1895"/>
    </row>
    <row r="8" spans="1:13" ht="6.75" customHeight="1" x14ac:dyDescent="0.25">
      <c r="B8" s="11"/>
      <c r="C8" s="10"/>
      <c r="D8" s="8"/>
      <c r="E8" s="8"/>
      <c r="F8" s="9"/>
      <c r="G8" s="9"/>
      <c r="H8" s="9"/>
      <c r="I8" s="9"/>
    </row>
    <row r="9" spans="1:13" ht="6.75" customHeight="1" thickBot="1" x14ac:dyDescent="0.3">
      <c r="B9" s="11"/>
      <c r="C9" s="10"/>
      <c r="D9" s="8"/>
      <c r="E9" s="8"/>
      <c r="F9" s="9"/>
      <c r="G9" s="9"/>
      <c r="H9" s="9"/>
      <c r="I9" s="9"/>
    </row>
    <row r="10" spans="1:13" ht="48.75" thickBot="1" x14ac:dyDescent="0.35">
      <c r="A10" s="21"/>
      <c r="B10" s="630" t="s">
        <v>620</v>
      </c>
      <c r="C10" s="631" t="s">
        <v>53</v>
      </c>
      <c r="D10" s="631" t="s">
        <v>13</v>
      </c>
      <c r="E10" s="631" t="s">
        <v>4</v>
      </c>
      <c r="F10" s="631" t="s">
        <v>2</v>
      </c>
      <c r="G10" s="631" t="s">
        <v>14</v>
      </c>
      <c r="H10" s="631" t="s">
        <v>15</v>
      </c>
      <c r="I10" s="631" t="s">
        <v>16</v>
      </c>
    </row>
    <row r="11" spans="1:13" ht="21" thickBot="1" x14ac:dyDescent="0.35">
      <c r="A11" s="21"/>
      <c r="B11" s="2888" t="s">
        <v>5</v>
      </c>
      <c r="C11" s="2889"/>
      <c r="D11" s="2889"/>
      <c r="E11" s="2889"/>
      <c r="F11" s="2889"/>
      <c r="G11" s="2889"/>
      <c r="H11" s="2889"/>
      <c r="I11" s="2890"/>
    </row>
    <row r="12" spans="1:13" ht="24.6" customHeight="1" x14ac:dyDescent="0.3">
      <c r="A12" s="83"/>
      <c r="B12" s="156" t="s">
        <v>227</v>
      </c>
      <c r="C12" s="633">
        <v>85668</v>
      </c>
      <c r="D12" s="633">
        <v>720</v>
      </c>
      <c r="E12" s="633">
        <f>336535-291773-20000-20000+939.26</f>
        <v>5701.26</v>
      </c>
      <c r="F12" s="633">
        <f>699376+24870+114437+158428</f>
        <v>997111</v>
      </c>
      <c r="G12" s="633">
        <f>6000+21363*0.1+1000</f>
        <v>9136.2999999999993</v>
      </c>
      <c r="H12" s="633">
        <v>1500</v>
      </c>
      <c r="I12" s="634">
        <f>SUM(C12:H12)</f>
        <v>1099836.56</v>
      </c>
      <c r="J12" s="2469">
        <f>$J$17*I12/$I$17</f>
        <v>-3.3446411419775594E-4</v>
      </c>
      <c r="L12" s="2469">
        <v>158427.66063450184</v>
      </c>
      <c r="M12" s="587"/>
    </row>
    <row r="13" spans="1:13" ht="24.6" customHeight="1" x14ac:dyDescent="0.3">
      <c r="A13" s="83"/>
      <c r="B13" s="614" t="s">
        <v>149</v>
      </c>
      <c r="C13" s="638">
        <f>9720+187484</f>
        <v>197204</v>
      </c>
      <c r="D13" s="638">
        <v>0</v>
      </c>
      <c r="E13" s="638">
        <f>76634+50000+1762.04-18589+45.05+61780+1370</f>
        <v>173002.09</v>
      </c>
      <c r="F13" s="638">
        <f>1743307-700000+37100+200250-8924-22000-10000+9040+280165</f>
        <v>1528938</v>
      </c>
      <c r="G13" s="638">
        <f>30000+21363*0.6</f>
        <v>42817.8</v>
      </c>
      <c r="H13" s="638">
        <v>3000</v>
      </c>
      <c r="I13" s="640">
        <f>SUM(C13:H13)</f>
        <v>1944961.89</v>
      </c>
      <c r="J13" s="2469">
        <f>$J$17*I13/$I$17</f>
        <v>-5.9146965953490679E-4</v>
      </c>
      <c r="K13" s="2486"/>
      <c r="L13" s="2469">
        <v>280165.15668212535</v>
      </c>
      <c r="M13" s="587"/>
    </row>
    <row r="14" spans="1:13" ht="24.6" customHeight="1" x14ac:dyDescent="0.3">
      <c r="A14" s="83"/>
      <c r="B14" s="614" t="s">
        <v>595</v>
      </c>
      <c r="C14" s="638">
        <f>45511*2</f>
        <v>91022</v>
      </c>
      <c r="D14" s="638">
        <f>2300+4000</f>
        <v>6300</v>
      </c>
      <c r="E14" s="638">
        <f>38000+90000+10000+3232.87</f>
        <v>141232.87</v>
      </c>
      <c r="F14" s="638">
        <f>1810063.9+700000-150973+83889+373737-11220.88+2279/2+514511</f>
        <v>3321146.52</v>
      </c>
      <c r="G14" s="638">
        <f>6000+21363*0.1+1000</f>
        <v>9136.2999999999993</v>
      </c>
      <c r="H14" s="638">
        <v>3000</v>
      </c>
      <c r="I14" s="640">
        <f>SUM(C14:H14)</f>
        <v>3571837.69</v>
      </c>
      <c r="J14" s="2469">
        <f>$J$17*I14/$I$17</f>
        <v>-1.0862082353799991E-3</v>
      </c>
      <c r="K14" s="2486"/>
      <c r="L14" s="2469">
        <v>514511.05914325308</v>
      </c>
      <c r="M14" s="587"/>
    </row>
    <row r="15" spans="1:13" ht="24.6" customHeight="1" x14ac:dyDescent="0.3">
      <c r="A15" s="83"/>
      <c r="B15" s="614" t="s">
        <v>222</v>
      </c>
      <c r="C15" s="638">
        <v>190395</v>
      </c>
      <c r="D15" s="638">
        <v>2500</v>
      </c>
      <c r="E15" s="638">
        <f>50000-40000+10000+20000+3118.81</f>
        <v>43118.81</v>
      </c>
      <c r="F15" s="638">
        <f>2178005+77450+346512-8924-2000+478498</f>
        <v>3069541</v>
      </c>
      <c r="G15" s="638">
        <f>6000+21363*0.2+2000</f>
        <v>12272.6</v>
      </c>
      <c r="H15" s="638">
        <v>4000</v>
      </c>
      <c r="I15" s="640">
        <f>SUM(C15:H15)</f>
        <v>3321827.41</v>
      </c>
      <c r="J15" s="2469">
        <f>$J$17*I15/$I$17</f>
        <v>-1.0101792417261304E-3</v>
      </c>
      <c r="K15" s="2486"/>
      <c r="L15" s="2469">
        <v>478497.90832534846</v>
      </c>
      <c r="M15" s="587"/>
    </row>
    <row r="16" spans="1:13" ht="24.6" customHeight="1" thickBot="1" x14ac:dyDescent="0.35">
      <c r="A16" s="83"/>
      <c r="B16" s="617" t="s">
        <v>529</v>
      </c>
      <c r="C16" s="641">
        <v>17848</v>
      </c>
      <c r="D16" s="641">
        <v>0</v>
      </c>
      <c r="E16" s="641">
        <f>135761+184.93+25882</f>
        <v>161827.93</v>
      </c>
      <c r="F16" s="641">
        <v>0</v>
      </c>
      <c r="G16" s="641">
        <v>0</v>
      </c>
      <c r="H16" s="641">
        <v>0</v>
      </c>
      <c r="I16" s="643">
        <f>SUM(C16:H16)</f>
        <v>179675.93</v>
      </c>
      <c r="J16" s="2469">
        <f>$J$17*I16/$I$17</f>
        <v>-5.4640073767058615E-5</v>
      </c>
      <c r="L16" s="2469">
        <v>25881.656047068795</v>
      </c>
      <c r="M16" s="587"/>
    </row>
    <row r="17" spans="1:13" ht="24.6" customHeight="1" thickBot="1" x14ac:dyDescent="0.35">
      <c r="A17" s="84"/>
      <c r="B17" s="232" t="s">
        <v>30</v>
      </c>
      <c r="C17" s="662">
        <f t="shared" ref="C17:I17" si="0">SUM(C12:C16)</f>
        <v>582137</v>
      </c>
      <c r="D17" s="662">
        <f t="shared" si="0"/>
        <v>9520</v>
      </c>
      <c r="E17" s="662">
        <f t="shared" si="0"/>
        <v>524882.96</v>
      </c>
      <c r="F17" s="662">
        <f t="shared" si="0"/>
        <v>8916736.5199999996</v>
      </c>
      <c r="G17" s="662">
        <f t="shared" si="0"/>
        <v>73363.000000000015</v>
      </c>
      <c r="H17" s="662">
        <f t="shared" si="0"/>
        <v>11500</v>
      </c>
      <c r="I17" s="662">
        <f t="shared" si="0"/>
        <v>10118139.48</v>
      </c>
      <c r="J17" s="2469">
        <f>$I$61*I17/($I$17+$I$28)</f>
        <v>-3.0769613246058509E-3</v>
      </c>
      <c r="L17" s="2469">
        <v>1457483.4408322976</v>
      </c>
    </row>
    <row r="18" spans="1:13" s="51" customFormat="1" ht="24.6" customHeight="1" x14ac:dyDescent="0.2">
      <c r="B18" s="663"/>
      <c r="C18" s="664"/>
      <c r="D18" s="622"/>
      <c r="E18" s="622"/>
      <c r="F18" s="665"/>
      <c r="G18" s="665"/>
      <c r="H18" s="665"/>
      <c r="I18" s="666"/>
      <c r="J18" s="2645"/>
      <c r="L18" s="2645"/>
    </row>
    <row r="19" spans="1:13" ht="24.6" customHeight="1" thickBot="1" x14ac:dyDescent="0.35">
      <c r="A19" s="84"/>
      <c r="B19" s="2647" t="s">
        <v>151</v>
      </c>
      <c r="C19" s="2648"/>
      <c r="D19" s="2648"/>
      <c r="E19" s="2648"/>
      <c r="F19" s="2648"/>
      <c r="G19" s="2648"/>
      <c r="H19" s="2648"/>
      <c r="I19" s="2649"/>
      <c r="L19" s="2469"/>
    </row>
    <row r="20" spans="1:13" ht="24.6" customHeight="1" thickBot="1" x14ac:dyDescent="0.35">
      <c r="A20" s="83"/>
      <c r="B20" s="100" t="s">
        <v>154</v>
      </c>
      <c r="C20" s="644">
        <v>81488</v>
      </c>
      <c r="D20" s="644">
        <v>2000</v>
      </c>
      <c r="E20" s="644">
        <f>12000+1999.86</f>
        <v>13999.86</v>
      </c>
      <c r="F20" s="644">
        <f>1900092+1806412-2109520+1806412-1831318-222564+48824+209838+2279/2+289725-0.77</f>
        <v>1899039.73</v>
      </c>
      <c r="G20" s="644">
        <f>23600+2071892-2088692</f>
        <v>6800</v>
      </c>
      <c r="H20" s="644">
        <v>8000</v>
      </c>
      <c r="I20" s="634">
        <f>SUM(C20:H20)</f>
        <v>2011327.59</v>
      </c>
      <c r="J20" s="2469">
        <f>$J$28*I20/$I$28</f>
        <v>-6.1165169918597458E-4</v>
      </c>
      <c r="L20" s="2469">
        <v>289724.99768357538</v>
      </c>
      <c r="M20" s="587"/>
    </row>
    <row r="21" spans="1:13" ht="24.6" customHeight="1" thickBot="1" x14ac:dyDescent="0.35">
      <c r="A21" s="84"/>
      <c r="B21" s="26" t="s">
        <v>152</v>
      </c>
      <c r="C21" s="645">
        <f>SUM(C20)</f>
        <v>81488</v>
      </c>
      <c r="D21" s="645">
        <f t="shared" ref="D21:I21" si="1">SUM(D20)</f>
        <v>2000</v>
      </c>
      <c r="E21" s="645">
        <f t="shared" si="1"/>
        <v>13999.86</v>
      </c>
      <c r="F21" s="645">
        <f t="shared" si="1"/>
        <v>1899039.73</v>
      </c>
      <c r="G21" s="645">
        <f t="shared" si="1"/>
        <v>6800</v>
      </c>
      <c r="H21" s="645">
        <f t="shared" si="1"/>
        <v>8000</v>
      </c>
      <c r="I21" s="645">
        <f t="shared" si="1"/>
        <v>2011327.59</v>
      </c>
      <c r="L21" s="2469"/>
      <c r="M21" s="587"/>
    </row>
    <row r="22" spans="1:13" s="51" customFormat="1" ht="24.6" customHeight="1" x14ac:dyDescent="0.3">
      <c r="A22" s="83"/>
      <c r="B22" s="2479"/>
      <c r="C22" s="2480"/>
      <c r="D22" s="2480"/>
      <c r="E22" s="2480"/>
      <c r="F22" s="2480"/>
      <c r="G22" s="2480"/>
      <c r="H22" s="2480"/>
      <c r="I22" s="2481"/>
      <c r="J22" s="2645"/>
      <c r="L22" s="2469"/>
      <c r="M22" s="587"/>
    </row>
    <row r="23" spans="1:13" ht="24.6" customHeight="1" thickBot="1" x14ac:dyDescent="0.35">
      <c r="A23" s="84"/>
      <c r="B23" s="2647" t="s">
        <v>153</v>
      </c>
      <c r="C23" s="2648"/>
      <c r="D23" s="2648"/>
      <c r="E23" s="2648"/>
      <c r="F23" s="2648"/>
      <c r="G23" s="2648"/>
      <c r="H23" s="2648"/>
      <c r="I23" s="2649"/>
      <c r="L23" s="2469"/>
      <c r="M23" s="587"/>
    </row>
    <row r="24" spans="1:13" ht="24.6" customHeight="1" x14ac:dyDescent="0.3">
      <c r="A24" s="83"/>
      <c r="B24" s="156" t="s">
        <v>155</v>
      </c>
      <c r="C24" s="633">
        <v>81488</v>
      </c>
      <c r="D24" s="633">
        <v>2000</v>
      </c>
      <c r="E24" s="633">
        <f>12000+1316.13-0.87</f>
        <v>13315.26</v>
      </c>
      <c r="F24" s="633">
        <f>914253+1190343-1086820+1190343-1210184-146659+30798+138614+191260</f>
        <v>1211948</v>
      </c>
      <c r="G24" s="633">
        <f>10500+1048767-1044453</f>
        <v>14814</v>
      </c>
      <c r="H24" s="633">
        <v>4200</v>
      </c>
      <c r="I24" s="634">
        <f>SUM(C24:H24)</f>
        <v>1327765.26</v>
      </c>
      <c r="J24" s="2469">
        <f>$J$28*I24/$I$28</f>
        <v>-4.0377802275317433E-4</v>
      </c>
      <c r="L24" s="2469">
        <v>191260.07271551286</v>
      </c>
      <c r="M24" s="587"/>
    </row>
    <row r="25" spans="1:13" ht="24.6" customHeight="1" thickBot="1" x14ac:dyDescent="0.35">
      <c r="A25" s="83"/>
      <c r="B25" s="1024" t="s">
        <v>581</v>
      </c>
      <c r="C25" s="635">
        <v>46404</v>
      </c>
      <c r="D25" s="635">
        <v>2000</v>
      </c>
      <c r="E25" s="635">
        <f>12000+334.54</f>
        <v>12334.54</v>
      </c>
      <c r="F25" s="635">
        <f>369557+302537-414654+302537-305509-37275+7858+40671+157915+82693</f>
        <v>506330</v>
      </c>
      <c r="G25" s="635">
        <v>5000</v>
      </c>
      <c r="H25" s="635">
        <v>2000</v>
      </c>
      <c r="I25" s="1025">
        <f>SUM(C25:H25)</f>
        <v>574068.54</v>
      </c>
      <c r="J25" s="2469">
        <f>$J$28*I25/$I$28</f>
        <v>-1.7457623496340126E-4</v>
      </c>
      <c r="L25" s="2469">
        <v>82692.553056045144</v>
      </c>
      <c r="M25" s="587"/>
    </row>
    <row r="26" spans="1:13" ht="24.6" customHeight="1" thickBot="1" x14ac:dyDescent="0.35">
      <c r="A26" s="84"/>
      <c r="B26" s="921" t="s">
        <v>152</v>
      </c>
      <c r="C26" s="645">
        <f>SUM(C24:C25)</f>
        <v>127892</v>
      </c>
      <c r="D26" s="645">
        <f>D24+D25</f>
        <v>4000</v>
      </c>
      <c r="E26" s="645">
        <f>E24+E25</f>
        <v>25649.800000000003</v>
      </c>
      <c r="F26" s="645">
        <f>F24+F25</f>
        <v>1718278</v>
      </c>
      <c r="G26" s="645">
        <f>G24+G25</f>
        <v>19814</v>
      </c>
      <c r="H26" s="645">
        <f>H24+H25</f>
        <v>6200</v>
      </c>
      <c r="I26" s="932">
        <f>SUM(I24:I25)</f>
        <v>1901833.8</v>
      </c>
      <c r="L26" s="2469"/>
      <c r="M26" s="587"/>
    </row>
    <row r="27" spans="1:13" ht="24.6" customHeight="1" thickBot="1" x14ac:dyDescent="0.35">
      <c r="A27" s="84"/>
      <c r="B27" s="930" t="s">
        <v>245</v>
      </c>
      <c r="C27" s="703">
        <f>9720+66668</f>
        <v>76388</v>
      </c>
      <c r="D27" s="703">
        <v>1000</v>
      </c>
      <c r="E27" s="703">
        <f>5000+355.23</f>
        <v>5355.23</v>
      </c>
      <c r="F27" s="644">
        <f>(255686+320092-274218+320092-323712-39438+9352+47976)/2+41257</f>
        <v>199172</v>
      </c>
      <c r="G27" s="703">
        <v>2500</v>
      </c>
      <c r="H27" s="703">
        <v>2000</v>
      </c>
      <c r="I27" s="931">
        <f>SUM(C27:H27)</f>
        <v>286415.23</v>
      </c>
      <c r="J27" s="2469">
        <f>$J$28*I27/$I$28</f>
        <v>-8.7099865269705618E-5</v>
      </c>
      <c r="L27" s="2469">
        <v>41257.161358502133</v>
      </c>
      <c r="M27" s="587"/>
    </row>
    <row r="28" spans="1:13" ht="24.6" customHeight="1" thickBot="1" x14ac:dyDescent="0.35">
      <c r="A28" s="84"/>
      <c r="B28" s="26" t="s">
        <v>31</v>
      </c>
      <c r="C28" s="645">
        <f>C21+C26+C27</f>
        <v>285768</v>
      </c>
      <c r="D28" s="645">
        <f t="shared" ref="D28:I28" si="2">D21+D26+D27</f>
        <v>7000</v>
      </c>
      <c r="E28" s="645">
        <f t="shared" si="2"/>
        <v>45004.89</v>
      </c>
      <c r="F28" s="645">
        <f t="shared" si="2"/>
        <v>3816489.73</v>
      </c>
      <c r="G28" s="645">
        <f t="shared" si="2"/>
        <v>29114</v>
      </c>
      <c r="H28" s="645">
        <f t="shared" si="2"/>
        <v>16200</v>
      </c>
      <c r="I28" s="645">
        <f t="shared" si="2"/>
        <v>4199576.62</v>
      </c>
      <c r="J28" s="2469">
        <f>$I$61*I28/($I$17+$I$28)</f>
        <v>-1.2771058221722558E-3</v>
      </c>
      <c r="L28" s="2469">
        <v>604934.78481363552</v>
      </c>
      <c r="M28" s="587"/>
    </row>
    <row r="29" spans="1:13" ht="21" thickBot="1" x14ac:dyDescent="0.35">
      <c r="A29" s="83"/>
      <c r="B29" s="2885" t="s">
        <v>158</v>
      </c>
      <c r="C29" s="2886"/>
      <c r="D29" s="2886"/>
      <c r="E29" s="2886"/>
      <c r="F29" s="2886"/>
      <c r="G29" s="2886"/>
      <c r="H29" s="2886"/>
      <c r="I29" s="2887"/>
      <c r="L29" s="587"/>
      <c r="M29" s="587"/>
    </row>
    <row r="30" spans="1:13" s="9" customFormat="1" ht="16.5" customHeight="1" thickBot="1" x14ac:dyDescent="0.3">
      <c r="A30" s="1145"/>
      <c r="B30" s="2926" t="s">
        <v>393</v>
      </c>
      <c r="C30" s="2927"/>
      <c r="D30" s="2927"/>
      <c r="E30" s="2927"/>
      <c r="F30" s="2927"/>
      <c r="G30" s="2927"/>
      <c r="H30" s="2927"/>
      <c r="I30" s="2928"/>
      <c r="J30" s="2596"/>
      <c r="L30" s="587"/>
      <c r="M30" s="587"/>
    </row>
    <row r="31" spans="1:13" s="9" customFormat="1" ht="16.5" customHeight="1" x14ac:dyDescent="0.25">
      <c r="A31" s="1150"/>
      <c r="B31" s="693" t="s">
        <v>600</v>
      </c>
      <c r="C31" s="1854">
        <f>26678.03-950-5200-10826</f>
        <v>9702.0299999999988</v>
      </c>
      <c r="D31" s="669">
        <v>469</v>
      </c>
      <c r="E31" s="669">
        <f>16897+11890</f>
        <v>28787</v>
      </c>
      <c r="F31" s="669">
        <v>0</v>
      </c>
      <c r="G31" s="669">
        <v>1657</v>
      </c>
      <c r="H31" s="669">
        <f>24917+264</f>
        <v>25181</v>
      </c>
      <c r="I31" s="1899">
        <f>SUM(C31:H31)</f>
        <v>65796.03</v>
      </c>
      <c r="J31" s="2596"/>
      <c r="L31" s="587"/>
      <c r="M31" s="587"/>
    </row>
    <row r="32" spans="1:13" s="9" customFormat="1" ht="16.5" customHeight="1" x14ac:dyDescent="0.25">
      <c r="A32" s="1150"/>
      <c r="B32" s="693" t="s">
        <v>487</v>
      </c>
      <c r="C32" s="1854">
        <v>0</v>
      </c>
      <c r="D32" s="669">
        <v>0</v>
      </c>
      <c r="E32" s="669">
        <v>0</v>
      </c>
      <c r="F32" s="669">
        <v>0</v>
      </c>
      <c r="G32" s="669">
        <v>0</v>
      </c>
      <c r="H32" s="669">
        <v>0</v>
      </c>
      <c r="I32" s="1899">
        <f>SUM(C32:H32)</f>
        <v>0</v>
      </c>
      <c r="J32" s="2596"/>
    </row>
    <row r="33" spans="1:10" s="9" customFormat="1" ht="16.5" customHeight="1" x14ac:dyDescent="0.25">
      <c r="A33" s="1150"/>
      <c r="B33" s="693" t="s">
        <v>601</v>
      </c>
      <c r="C33" s="1854">
        <v>7139</v>
      </c>
      <c r="D33" s="669">
        <v>373</v>
      </c>
      <c r="E33" s="669">
        <f>16500-2484</f>
        <v>14016</v>
      </c>
      <c r="F33" s="669">
        <v>0</v>
      </c>
      <c r="G33" s="669">
        <v>862</v>
      </c>
      <c r="H33" s="669">
        <f>2667+287-2485</f>
        <v>469</v>
      </c>
      <c r="I33" s="1899">
        <f>SUM(C33:H33)</f>
        <v>22859</v>
      </c>
      <c r="J33" s="2596"/>
    </row>
    <row r="34" spans="1:10" s="9" customFormat="1" ht="16.5" customHeight="1" thickBot="1" x14ac:dyDescent="0.3">
      <c r="A34" s="1150"/>
      <c r="B34" s="693" t="s">
        <v>602</v>
      </c>
      <c r="C34" s="1854">
        <v>1785</v>
      </c>
      <c r="D34" s="669">
        <v>83</v>
      </c>
      <c r="E34" s="669">
        <v>8250</v>
      </c>
      <c r="F34" s="669">
        <v>0</v>
      </c>
      <c r="G34" s="669">
        <v>192</v>
      </c>
      <c r="H34" s="669">
        <f>1583+48+1714+16</f>
        <v>3361</v>
      </c>
      <c r="I34" s="1899">
        <f>SUM(C34:H34)</f>
        <v>13671</v>
      </c>
      <c r="J34" s="2596"/>
    </row>
    <row r="35" spans="1:10" s="9" customFormat="1" ht="16.5" customHeight="1" thickBot="1" x14ac:dyDescent="0.3">
      <c r="A35" s="1150"/>
      <c r="B35" s="26" t="s">
        <v>395</v>
      </c>
      <c r="C35" s="645">
        <f t="shared" ref="C35:I35" si="3">SUM(C31:C34)</f>
        <v>18626.03</v>
      </c>
      <c r="D35" s="645">
        <f t="shared" si="3"/>
        <v>925</v>
      </c>
      <c r="E35" s="645">
        <f t="shared" si="3"/>
        <v>51053</v>
      </c>
      <c r="F35" s="645">
        <f t="shared" si="3"/>
        <v>0</v>
      </c>
      <c r="G35" s="645">
        <f t="shared" si="3"/>
        <v>2711</v>
      </c>
      <c r="H35" s="645">
        <f t="shared" si="3"/>
        <v>29011</v>
      </c>
      <c r="I35" s="645">
        <f t="shared" si="3"/>
        <v>102326.03</v>
      </c>
      <c r="J35" s="2596"/>
    </row>
    <row r="36" spans="1:10" s="9" customFormat="1" ht="16.5" customHeight="1" thickBot="1" x14ac:dyDescent="0.3">
      <c r="A36" s="1150"/>
      <c r="B36" s="2483"/>
      <c r="C36" s="2484"/>
      <c r="D36" s="2484"/>
      <c r="E36" s="2484"/>
      <c r="F36" s="2484"/>
      <c r="G36" s="2484"/>
      <c r="H36" s="2484"/>
      <c r="I36" s="2484"/>
      <c r="J36" s="2596"/>
    </row>
    <row r="37" spans="1:10" s="1164" customFormat="1" ht="16.5" customHeight="1" thickBot="1" x14ac:dyDescent="0.3">
      <c r="A37" s="1150"/>
      <c r="B37" s="2929" t="s">
        <v>396</v>
      </c>
      <c r="C37" s="2930"/>
      <c r="D37" s="2930"/>
      <c r="E37" s="2930"/>
      <c r="F37" s="2930"/>
      <c r="G37" s="2930"/>
      <c r="H37" s="2930"/>
      <c r="I37" s="2931"/>
      <c r="J37" s="2646"/>
    </row>
    <row r="38" spans="1:10" s="9" customFormat="1" ht="16.5" customHeight="1" x14ac:dyDescent="0.25">
      <c r="A38" s="1150"/>
      <c r="B38" s="2264" t="s">
        <v>607</v>
      </c>
      <c r="C38" s="1166">
        <v>0</v>
      </c>
      <c r="D38" s="1166">
        <v>0</v>
      </c>
      <c r="E38" s="1901">
        <f>186292-100000</f>
        <v>86292</v>
      </c>
      <c r="F38" s="1166">
        <v>0</v>
      </c>
      <c r="G38" s="1166">
        <v>0</v>
      </c>
      <c r="H38" s="1166">
        <v>0</v>
      </c>
      <c r="I38" s="1899">
        <f>SUM(C38:H38)</f>
        <v>86292</v>
      </c>
      <c r="J38" s="2596"/>
    </row>
    <row r="39" spans="1:10" s="9" customFormat="1" ht="16.5" customHeight="1" x14ac:dyDescent="0.25">
      <c r="A39" s="1150"/>
      <c r="B39" s="2264" t="s">
        <v>608</v>
      </c>
      <c r="C39" s="1166">
        <v>0</v>
      </c>
      <c r="D39" s="1166">
        <v>0</v>
      </c>
      <c r="E39" s="1901">
        <v>75000</v>
      </c>
      <c r="F39" s="1166">
        <v>0</v>
      </c>
      <c r="G39" s="1166">
        <v>0</v>
      </c>
      <c r="H39" s="1166">
        <v>0</v>
      </c>
      <c r="I39" s="1899">
        <f>SUM(C39:H39)</f>
        <v>75000</v>
      </c>
      <c r="J39" s="2596"/>
    </row>
    <row r="40" spans="1:10" s="9" customFormat="1" ht="16.5" customHeight="1" thickBot="1" x14ac:dyDescent="0.3">
      <c r="A40" s="1150"/>
      <c r="B40" s="2264" t="s">
        <v>603</v>
      </c>
      <c r="C40" s="1166">
        <v>0</v>
      </c>
      <c r="D40" s="1166">
        <v>0</v>
      </c>
      <c r="E40" s="1901">
        <v>50000</v>
      </c>
      <c r="F40" s="1166">
        <v>0</v>
      </c>
      <c r="G40" s="1166">
        <v>0</v>
      </c>
      <c r="H40" s="1166">
        <v>0</v>
      </c>
      <c r="I40" s="1899">
        <f>SUM(C40:H40)</f>
        <v>50000</v>
      </c>
      <c r="J40" s="2596"/>
    </row>
    <row r="41" spans="1:10" s="1164" customFormat="1" ht="16.5" customHeight="1" thickBot="1" x14ac:dyDescent="0.3">
      <c r="A41" s="1150"/>
      <c r="B41" s="1168" t="s">
        <v>397</v>
      </c>
      <c r="C41" s="1169">
        <f t="shared" ref="C41:I41" si="4">SUM(C38:C40)</f>
        <v>0</v>
      </c>
      <c r="D41" s="1169">
        <f t="shared" si="4"/>
        <v>0</v>
      </c>
      <c r="E41" s="1169">
        <f t="shared" si="4"/>
        <v>211292</v>
      </c>
      <c r="F41" s="1169">
        <f t="shared" si="4"/>
        <v>0</v>
      </c>
      <c r="G41" s="1169">
        <f t="shared" si="4"/>
        <v>0</v>
      </c>
      <c r="H41" s="1169">
        <f t="shared" si="4"/>
        <v>0</v>
      </c>
      <c r="I41" s="2272">
        <f t="shared" si="4"/>
        <v>211292</v>
      </c>
      <c r="J41" s="2646"/>
    </row>
    <row r="42" spans="1:10" s="9" customFormat="1" ht="16.5" customHeight="1" x14ac:dyDescent="0.25">
      <c r="A42" s="1150"/>
      <c r="B42" s="2932" t="s">
        <v>401</v>
      </c>
      <c r="C42" s="2933"/>
      <c r="D42" s="2933"/>
      <c r="E42" s="2933"/>
      <c r="F42" s="2933"/>
      <c r="G42" s="2933"/>
      <c r="H42" s="2933"/>
      <c r="I42" s="2934"/>
      <c r="J42" s="2596"/>
    </row>
    <row r="43" spans="1:10" s="9" customFormat="1" ht="16.5" customHeight="1" x14ac:dyDescent="0.25">
      <c r="A43" s="1150"/>
      <c r="B43" s="615" t="s">
        <v>545</v>
      </c>
      <c r="C43" s="638">
        <f>-98.14+141234</f>
        <v>141135.85999999999</v>
      </c>
      <c r="D43" s="638">
        <v>0</v>
      </c>
      <c r="E43" s="638">
        <f>20675-11292+1-55</f>
        <v>9329</v>
      </c>
      <c r="F43" s="638">
        <v>0</v>
      </c>
      <c r="G43" s="638">
        <v>0</v>
      </c>
      <c r="H43" s="638">
        <v>0</v>
      </c>
      <c r="I43" s="640">
        <f>SUM(C43:H43)</f>
        <v>150464.85999999999</v>
      </c>
      <c r="J43" s="2596"/>
    </row>
    <row r="44" spans="1:10" s="9" customFormat="1" ht="16.5" customHeight="1" x14ac:dyDescent="0.25">
      <c r="A44" s="1150"/>
      <c r="B44" s="615" t="s">
        <v>546</v>
      </c>
      <c r="C44" s="638">
        <f>+'CNG Table C 2013'!C39</f>
        <v>0</v>
      </c>
      <c r="D44" s="638">
        <v>0</v>
      </c>
      <c r="E44" s="638">
        <v>14630</v>
      </c>
      <c r="F44" s="638">
        <v>0</v>
      </c>
      <c r="G44" s="638">
        <v>0</v>
      </c>
      <c r="H44" s="638">
        <v>0</v>
      </c>
      <c r="I44" s="640">
        <f t="shared" ref="I44:I51" si="5">SUM(C44:H44)</f>
        <v>14630</v>
      </c>
      <c r="J44" s="2596"/>
    </row>
    <row r="45" spans="1:10" s="9" customFormat="1" ht="16.5" customHeight="1" x14ac:dyDescent="0.25">
      <c r="A45" s="1150"/>
      <c r="B45" s="615" t="s">
        <v>547</v>
      </c>
      <c r="C45" s="638">
        <v>50210</v>
      </c>
      <c r="D45" s="638">
        <v>0</v>
      </c>
      <c r="E45" s="638">
        <f>120000+1357680-1390358</f>
        <v>87322</v>
      </c>
      <c r="F45" s="638">
        <v>0</v>
      </c>
      <c r="G45" s="638">
        <v>0</v>
      </c>
      <c r="H45" s="638">
        <v>0</v>
      </c>
      <c r="I45" s="640">
        <f t="shared" si="5"/>
        <v>137532</v>
      </c>
      <c r="J45" s="2596"/>
    </row>
    <row r="46" spans="1:10" s="9" customFormat="1" ht="16.5" customHeight="1" x14ac:dyDescent="0.25">
      <c r="A46" s="1150"/>
      <c r="B46" s="615" t="s">
        <v>548</v>
      </c>
      <c r="C46" s="638">
        <v>96583</v>
      </c>
      <c r="D46" s="638">
        <v>0</v>
      </c>
      <c r="E46" s="638">
        <v>0</v>
      </c>
      <c r="F46" s="638">
        <v>0</v>
      </c>
      <c r="G46" s="638">
        <v>0</v>
      </c>
      <c r="H46" s="638">
        <v>0</v>
      </c>
      <c r="I46" s="640">
        <f t="shared" si="5"/>
        <v>96583</v>
      </c>
      <c r="J46" s="2596"/>
    </row>
    <row r="47" spans="1:10" s="1159" customFormat="1" ht="16.5" customHeight="1" x14ac:dyDescent="0.25">
      <c r="A47" s="1145"/>
      <c r="B47" s="615" t="s">
        <v>639</v>
      </c>
      <c r="C47" s="638">
        <v>0</v>
      </c>
      <c r="D47" s="638">
        <v>0</v>
      </c>
      <c r="E47" s="638">
        <v>217523</v>
      </c>
      <c r="F47" s="638">
        <v>0</v>
      </c>
      <c r="G47" s="638">
        <v>0</v>
      </c>
      <c r="H47" s="638">
        <v>0</v>
      </c>
      <c r="I47" s="640">
        <f t="shared" si="5"/>
        <v>217523</v>
      </c>
      <c r="J47" s="2596"/>
    </row>
    <row r="48" spans="1:10" s="9" customFormat="1" ht="16.5" customHeight="1" x14ac:dyDescent="0.25">
      <c r="A48" s="1145"/>
      <c r="B48" s="615" t="s">
        <v>640</v>
      </c>
      <c r="C48" s="638">
        <v>0</v>
      </c>
      <c r="D48" s="638">
        <v>0</v>
      </c>
      <c r="E48" s="638">
        <f>17600+1067</f>
        <v>18667</v>
      </c>
      <c r="F48" s="638">
        <v>0</v>
      </c>
      <c r="G48" s="638">
        <v>0</v>
      </c>
      <c r="H48" s="638">
        <v>0</v>
      </c>
      <c r="I48" s="640">
        <f>SUM(C48:H48)</f>
        <v>18667</v>
      </c>
      <c r="J48" s="2596"/>
    </row>
    <row r="49" spans="1:10" s="9" customFormat="1" ht="16.5" customHeight="1" x14ac:dyDescent="0.25">
      <c r="A49" s="1145"/>
      <c r="B49" s="615" t="s">
        <v>641</v>
      </c>
      <c r="C49" s="638">
        <v>0</v>
      </c>
      <c r="D49" s="638">
        <v>0</v>
      </c>
      <c r="E49" s="638">
        <v>31893</v>
      </c>
      <c r="F49" s="638">
        <v>0</v>
      </c>
      <c r="G49" s="638">
        <v>0</v>
      </c>
      <c r="H49" s="638">
        <v>0</v>
      </c>
      <c r="I49" s="640">
        <f t="shared" si="5"/>
        <v>31893</v>
      </c>
      <c r="J49" s="2596"/>
    </row>
    <row r="50" spans="1:10" s="9" customFormat="1" ht="16.5" customHeight="1" x14ac:dyDescent="0.25">
      <c r="A50" s="1145"/>
      <c r="B50" s="615" t="s">
        <v>642</v>
      </c>
      <c r="C50" s="638">
        <v>0</v>
      </c>
      <c r="D50" s="638">
        <v>0</v>
      </c>
      <c r="E50" s="638">
        <v>10000</v>
      </c>
      <c r="F50" s="638">
        <v>0</v>
      </c>
      <c r="G50" s="638">
        <v>0</v>
      </c>
      <c r="H50" s="638">
        <v>0</v>
      </c>
      <c r="I50" s="640">
        <f>SUM(C50:H50)</f>
        <v>10000</v>
      </c>
      <c r="J50" s="2596"/>
    </row>
    <row r="51" spans="1:10" s="9" customFormat="1" ht="16.5" customHeight="1" thickBot="1" x14ac:dyDescent="0.3">
      <c r="A51" s="1145"/>
      <c r="B51" s="2432" t="s">
        <v>643</v>
      </c>
      <c r="C51" s="925">
        <v>0</v>
      </c>
      <c r="D51" s="925">
        <v>0</v>
      </c>
      <c r="E51" s="925">
        <v>0</v>
      </c>
      <c r="F51" s="925">
        <v>0</v>
      </c>
      <c r="G51" s="925">
        <v>0</v>
      </c>
      <c r="H51" s="925">
        <v>686163.01435406692</v>
      </c>
      <c r="I51" s="789">
        <f t="shared" si="5"/>
        <v>686163.01435406692</v>
      </c>
      <c r="J51" s="2596"/>
    </row>
    <row r="52" spans="1:10" s="9" customFormat="1" ht="16.5" customHeight="1" thickBot="1" x14ac:dyDescent="0.3">
      <c r="A52" s="1145"/>
      <c r="B52" s="648" t="s">
        <v>43</v>
      </c>
      <c r="C52" s="2433">
        <f t="shared" ref="C52:I52" si="6">SUM(C43:C51)</f>
        <v>287928.86</v>
      </c>
      <c r="D52" s="2433">
        <f t="shared" si="6"/>
        <v>0</v>
      </c>
      <c r="E52" s="2433">
        <f t="shared" si="6"/>
        <v>389364</v>
      </c>
      <c r="F52" s="2433">
        <f t="shared" si="6"/>
        <v>0</v>
      </c>
      <c r="G52" s="2433">
        <f t="shared" si="6"/>
        <v>0</v>
      </c>
      <c r="H52" s="2433">
        <f t="shared" si="6"/>
        <v>686163.01435406692</v>
      </c>
      <c r="I52" s="2433">
        <f t="shared" si="6"/>
        <v>1363455.8743540668</v>
      </c>
      <c r="J52" s="2596"/>
    </row>
    <row r="53" spans="1:10" ht="19.5" customHeight="1" thickBot="1" x14ac:dyDescent="0.35">
      <c r="A53" s="83"/>
      <c r="B53" s="2891" t="s">
        <v>28</v>
      </c>
      <c r="C53" s="2892"/>
      <c r="D53" s="2892"/>
      <c r="E53" s="2892"/>
      <c r="F53" s="2892"/>
      <c r="G53" s="2892"/>
      <c r="H53" s="2892"/>
      <c r="I53" s="2893"/>
    </row>
    <row r="54" spans="1:10" ht="21" customHeight="1" x14ac:dyDescent="0.3">
      <c r="A54" s="83"/>
      <c r="B54" s="1032" t="s">
        <v>7</v>
      </c>
      <c r="C54" s="655">
        <f>C17+C31*'Budget Allocation Table  '!$C$7+C32*'Budget Allocation Table  '!$C$8+C33*'Budget Allocation Table  '!$C$9+C34*'Budget Allocation Table  '!$C$10+C38+C44*'Budget Allocation Table  '!$C$19</f>
        <v>593591.71499999997</v>
      </c>
      <c r="D54" s="655">
        <f>D17+D31*'Budget Allocation Table  '!$C$7+D32*'Budget Allocation Table  '!$C$8+D33*'Budget Allocation Table  '!$C$9+D34*'Budget Allocation Table  '!$C$10+D38+D44*'Budget Allocation Table  '!$C$19</f>
        <v>10094.4</v>
      </c>
      <c r="E54" s="655">
        <f>E17+E31*'Budget Allocation Table  '!$C$7+E32*'Budget Allocation Table  '!$C$8+E33*'Budget Allocation Table  '!$C$9+E34*'Budget Allocation Table  '!$C$10+E38+E44*'Budget Allocation Table  '!$C$19</f>
        <v>652610.26</v>
      </c>
      <c r="F54" s="655">
        <f>F17+F31*'Budget Allocation Table  '!$C$7+F32*'Budget Allocation Table  '!$C$8+F33*'Budget Allocation Table  '!$C$9+F34*'Budget Allocation Table  '!$C$10+F38+F44*'Budget Allocation Table  '!$C$19</f>
        <v>8916736.5199999996</v>
      </c>
      <c r="G54" s="655">
        <f>G17+G31*'Budget Allocation Table  '!$C$7+G32*'Budget Allocation Table  '!$C$8+G33*'Budget Allocation Table  '!$C$9+G34*'Budget Allocation Table  '!$C$10+G38+G44*'Budget Allocation Table  '!$C$19</f>
        <v>74977.10000000002</v>
      </c>
      <c r="H54" s="655">
        <f>H17+H31*'Budget Allocation Table  '!$C$7+H32*'Budget Allocation Table  '!$C$8+H33*'Budget Allocation Table  '!$C$9+H34*'Budget Allocation Table  '!$C$10+H38+H44*'Budget Allocation Table  '!$C$19</f>
        <v>26146.2</v>
      </c>
      <c r="I54" s="1033">
        <f>I17+I31*'Budget Allocation Table  '!$C$7+I32*'Budget Allocation Table  '!$C$8+I33*'Budget Allocation Table  '!$C$9+I34*'Budget Allocation Table  '!$C$10+I38+I44*'Budget Allocation Table  '!$C$19</f>
        <v>10274156.195</v>
      </c>
    </row>
    <row r="55" spans="1:10" ht="21" customHeight="1" x14ac:dyDescent="0.3">
      <c r="A55" s="21"/>
      <c r="B55" s="1034" t="s">
        <v>8</v>
      </c>
      <c r="C55" s="657">
        <f>C28+C31*'Budget Allocation Table  '!$D$7+C32*'Budget Allocation Table  '!$D$8+C33*'Budget Allocation Table  '!$D$9+C34*'Budget Allocation Table  '!$D$10+C39+C44*'Budget Allocation Table  '!$D$19</f>
        <v>292939.315</v>
      </c>
      <c r="D55" s="657">
        <f>D28+D31*'Budget Allocation Table  '!$D$7+D32*'Budget Allocation Table  '!$D$8+D33*'Budget Allocation Table  '!$D$9+D34*'Budget Allocation Table  '!$D$10+D39+D44*'Budget Allocation Table  '!$D$19</f>
        <v>7350.6</v>
      </c>
      <c r="E55" s="657">
        <f>E28+E31*'Budget Allocation Table  '!$D$7+E32*'Budget Allocation Table  '!$D$8+E33*'Budget Allocation Table  '!$D$9+E34*'Budget Allocation Table  '!$D$10+E39+E44*'Budget Allocation Table  '!$D$19</f>
        <v>144252.59</v>
      </c>
      <c r="F55" s="657">
        <f>F28+F31*'Budget Allocation Table  '!$D$7+F32*'Budget Allocation Table  '!$D$8+F33*'Budget Allocation Table  '!$D$9+F34*'Budget Allocation Table  '!$D$10+F39+F44*'Budget Allocation Table  '!$D$19</f>
        <v>3816489.73</v>
      </c>
      <c r="G55" s="657">
        <f>G28+G31*'Budget Allocation Table  '!$D$7+G32*'Budget Allocation Table  '!$D$8+G33*'Budget Allocation Table  '!$D$9+G34*'Budget Allocation Table  '!$D$10+G39+G44*'Budget Allocation Table  '!$D$19</f>
        <v>30210.9</v>
      </c>
      <c r="H55" s="657">
        <f>H28+H31*'Budget Allocation Table  '!$D$7+H32*'Budget Allocation Table  '!$D$8+H33*'Budget Allocation Table  '!$D$9+H34*'Budget Allocation Table  '!$D$10+H39+H44*'Budget Allocation Table  '!$D$19</f>
        <v>30564.799999999999</v>
      </c>
      <c r="I55" s="1035">
        <f>I28+I31*'Budget Allocation Table  '!$D$7+I32*'Budget Allocation Table  '!$D$8+I33*'Budget Allocation Table  '!$D$9+I34*'Budget Allocation Table  '!$D$10+I39+I44*'Budget Allocation Table  '!$D$19</f>
        <v>4321807.9349999996</v>
      </c>
    </row>
    <row r="56" spans="1:10" ht="21" customHeight="1" thickBot="1" x14ac:dyDescent="0.35">
      <c r="A56" s="86"/>
      <c r="B56" s="1036" t="s">
        <v>12</v>
      </c>
      <c r="C56" s="659">
        <f>C40+C43+C45+C46+C47+C48+C49+C50+C51</f>
        <v>287928.86</v>
      </c>
      <c r="D56" s="659">
        <f t="shared" ref="D56:I56" si="7">D40+D43+D45+D46+D47+D48+D49+D50+D51</f>
        <v>0</v>
      </c>
      <c r="E56" s="659">
        <f t="shared" si="7"/>
        <v>424734</v>
      </c>
      <c r="F56" s="659">
        <f t="shared" si="7"/>
        <v>0</v>
      </c>
      <c r="G56" s="659">
        <f t="shared" si="7"/>
        <v>0</v>
      </c>
      <c r="H56" s="659">
        <f t="shared" si="7"/>
        <v>686163.01435406692</v>
      </c>
      <c r="I56" s="1037">
        <f t="shared" si="7"/>
        <v>1398825.8743540668</v>
      </c>
    </row>
    <row r="57" spans="1:10" ht="21" thickBot="1" x14ac:dyDescent="0.35">
      <c r="A57" s="83"/>
      <c r="B57" s="648" t="s">
        <v>58</v>
      </c>
      <c r="C57" s="649">
        <f t="shared" ref="C57:I57" si="8">C17+C28+C35+C41+C52</f>
        <v>1174459.8900000001</v>
      </c>
      <c r="D57" s="649">
        <f t="shared" si="8"/>
        <v>17445</v>
      </c>
      <c r="E57" s="649">
        <f t="shared" si="8"/>
        <v>1221596.8500000001</v>
      </c>
      <c r="F57" s="649">
        <f t="shared" si="8"/>
        <v>12733226.25</v>
      </c>
      <c r="G57" s="649">
        <f t="shared" si="8"/>
        <v>105188.00000000001</v>
      </c>
      <c r="H57" s="649">
        <f t="shared" si="8"/>
        <v>742874.01435406692</v>
      </c>
      <c r="I57" s="649">
        <f t="shared" si="8"/>
        <v>15994790.004354067</v>
      </c>
    </row>
    <row r="58" spans="1:10" ht="15.75" x14ac:dyDescent="0.25">
      <c r="B58" s="144"/>
    </row>
    <row r="59" spans="1:10" ht="15.75" x14ac:dyDescent="0.25">
      <c r="B59" s="144"/>
      <c r="I59" s="2470">
        <v>15994790</v>
      </c>
    </row>
    <row r="60" spans="1:10" ht="15.75" x14ac:dyDescent="0.25">
      <c r="B60" s="144"/>
    </row>
    <row r="61" spans="1:10" ht="15.75" x14ac:dyDescent="0.25">
      <c r="B61" s="144"/>
      <c r="I61" s="587">
        <f>+I59-I57</f>
        <v>-4.3540671467781067E-3</v>
      </c>
    </row>
  </sheetData>
  <mergeCells count="8">
    <mergeCell ref="B37:I37"/>
    <mergeCell ref="B42:I42"/>
    <mergeCell ref="B53:I53"/>
    <mergeCell ref="B1:I1"/>
    <mergeCell ref="B2:I2"/>
    <mergeCell ref="B11:I11"/>
    <mergeCell ref="B29:I29"/>
    <mergeCell ref="B30:I30"/>
  </mergeCells>
  <printOptions horizontalCentered="1" verticalCentered="1"/>
  <pageMargins left="0.5" right="0.06" top="0.2" bottom="0.18" header="0.2" footer="0.25"/>
  <pageSetup scale="53" orientation="landscape" r:id="rId1"/>
  <headerFooter alignWithMargins="0">
    <oddFooter>&amp;C&amp;"Arial"&amp;11&amp;K000000&amp;14
Totals may vary due to rounding&amp;12
_x000D_&amp;1#&amp;"Calibri"&amp;12&amp;K008000Internal Use</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570E-ED14-47E9-8FD0-75E9BA7F0690}">
  <sheetPr>
    <tabColor indexed="47"/>
    <pageSetUpPr fitToPage="1"/>
  </sheetPr>
  <dimension ref="A1:S64"/>
  <sheetViews>
    <sheetView topLeftCell="A20" zoomScale="80" zoomScaleNormal="80" workbookViewId="0">
      <selection activeCell="G14" sqref="G14"/>
    </sheetView>
  </sheetViews>
  <sheetFormatPr defaultRowHeight="12.75" x14ac:dyDescent="0.2"/>
  <cols>
    <col min="1" max="1" width="7.140625" style="49" customWidth="1"/>
    <col min="2" max="2" width="60.42578125" style="49" customWidth="1"/>
    <col min="3" max="3" width="20.42578125" style="64" customWidth="1"/>
    <col min="4" max="6" width="20.42578125" style="63" customWidth="1"/>
    <col min="7" max="11" width="20.42578125" style="49" customWidth="1"/>
    <col min="12" max="12" width="14.28515625" style="2469" bestFit="1" customWidth="1"/>
    <col min="13" max="13" width="2.7109375" style="49" customWidth="1"/>
    <col min="14" max="14" width="13" style="49" bestFit="1" customWidth="1"/>
    <col min="15" max="15" width="15.140625" style="49" bestFit="1" customWidth="1"/>
    <col min="16" max="17" width="9.140625" style="49"/>
    <col min="18" max="18" width="14.42578125" style="49" bestFit="1" customWidth="1"/>
    <col min="19" max="19" width="15.140625" style="49" bestFit="1" customWidth="1"/>
    <col min="20" max="16384" width="9.140625" style="49"/>
  </cols>
  <sheetData>
    <row r="1" spans="1:19" ht="26.25" x14ac:dyDescent="0.4">
      <c r="B1" s="2884" t="s">
        <v>82</v>
      </c>
      <c r="C1" s="2884"/>
      <c r="D1" s="2884"/>
      <c r="E1" s="2884"/>
      <c r="F1" s="2884"/>
      <c r="G1" s="2884"/>
      <c r="H1" s="2884"/>
      <c r="I1" s="2884"/>
      <c r="J1" s="2884"/>
      <c r="K1" s="2884"/>
    </row>
    <row r="2" spans="1:19" ht="26.25" x14ac:dyDescent="0.4">
      <c r="B2" s="2884" t="s">
        <v>825</v>
      </c>
      <c r="C2" s="2884"/>
      <c r="D2" s="2884"/>
      <c r="E2" s="2884"/>
      <c r="F2" s="2884"/>
      <c r="G2" s="2884"/>
      <c r="H2" s="2884"/>
      <c r="I2" s="2884"/>
      <c r="J2" s="2884"/>
      <c r="K2" s="2884"/>
    </row>
    <row r="3" spans="1:19" ht="26.25" hidden="1" x14ac:dyDescent="0.4">
      <c r="B3" s="2841"/>
      <c r="C3" s="2841"/>
      <c r="D3" s="2841"/>
      <c r="E3" s="2841"/>
      <c r="F3" s="2841"/>
      <c r="G3" s="2841"/>
      <c r="H3" s="2841"/>
      <c r="I3" s="2841"/>
      <c r="J3" s="2841"/>
      <c r="K3" s="2841"/>
    </row>
    <row r="4" spans="1:19" ht="26.25" hidden="1" x14ac:dyDescent="0.4">
      <c r="B4" s="2841"/>
      <c r="C4" s="2841"/>
      <c r="D4" s="2841"/>
      <c r="E4" s="2841"/>
      <c r="F4" s="2841"/>
      <c r="G4" s="2841"/>
      <c r="H4" s="2841"/>
      <c r="I4" s="2841"/>
      <c r="J4" s="2841"/>
      <c r="K4" s="2841"/>
    </row>
    <row r="5" spans="1:19" ht="26.25" hidden="1" x14ac:dyDescent="0.4">
      <c r="B5" s="2841"/>
      <c r="C5" s="2841"/>
      <c r="D5" s="2841"/>
      <c r="E5" s="2841"/>
      <c r="F5" s="2841"/>
      <c r="G5" s="2841"/>
      <c r="H5" s="2841"/>
      <c r="I5" s="2841"/>
      <c r="J5" s="2841"/>
      <c r="K5" s="2841"/>
    </row>
    <row r="6" spans="1:19" ht="26.25" hidden="1" x14ac:dyDescent="0.4">
      <c r="B6" s="2841"/>
      <c r="C6" s="2841"/>
      <c r="D6" s="2841"/>
      <c r="E6" s="2841"/>
      <c r="F6" s="2841"/>
      <c r="G6" s="2841"/>
      <c r="H6" s="2841"/>
      <c r="I6" s="2841"/>
      <c r="J6" s="2841"/>
      <c r="K6" s="2841"/>
    </row>
    <row r="7" spans="1:19" ht="26.25" hidden="1" x14ac:dyDescent="0.4">
      <c r="B7" s="2841"/>
      <c r="C7" s="2841"/>
      <c r="D7" s="2841"/>
      <c r="E7" s="2841"/>
      <c r="F7" s="2841"/>
      <c r="G7" s="2841"/>
      <c r="H7" s="2841"/>
      <c r="I7" s="2841"/>
      <c r="J7" s="2841"/>
      <c r="K7" s="2841"/>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48"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c r="P10" s="49">
        <v>0.5</v>
      </c>
    </row>
    <row r="11" spans="1:19" ht="21" thickBot="1" x14ac:dyDescent="0.35">
      <c r="A11" s="21"/>
      <c r="B11" s="2949" t="s">
        <v>5</v>
      </c>
      <c r="C11" s="2950"/>
      <c r="D11" s="2950"/>
      <c r="E11" s="2950"/>
      <c r="F11" s="2950"/>
      <c r="G11" s="2950"/>
      <c r="H11" s="2950"/>
      <c r="I11" s="2950"/>
      <c r="J11" s="2950"/>
      <c r="K11" s="2950"/>
    </row>
    <row r="12" spans="1:19" ht="21" thickBot="1" x14ac:dyDescent="0.35">
      <c r="A12" s="83"/>
      <c r="B12" s="2737" t="s">
        <v>741</v>
      </c>
      <c r="C12" s="2839">
        <v>9690.8082696178244</v>
      </c>
      <c r="D12" s="2839">
        <v>20</v>
      </c>
      <c r="E12" s="2839">
        <v>313.18599999999998</v>
      </c>
      <c r="F12" s="2839">
        <v>150</v>
      </c>
      <c r="G12" s="2839">
        <v>47307.193549818207</v>
      </c>
      <c r="H12" s="2839">
        <v>1021.123</v>
      </c>
      <c r="I12" s="2839">
        <v>87.5</v>
      </c>
      <c r="J12" s="2839">
        <v>162.5</v>
      </c>
      <c r="K12" s="2839">
        <f>SUM(C12:J12)</f>
        <v>58752.310819436032</v>
      </c>
      <c r="L12" s="2469">
        <f ca="1">$L$17*K12/$K$17</f>
        <v>-1.610120039387536E-5</v>
      </c>
      <c r="M12" s="2469"/>
      <c r="N12" s="2469">
        <v>0</v>
      </c>
      <c r="O12" s="587">
        <f>+N12+G12</f>
        <v>47307.193549818207</v>
      </c>
      <c r="Q12" s="1172"/>
      <c r="R12" s="2469"/>
      <c r="S12" s="587">
        <f>+G12+R12</f>
        <v>47307.193549818207</v>
      </c>
    </row>
    <row r="13" spans="1:19" ht="21" thickBot="1" x14ac:dyDescent="0.35">
      <c r="A13" s="83"/>
      <c r="B13" s="2737" t="s">
        <v>742</v>
      </c>
      <c r="C13" s="2839">
        <v>284413.37891745608</v>
      </c>
      <c r="D13" s="2839">
        <v>680</v>
      </c>
      <c r="E13" s="2839">
        <v>217576.427</v>
      </c>
      <c r="F13" s="2839">
        <v>49925</v>
      </c>
      <c r="G13" s="2839">
        <f>-3275.22+2693411.78760655</f>
        <v>2690136.5676065497</v>
      </c>
      <c r="H13" s="2839">
        <v>130128.5285</v>
      </c>
      <c r="I13" s="2839">
        <v>1365.45</v>
      </c>
      <c r="J13" s="2839">
        <v>2536.75</v>
      </c>
      <c r="K13" s="2839">
        <f>SUM(C13:J13)</f>
        <v>3376762.1020240057</v>
      </c>
      <c r="L13" s="2469">
        <f ca="1">$L$17*K13/$K$17</f>
        <v>-9.2540910355386435E-4</v>
      </c>
      <c r="M13" s="2469"/>
      <c r="N13" s="2469">
        <v>85768.887822815595</v>
      </c>
      <c r="O13" s="587">
        <f t="shared" ref="O13:O23" si="0">+N13+G13</f>
        <v>2775905.4554293654</v>
      </c>
      <c r="Q13" s="1172">
        <f>K13/($K$13+$K$15+$K$16)</f>
        <v>0.39856499395592532</v>
      </c>
      <c r="R13" s="2469">
        <f ca="1">+$K$55*Q13</f>
        <v>-1.047863280026051E-3</v>
      </c>
      <c r="S13" s="587">
        <f t="shared" ref="S13:S15" ca="1" si="1">+G13+R13</f>
        <v>2690136.5665586866</v>
      </c>
    </row>
    <row r="14" spans="1:19" ht="21" thickBot="1" x14ac:dyDescent="0.35">
      <c r="A14" s="83"/>
      <c r="B14" s="2737" t="s">
        <v>759</v>
      </c>
      <c r="C14" s="2839">
        <v>60306.546592082028</v>
      </c>
      <c r="D14" s="2839">
        <v>325</v>
      </c>
      <c r="E14" s="2839">
        <v>97937.092500000013</v>
      </c>
      <c r="F14" s="2839">
        <v>3900</v>
      </c>
      <c r="G14" s="2839">
        <v>871210.85322452197</v>
      </c>
      <c r="H14" s="2839">
        <v>26709.923500000001</v>
      </c>
      <c r="I14" s="2839">
        <v>682.5</v>
      </c>
      <c r="J14" s="2839">
        <v>1267.5</v>
      </c>
      <c r="K14" s="2839">
        <f>SUM(C14:J14)</f>
        <v>1062339.4158166039</v>
      </c>
      <c r="L14" s="2469">
        <f ca="1">$L$17*K14/$K$17</f>
        <v>-2.9113646053760127E-4</v>
      </c>
      <c r="M14" s="2469"/>
      <c r="N14" s="2469">
        <v>27351.248126542767</v>
      </c>
      <c r="O14" s="587">
        <f t="shared" si="0"/>
        <v>898562.10135106475</v>
      </c>
      <c r="Q14" s="1172"/>
      <c r="R14" s="2469"/>
      <c r="S14" s="587">
        <f t="shared" si="1"/>
        <v>871210.85322452197</v>
      </c>
    </row>
    <row r="15" spans="1:19" ht="21" thickBot="1" x14ac:dyDescent="0.35">
      <c r="A15" s="83"/>
      <c r="B15" s="2737" t="s">
        <v>283</v>
      </c>
      <c r="C15" s="2839">
        <v>284413.37891745608</v>
      </c>
      <c r="D15" s="2839">
        <v>990</v>
      </c>
      <c r="E15" s="2839">
        <v>47643.807000000001</v>
      </c>
      <c r="F15" s="2839">
        <v>5925</v>
      </c>
      <c r="G15" s="2839">
        <v>4477980.3394141812</v>
      </c>
      <c r="H15" s="2839">
        <v>98910.858500000002</v>
      </c>
      <c r="I15" s="2839">
        <v>866</v>
      </c>
      <c r="J15" s="2839">
        <v>1608.75</v>
      </c>
      <c r="K15" s="2839">
        <f>SUM(C15:J15)</f>
        <v>4918338.133831637</v>
      </c>
      <c r="L15" s="2469">
        <f ca="1">$L$17*K15/$K$17</f>
        <v>-1.347881415950446E-3</v>
      </c>
      <c r="M15" s="2469"/>
      <c r="N15" s="2469">
        <v>122008.57384592833</v>
      </c>
      <c r="O15" s="587">
        <f t="shared" si="0"/>
        <v>4599988.9132601097</v>
      </c>
      <c r="Q15" s="1172">
        <f>K15/($K$13+$K$15+$K$16)</f>
        <v>0.58051984396793244</v>
      </c>
      <c r="R15" s="2469">
        <f t="shared" ref="R15:R16" ca="1" si="2">+$K$55*Q15</f>
        <v>-1.5262389749354593E-3</v>
      </c>
      <c r="S15" s="587">
        <f t="shared" ca="1" si="1"/>
        <v>4477980.3378879419</v>
      </c>
    </row>
    <row r="16" spans="1:19" ht="24.6" customHeight="1" thickBot="1" x14ac:dyDescent="0.35">
      <c r="A16" s="83"/>
      <c r="B16" s="2739" t="s">
        <v>531</v>
      </c>
      <c r="C16" s="2839">
        <v>26508.372128387706</v>
      </c>
      <c r="D16" s="2839">
        <v>100</v>
      </c>
      <c r="E16" s="2839">
        <v>150591.150477496</v>
      </c>
      <c r="F16" s="2839">
        <v>0</v>
      </c>
      <c r="G16" s="2839">
        <v>0</v>
      </c>
      <c r="H16" s="2839">
        <v>0</v>
      </c>
      <c r="I16" s="2839">
        <v>0</v>
      </c>
      <c r="J16" s="2839">
        <v>0</v>
      </c>
      <c r="K16" s="2839">
        <f>SUM(C16:J16)</f>
        <v>177199.52260588371</v>
      </c>
      <c r="L16" s="2469">
        <f ca="1">$L$17*K16/$K$17</f>
        <v>-4.8561920091022684E-5</v>
      </c>
      <c r="M16" s="2469"/>
      <c r="N16" s="2469">
        <v>4258.4980010261816</v>
      </c>
      <c r="O16" s="587">
        <f>+N16+E16</f>
        <v>154849.6484785222</v>
      </c>
      <c r="Q16" s="1172">
        <f>K16/($K$13+$K$15+$K$16)</f>
        <v>2.0915162076142257E-2</v>
      </c>
      <c r="R16" s="2469">
        <f t="shared" ca="1" si="2"/>
        <v>-5.4987845565299366E-5</v>
      </c>
      <c r="S16" s="587">
        <f ca="1">+E16+R16</f>
        <v>150591.15042250816</v>
      </c>
    </row>
    <row r="17" spans="1:19" ht="21" thickBot="1" x14ac:dyDescent="0.35">
      <c r="A17" s="83"/>
      <c r="B17" s="2740" t="s">
        <v>743</v>
      </c>
      <c r="C17" s="2741">
        <f t="shared" ref="C17:K17" si="3">SUM(C12:C16)</f>
        <v>665332.4848249997</v>
      </c>
      <c r="D17" s="2741">
        <f t="shared" si="3"/>
        <v>2115</v>
      </c>
      <c r="E17" s="2741">
        <f t="shared" si="3"/>
        <v>514061.66297749593</v>
      </c>
      <c r="F17" s="2741">
        <f t="shared" si="3"/>
        <v>59900</v>
      </c>
      <c r="G17" s="2741">
        <f t="shared" si="3"/>
        <v>8086634.9537950717</v>
      </c>
      <c r="H17" s="2741">
        <f t="shared" si="3"/>
        <v>256770.43350000001</v>
      </c>
      <c r="I17" s="2741">
        <f t="shared" si="3"/>
        <v>3001.45</v>
      </c>
      <c r="J17" s="2741">
        <f t="shared" si="3"/>
        <v>5575.5</v>
      </c>
      <c r="K17" s="2741">
        <f t="shared" si="3"/>
        <v>9593391.4850975666</v>
      </c>
      <c r="L17" s="2469">
        <f ca="1">K55</f>
        <v>-2.6290901005268097E-3</v>
      </c>
      <c r="M17" s="2469"/>
      <c r="N17" s="2469">
        <v>47342.51219655951</v>
      </c>
      <c r="O17" s="587">
        <f t="shared" si="0"/>
        <v>8133977.4659916312</v>
      </c>
      <c r="Q17" s="1172">
        <f t="shared" ref="Q17" si="4">+K17/$K$17</f>
        <v>1</v>
      </c>
      <c r="R17" s="2469"/>
    </row>
    <row r="18" spans="1:19" ht="21" thickBot="1" x14ac:dyDescent="0.35">
      <c r="A18" s="83"/>
      <c r="B18" s="2949" t="s">
        <v>6</v>
      </c>
      <c r="C18" s="2950"/>
      <c r="D18" s="2950"/>
      <c r="E18" s="2950"/>
      <c r="F18" s="2950"/>
      <c r="G18" s="2950"/>
      <c r="H18" s="2950"/>
      <c r="I18" s="2950"/>
      <c r="J18" s="2950"/>
      <c r="K18" s="2950"/>
      <c r="M18" s="2469"/>
      <c r="N18" s="2469"/>
      <c r="O18" s="587">
        <f t="shared" si="0"/>
        <v>0</v>
      </c>
    </row>
    <row r="19" spans="1:19" ht="21" thickBot="1" x14ac:dyDescent="0.35">
      <c r="A19" s="83"/>
      <c r="B19" s="2737" t="s">
        <v>285</v>
      </c>
      <c r="C19" s="2839">
        <v>150457.7415</v>
      </c>
      <c r="D19" s="2839">
        <v>1000</v>
      </c>
      <c r="E19" s="2839">
        <v>47970.369999999995</v>
      </c>
      <c r="F19" s="2839">
        <v>3000</v>
      </c>
      <c r="G19" s="2839">
        <v>1599288.3330758277</v>
      </c>
      <c r="H19" s="2839">
        <v>216667.76</v>
      </c>
      <c r="I19" s="2839">
        <v>3416.63</v>
      </c>
      <c r="J19" s="2839">
        <v>20502</v>
      </c>
      <c r="K19" s="2839">
        <f>SUM(C19:J19)</f>
        <v>2042302.8345758275</v>
      </c>
      <c r="L19" s="2469">
        <f ca="1">$L$23*K19/$K$23</f>
        <v>-3.8521094112551311E-4</v>
      </c>
      <c r="M19" s="2469"/>
      <c r="N19" s="2469">
        <v>10075.138570664543</v>
      </c>
      <c r="O19" s="587">
        <f t="shared" si="0"/>
        <v>1609363.4716464921</v>
      </c>
      <c r="Q19" s="1172">
        <v>0.51067006698658213</v>
      </c>
      <c r="R19" s="2836">
        <f>+Q19*$G$23</f>
        <v>1600160.4956213909</v>
      </c>
    </row>
    <row r="20" spans="1:19" ht="21" thickBot="1" x14ac:dyDescent="0.35">
      <c r="A20" s="83"/>
      <c r="B20" s="2737" t="s">
        <v>275</v>
      </c>
      <c r="C20" s="2839">
        <v>150457.7415</v>
      </c>
      <c r="D20" s="2839">
        <v>700</v>
      </c>
      <c r="E20" s="2839">
        <v>26315.72</v>
      </c>
      <c r="F20" s="2839">
        <v>4000</v>
      </c>
      <c r="G20" s="2839">
        <v>846956.8748146306</v>
      </c>
      <c r="H20" s="2839">
        <v>155132.94</v>
      </c>
      <c r="I20" s="2839">
        <v>250</v>
      </c>
      <c r="J20" s="2839">
        <v>5000</v>
      </c>
      <c r="K20" s="2839">
        <f>SUM(C20:J20)</f>
        <v>1188813.2763146306</v>
      </c>
      <c r="L20" s="2469">
        <f ca="1">$L$23*K20/$K$23</f>
        <v>-2.2422917563387479E-4</v>
      </c>
      <c r="M20" s="2469"/>
      <c r="N20" s="2469">
        <v>5864.682891655124</v>
      </c>
      <c r="O20" s="587">
        <f t="shared" si="0"/>
        <v>852821.55770628573</v>
      </c>
      <c r="Q20" s="1172">
        <v>0.27027248922693337</v>
      </c>
      <c r="R20" s="2836">
        <f t="shared" ref="R20:R23" si="5">+Q20*$G$23</f>
        <v>846886.05867623747</v>
      </c>
    </row>
    <row r="21" spans="1:19" ht="21" thickBot="1" x14ac:dyDescent="0.35">
      <c r="A21" s="83"/>
      <c r="B21" s="2737" t="s">
        <v>744</v>
      </c>
      <c r="C21" s="2839">
        <v>121902.2895</v>
      </c>
      <c r="D21" s="2839">
        <v>500</v>
      </c>
      <c r="E21" s="2839">
        <v>7112.4499999999971</v>
      </c>
      <c r="F21" s="2839">
        <v>1000</v>
      </c>
      <c r="G21" s="2839">
        <v>433682.17373229121</v>
      </c>
      <c r="H21" s="2839">
        <v>55386.979999999996</v>
      </c>
      <c r="I21" s="2839">
        <v>250</v>
      </c>
      <c r="J21" s="2839">
        <v>7500</v>
      </c>
      <c r="K21" s="2839">
        <f>SUM(C21:J21)</f>
        <v>627333.89323229122</v>
      </c>
      <c r="L21" s="2469">
        <f ca="1">$L$23*K21/$K$23</f>
        <v>-1.1832519414885566E-4</v>
      </c>
      <c r="M21" s="2469"/>
      <c r="N21" s="2469">
        <v>3094.7789903560165</v>
      </c>
      <c r="O21" s="587">
        <f t="shared" si="0"/>
        <v>436776.95272264723</v>
      </c>
      <c r="Q21" s="1172">
        <v>0.13836286690591501</v>
      </c>
      <c r="R21" s="2836">
        <f t="shared" si="5"/>
        <v>433553.49764328927</v>
      </c>
    </row>
    <row r="22" spans="1:19" ht="21" thickBot="1" x14ac:dyDescent="0.35">
      <c r="A22" s="83"/>
      <c r="B22" s="2739" t="s">
        <v>245</v>
      </c>
      <c r="C22" s="2839">
        <v>84314.257499999992</v>
      </c>
      <c r="D22" s="2839">
        <v>200</v>
      </c>
      <c r="E22" s="2839">
        <f>54000+5250.21</f>
        <v>59250.21</v>
      </c>
      <c r="F22" s="2839">
        <v>5000</v>
      </c>
      <c r="G22" s="2839">
        <v>253525.30939513867</v>
      </c>
      <c r="H22" s="2839">
        <v>24220.39</v>
      </c>
      <c r="I22" s="2839">
        <v>500</v>
      </c>
      <c r="J22" s="2839">
        <v>60000</v>
      </c>
      <c r="K22" s="2839">
        <f>SUM(C22:J22)</f>
        <v>487010.16689513868</v>
      </c>
      <c r="L22" s="2469">
        <f ca="1">$L$23*K22/$K$23</f>
        <v>-9.1857897639520817E-5</v>
      </c>
      <c r="M22" s="2469"/>
      <c r="N22" s="2469">
        <v>2402.5305325544805</v>
      </c>
      <c r="O22" s="587">
        <f t="shared" si="0"/>
        <v>255927.83992769316</v>
      </c>
      <c r="Q22" s="1172">
        <v>8.0694576880569607E-2</v>
      </c>
      <c r="R22" s="2836">
        <f t="shared" si="5"/>
        <v>252852.63907697069</v>
      </c>
    </row>
    <row r="23" spans="1:19" ht="21" thickBot="1" x14ac:dyDescent="0.35">
      <c r="A23" s="83"/>
      <c r="B23" s="2740" t="s">
        <v>745</v>
      </c>
      <c r="C23" s="2741">
        <f>SUM(C19:C22)</f>
        <v>507132.03</v>
      </c>
      <c r="D23" s="2741">
        <f t="shared" ref="D23:K23" si="6">SUM(D19:D22)</f>
        <v>2400</v>
      </c>
      <c r="E23" s="2741">
        <f t="shared" si="6"/>
        <v>140648.75</v>
      </c>
      <c r="F23" s="2741">
        <f t="shared" si="6"/>
        <v>13000</v>
      </c>
      <c r="G23" s="2741">
        <f t="shared" si="6"/>
        <v>3133452.691017888</v>
      </c>
      <c r="H23" s="2741">
        <f t="shared" si="6"/>
        <v>451408.07</v>
      </c>
      <c r="I23" s="2741">
        <f t="shared" si="6"/>
        <v>4416.63</v>
      </c>
      <c r="J23" s="2741">
        <f t="shared" si="6"/>
        <v>93002</v>
      </c>
      <c r="K23" s="2741">
        <f t="shared" si="6"/>
        <v>4345460.171017888</v>
      </c>
      <c r="L23" s="2469">
        <f ca="1">$K$55*K23/($K$17+$K$23)</f>
        <v>-8.1962320854776435E-4</v>
      </c>
      <c r="M23" s="2469"/>
      <c r="N23" s="2469">
        <v>21437.130985230164</v>
      </c>
      <c r="O23" s="587">
        <f t="shared" si="0"/>
        <v>3154889.8220031182</v>
      </c>
      <c r="Q23" s="1172">
        <v>1</v>
      </c>
      <c r="R23" s="2836">
        <f t="shared" si="5"/>
        <v>3133452.691017888</v>
      </c>
    </row>
    <row r="24" spans="1:19" ht="21" thickBot="1" x14ac:dyDescent="0.35">
      <c r="A24" s="83"/>
      <c r="B24" s="2947" t="s">
        <v>737</v>
      </c>
      <c r="C24" s="2948"/>
      <c r="D24" s="2948"/>
      <c r="E24" s="2948"/>
      <c r="F24" s="2948"/>
      <c r="G24" s="2948"/>
      <c r="H24" s="2948"/>
      <c r="I24" s="2948"/>
      <c r="J24" s="2948"/>
      <c r="K24" s="2948"/>
      <c r="M24" s="2469"/>
      <c r="N24" s="2469"/>
    </row>
    <row r="25" spans="1:19" ht="21" thickBot="1" x14ac:dyDescent="0.35">
      <c r="A25" s="83"/>
      <c r="B25" s="2737" t="s">
        <v>739</v>
      </c>
      <c r="C25" s="2839">
        <v>42884</v>
      </c>
      <c r="D25" s="2839"/>
      <c r="E25" s="2839">
        <f>41720*1.05^2</f>
        <v>45996.3</v>
      </c>
      <c r="F25" s="2839"/>
      <c r="G25" s="2839">
        <f>61250*1.05^2</f>
        <v>67528.125</v>
      </c>
      <c r="H25" s="2839"/>
      <c r="I25" s="2839"/>
      <c r="J25" s="2839"/>
      <c r="K25" s="2839">
        <f>SUM(C25:J25)</f>
        <v>156408.42499999999</v>
      </c>
      <c r="L25" s="1172">
        <f>+K25/'CNG Table C 2023'!K25-1</f>
        <v>3.5800235095445387E-2</v>
      </c>
      <c r="M25" s="2469"/>
      <c r="N25" s="2469"/>
      <c r="O25" s="2469"/>
    </row>
    <row r="26" spans="1:19" ht="21" thickBot="1" x14ac:dyDescent="0.35">
      <c r="A26" s="83"/>
      <c r="B26" s="2739" t="s">
        <v>738</v>
      </c>
      <c r="C26" s="2839">
        <v>42884</v>
      </c>
      <c r="D26" s="2839"/>
      <c r="E26" s="2839">
        <f>1.03*105875.76</f>
        <v>109052.0328</v>
      </c>
      <c r="F26" s="2839"/>
      <c r="G26" s="2839">
        <f>1.03*38625</f>
        <v>39783.75</v>
      </c>
      <c r="H26" s="2839"/>
      <c r="I26" s="2839"/>
      <c r="J26" s="2839"/>
      <c r="K26" s="2839">
        <f>SUM(C26:J26)</f>
        <v>191719.78279999999</v>
      </c>
      <c r="L26" s="1172">
        <f>+K26/'CNG Table C 2023'!K26-1</f>
        <v>2.3134340273990084E-2</v>
      </c>
      <c r="M26" s="2469"/>
      <c r="N26" s="2469"/>
      <c r="O26" s="2469"/>
    </row>
    <row r="27" spans="1:19" ht="21" thickBot="1" x14ac:dyDescent="0.35">
      <c r="A27" s="83"/>
      <c r="B27" s="2740" t="s">
        <v>758</v>
      </c>
      <c r="C27" s="2741">
        <f t="shared" ref="C27:K27" si="7">SUM(C25:C26)</f>
        <v>85768</v>
      </c>
      <c r="D27" s="2741">
        <f t="shared" si="7"/>
        <v>0</v>
      </c>
      <c r="E27" s="2741">
        <f t="shared" si="7"/>
        <v>155048.3328</v>
      </c>
      <c r="F27" s="2741">
        <f t="shared" si="7"/>
        <v>0</v>
      </c>
      <c r="G27" s="2741">
        <f t="shared" si="7"/>
        <v>107311.875</v>
      </c>
      <c r="H27" s="2741">
        <f t="shared" si="7"/>
        <v>0</v>
      </c>
      <c r="I27" s="2741">
        <f t="shared" si="7"/>
        <v>0</v>
      </c>
      <c r="J27" s="2741">
        <f t="shared" si="7"/>
        <v>0</v>
      </c>
      <c r="K27" s="2741">
        <f t="shared" si="7"/>
        <v>348128.20779999997</v>
      </c>
      <c r="M27" s="2469"/>
      <c r="N27" s="2469"/>
      <c r="O27" s="2469"/>
      <c r="Q27" s="49">
        <f>+R27/$R$31</f>
        <v>0.43475824441121014</v>
      </c>
      <c r="R27" s="49">
        <v>268192.57231932</v>
      </c>
      <c r="S27" s="49">
        <f>+$S$31*Q27</f>
        <v>21066.210732945186</v>
      </c>
    </row>
    <row r="28" spans="1:19" s="9" customFormat="1" ht="16.5" customHeight="1" thickBot="1" x14ac:dyDescent="0.35">
      <c r="A28" s="83"/>
      <c r="B28" s="2947" t="s">
        <v>746</v>
      </c>
      <c r="C28" s="2948"/>
      <c r="D28" s="2948"/>
      <c r="E28" s="2948"/>
      <c r="F28" s="2948"/>
      <c r="G28" s="2948"/>
      <c r="H28" s="2948"/>
      <c r="I28" s="2948"/>
      <c r="J28" s="2948"/>
      <c r="K28" s="2948"/>
      <c r="L28" s="2596"/>
      <c r="Q28" s="49">
        <f t="shared" ref="Q28:Q31" si="8">+R28/$R$31</f>
        <v>9.0641217688242334E-2</v>
      </c>
      <c r="R28" s="9">
        <v>55914.526388998245</v>
      </c>
      <c r="S28" s="49">
        <f t="shared" ref="S28:S30" si="9">+$S$31*Q28</f>
        <v>4392.0202030837827</v>
      </c>
    </row>
    <row r="29" spans="1:19" s="9" customFormat="1" ht="16.5" customHeight="1" thickBot="1" x14ac:dyDescent="0.35">
      <c r="A29" s="83"/>
      <c r="B29" s="2737" t="s">
        <v>763</v>
      </c>
      <c r="C29" s="2839">
        <v>10328.9035</v>
      </c>
      <c r="D29" s="2839">
        <v>363.01291648920721</v>
      </c>
      <c r="E29" s="2839">
        <v>53183.550462429499</v>
      </c>
      <c r="F29" s="2839">
        <v>0</v>
      </c>
      <c r="G29" s="2839">
        <v>0</v>
      </c>
      <c r="H29" s="2839">
        <v>1814.7484963955119</v>
      </c>
      <c r="I29" s="2839">
        <v>8443.7430039617593</v>
      </c>
      <c r="J29" s="2839">
        <v>2533.122901188528</v>
      </c>
      <c r="K29" s="2839">
        <f>SUM(C29:J29)</f>
        <v>76667.08128046451</v>
      </c>
      <c r="L29" s="2596"/>
      <c r="Q29" s="49">
        <f t="shared" si="8"/>
        <v>0.43475824441121014</v>
      </c>
      <c r="R29" s="9">
        <v>268192.57231932</v>
      </c>
      <c r="S29" s="49">
        <f t="shared" si="9"/>
        <v>21066.210732945186</v>
      </c>
    </row>
    <row r="30" spans="1:19" s="9" customFormat="1" ht="16.5" customHeight="1" thickBot="1" x14ac:dyDescent="0.35">
      <c r="A30" s="83"/>
      <c r="B30" s="2737" t="s">
        <v>764</v>
      </c>
      <c r="C30" s="2839">
        <v>0</v>
      </c>
      <c r="D30" s="2839">
        <v>0</v>
      </c>
      <c r="E30" s="2839">
        <v>82666.66</v>
      </c>
      <c r="F30" s="2839">
        <v>0</v>
      </c>
      <c r="G30" s="2839">
        <v>0</v>
      </c>
      <c r="H30" s="2839">
        <v>0</v>
      </c>
      <c r="I30" s="2839">
        <v>0</v>
      </c>
      <c r="J30" s="2839">
        <v>0</v>
      </c>
      <c r="K30" s="2839">
        <f>SUM(C30:J30)</f>
        <v>82666.66</v>
      </c>
      <c r="L30" s="2596"/>
      <c r="Q30" s="49">
        <f t="shared" si="8"/>
        <v>3.9842293489337294E-2</v>
      </c>
      <c r="R30" s="9">
        <v>24577.813797361869</v>
      </c>
      <c r="S30" s="49">
        <f t="shared" si="9"/>
        <v>1930.5583310258385</v>
      </c>
    </row>
    <row r="31" spans="1:19" s="9" customFormat="1" ht="16.5" customHeight="1" thickBot="1" x14ac:dyDescent="0.35">
      <c r="A31" s="83"/>
      <c r="B31" s="2739" t="s">
        <v>765</v>
      </c>
      <c r="C31" s="2839">
        <v>11193.773999999999</v>
      </c>
      <c r="D31" s="2839">
        <v>389.77583742602167</v>
      </c>
      <c r="E31" s="2839">
        <v>61137.671045532603</v>
      </c>
      <c r="F31" s="2839">
        <v>0</v>
      </c>
      <c r="G31" s="2839">
        <v>0</v>
      </c>
      <c r="H31" s="2839">
        <v>4195.8158694433623</v>
      </c>
      <c r="I31" s="2839">
        <v>2371.0979049099333</v>
      </c>
      <c r="J31" s="2839">
        <v>711.6504409252359</v>
      </c>
      <c r="K31" s="2839">
        <f>SUM(C31:J31)</f>
        <v>79999.78509823716</v>
      </c>
      <c r="L31" s="2596"/>
      <c r="Q31" s="49">
        <f t="shared" si="8"/>
        <v>1</v>
      </c>
      <c r="R31" s="9">
        <f>SUM(R27:R30)</f>
        <v>616877.48482500017</v>
      </c>
      <c r="S31" s="9">
        <v>48455</v>
      </c>
    </row>
    <row r="32" spans="1:19" s="9" customFormat="1" ht="16.5" customHeight="1" thickBot="1" x14ac:dyDescent="0.35">
      <c r="A32" s="83"/>
      <c r="B32" s="2739" t="s">
        <v>766</v>
      </c>
      <c r="C32" s="2839">
        <v>3561.3980000000001</v>
      </c>
      <c r="D32" s="2839">
        <v>139.28580994904527</v>
      </c>
      <c r="E32" s="2839">
        <v>42840.315531810098</v>
      </c>
      <c r="F32" s="2839">
        <v>0</v>
      </c>
      <c r="G32" s="2839">
        <v>0</v>
      </c>
      <c r="H32" s="2839">
        <v>321.4287921901045</v>
      </c>
      <c r="I32" s="2839">
        <v>2413.8066028891503</v>
      </c>
      <c r="J32" s="2839">
        <v>723.8844257447978</v>
      </c>
      <c r="K32" s="2839">
        <f>SUM(C32:J32)</f>
        <v>50000.1191625832</v>
      </c>
      <c r="L32" s="2596"/>
    </row>
    <row r="33" spans="1:13" s="9" customFormat="1" ht="16.5" customHeight="1" thickBot="1" x14ac:dyDescent="0.35">
      <c r="A33" s="83"/>
      <c r="B33" s="2740" t="s">
        <v>747</v>
      </c>
      <c r="C33" s="2741">
        <f t="shared" ref="C33:K33" si="10">SUM(C29:C32)</f>
        <v>25084.075499999999</v>
      </c>
      <c r="D33" s="2741">
        <f t="shared" si="10"/>
        <v>892.07456386427418</v>
      </c>
      <c r="E33" s="2741">
        <f t="shared" si="10"/>
        <v>239828.1970397722</v>
      </c>
      <c r="F33" s="2741">
        <f t="shared" si="10"/>
        <v>0</v>
      </c>
      <c r="G33" s="2741">
        <f t="shared" si="10"/>
        <v>0</v>
      </c>
      <c r="H33" s="2741">
        <f t="shared" si="10"/>
        <v>6331.9931580289785</v>
      </c>
      <c r="I33" s="2741">
        <f t="shared" si="10"/>
        <v>13228.647511760842</v>
      </c>
      <c r="J33" s="2741">
        <f t="shared" si="10"/>
        <v>3968.6577678585613</v>
      </c>
      <c r="K33" s="2741">
        <f t="shared" si="10"/>
        <v>289333.64554128487</v>
      </c>
      <c r="L33" s="2596"/>
    </row>
    <row r="34" spans="1:13" s="1164" customFormat="1" ht="16.5" customHeight="1" thickBot="1" x14ac:dyDescent="0.35">
      <c r="A34" s="83"/>
      <c r="B34" s="2947" t="s">
        <v>108</v>
      </c>
      <c r="C34" s="2948"/>
      <c r="D34" s="2948"/>
      <c r="E34" s="2948"/>
      <c r="F34" s="2948"/>
      <c r="G34" s="2948"/>
      <c r="H34" s="2948"/>
      <c r="I34" s="2948"/>
      <c r="J34" s="2948"/>
      <c r="K34" s="2948"/>
      <c r="L34" s="2646"/>
    </row>
    <row r="35" spans="1:13" s="9" customFormat="1" ht="16.5" customHeight="1" thickBot="1" x14ac:dyDescent="0.35">
      <c r="A35" s="83"/>
      <c r="B35" s="2737" t="s">
        <v>605</v>
      </c>
      <c r="C35" s="2839">
        <v>0</v>
      </c>
      <c r="D35" s="2839">
        <v>0</v>
      </c>
      <c r="E35" s="2839">
        <v>0</v>
      </c>
      <c r="F35" s="2839">
        <v>0</v>
      </c>
      <c r="G35" s="2839">
        <v>0</v>
      </c>
      <c r="H35" s="2839">
        <v>0</v>
      </c>
      <c r="I35" s="2839">
        <f>186292-100000</f>
        <v>86292</v>
      </c>
      <c r="J35" s="2839">
        <v>0</v>
      </c>
      <c r="K35" s="2839">
        <f>SUM(C35:J35)</f>
        <v>86292</v>
      </c>
      <c r="L35" s="2596"/>
    </row>
    <row r="36" spans="1:13" s="9" customFormat="1" ht="16.5" customHeight="1" thickBot="1" x14ac:dyDescent="0.35">
      <c r="A36" s="83"/>
      <c r="B36" s="2739" t="s">
        <v>606</v>
      </c>
      <c r="C36" s="2839">
        <v>0</v>
      </c>
      <c r="D36" s="2839">
        <v>0</v>
      </c>
      <c r="E36" s="2839">
        <v>0</v>
      </c>
      <c r="F36" s="2839">
        <v>0</v>
      </c>
      <c r="G36" s="2839">
        <v>0</v>
      </c>
      <c r="H36" s="2839">
        <v>0</v>
      </c>
      <c r="I36" s="2839">
        <v>20000</v>
      </c>
      <c r="J36" s="2839">
        <v>0</v>
      </c>
      <c r="K36" s="2839">
        <f>SUM(C36:J36)</f>
        <v>20000</v>
      </c>
      <c r="L36" s="2596"/>
    </row>
    <row r="37" spans="1:13" s="9" customFormat="1" ht="16.5" customHeight="1" thickBot="1" x14ac:dyDescent="0.35">
      <c r="A37" s="83"/>
      <c r="B37" s="2739" t="s">
        <v>748</v>
      </c>
      <c r="C37" s="2839">
        <v>0</v>
      </c>
      <c r="D37" s="2839">
        <v>0</v>
      </c>
      <c r="E37" s="2839">
        <v>50000</v>
      </c>
      <c r="F37" s="2839">
        <v>0</v>
      </c>
      <c r="G37" s="2839">
        <v>0</v>
      </c>
      <c r="H37" s="2839">
        <v>0</v>
      </c>
      <c r="I37" s="2839">
        <f>J37*0.65</f>
        <v>0</v>
      </c>
      <c r="J37" s="2839">
        <v>0</v>
      </c>
      <c r="K37" s="2839">
        <f>SUM(C37:J37)</f>
        <v>50000</v>
      </c>
      <c r="L37" s="2596"/>
    </row>
    <row r="38" spans="1:13" s="1164" customFormat="1" ht="16.5" customHeight="1" thickBot="1" x14ac:dyDescent="0.35">
      <c r="A38" s="83"/>
      <c r="B38" s="2740" t="s">
        <v>749</v>
      </c>
      <c r="C38" s="2741">
        <f t="shared" ref="C38:K38" si="11">SUM(C35:C37)</f>
        <v>0</v>
      </c>
      <c r="D38" s="2741">
        <f t="shared" si="11"/>
        <v>0</v>
      </c>
      <c r="E38" s="2741">
        <f t="shared" si="11"/>
        <v>50000</v>
      </c>
      <c r="F38" s="2741">
        <f t="shared" si="11"/>
        <v>0</v>
      </c>
      <c r="G38" s="2741">
        <f t="shared" si="11"/>
        <v>0</v>
      </c>
      <c r="H38" s="2741">
        <f t="shared" si="11"/>
        <v>0</v>
      </c>
      <c r="I38" s="2741">
        <f t="shared" si="11"/>
        <v>106292</v>
      </c>
      <c r="J38" s="2741">
        <f t="shared" si="11"/>
        <v>0</v>
      </c>
      <c r="K38" s="2741">
        <f t="shared" si="11"/>
        <v>156292</v>
      </c>
      <c r="L38" s="2646"/>
    </row>
    <row r="39" spans="1:13" s="9" customFormat="1" ht="16.5" customHeight="1" thickBot="1" x14ac:dyDescent="0.35">
      <c r="A39" s="83"/>
      <c r="B39" s="2947" t="s">
        <v>401</v>
      </c>
      <c r="C39" s="2948"/>
      <c r="D39" s="2948"/>
      <c r="E39" s="2948"/>
      <c r="F39" s="2948"/>
      <c r="G39" s="2948"/>
      <c r="H39" s="2948"/>
      <c r="I39" s="2948"/>
      <c r="J39" s="2948"/>
      <c r="K39" s="2948"/>
      <c r="L39" s="2596"/>
    </row>
    <row r="40" spans="1:13" s="9" customFormat="1" ht="16.5" customHeight="1" thickBot="1" x14ac:dyDescent="0.35">
      <c r="A40" s="83"/>
      <c r="B40" s="2739" t="s">
        <v>330</v>
      </c>
      <c r="C40" s="2839">
        <v>178627.6985</v>
      </c>
      <c r="D40" s="2839">
        <f>+'CNG Table C 2013'!D38</f>
        <v>0</v>
      </c>
      <c r="E40" s="2839">
        <f>20675-11292</f>
        <v>9383</v>
      </c>
      <c r="F40" s="2839">
        <v>0</v>
      </c>
      <c r="G40" s="2839">
        <f>+'CNG Table C 2013'!F38</f>
        <v>0</v>
      </c>
      <c r="H40" s="2839">
        <f>+'CNG Table C 2013'!G38</f>
        <v>0</v>
      </c>
      <c r="I40" s="2839">
        <v>0</v>
      </c>
      <c r="J40" s="2839">
        <v>0</v>
      </c>
      <c r="K40" s="2839">
        <f>SUM(C40:J40)</f>
        <v>188010.6985</v>
      </c>
      <c r="L40" s="2596"/>
    </row>
    <row r="41" spans="1:13" s="9" customFormat="1" ht="16.5" customHeight="1" thickBot="1" x14ac:dyDescent="0.35">
      <c r="A41" s="83"/>
      <c r="B41" s="2739" t="s">
        <v>750</v>
      </c>
      <c r="C41" s="2839">
        <v>0</v>
      </c>
      <c r="D41" s="2839">
        <f>+'CNG Table C 2013'!D39</f>
        <v>0</v>
      </c>
      <c r="E41" s="2839">
        <v>0</v>
      </c>
      <c r="F41" s="2839">
        <v>0</v>
      </c>
      <c r="G41" s="2839">
        <f>+'CNG Table C 2013'!F39</f>
        <v>0</v>
      </c>
      <c r="H41" s="2839">
        <v>40100</v>
      </c>
      <c r="I41" s="2839">
        <v>0</v>
      </c>
      <c r="J41" s="2839">
        <v>0</v>
      </c>
      <c r="K41" s="2839">
        <f t="shared" ref="K41:K48" si="12">SUM(C41:J41)</f>
        <v>40100</v>
      </c>
      <c r="L41" s="2596"/>
    </row>
    <row r="42" spans="1:13" s="9" customFormat="1" ht="16.5" customHeight="1" thickBot="1" x14ac:dyDescent="0.35">
      <c r="A42" s="83"/>
      <c r="B42" s="2739" t="s">
        <v>281</v>
      </c>
      <c r="C42" s="2839">
        <v>122147.7415</v>
      </c>
      <c r="D42" s="2839">
        <f>+'CNG Table C 2013'!D41</f>
        <v>0</v>
      </c>
      <c r="E42" s="2839">
        <v>0</v>
      </c>
      <c r="F42" s="2839">
        <v>0</v>
      </c>
      <c r="G42" s="2839">
        <f>+'CNG Table C 2013'!F41</f>
        <v>0</v>
      </c>
      <c r="H42" s="2839">
        <f>+'CNG Table C 2013'!G41</f>
        <v>0</v>
      </c>
      <c r="I42" s="2839">
        <v>0</v>
      </c>
      <c r="J42" s="2839">
        <v>0</v>
      </c>
      <c r="K42" s="2839">
        <f>SUM(C42:J42)</f>
        <v>122147.7415</v>
      </c>
      <c r="L42" s="2596"/>
    </row>
    <row r="43" spans="1:13" s="1159" customFormat="1" ht="16.5" customHeight="1" thickBot="1" x14ac:dyDescent="0.35">
      <c r="A43" s="83"/>
      <c r="B43" s="2739" t="s">
        <v>751</v>
      </c>
      <c r="C43" s="2839">
        <v>0</v>
      </c>
      <c r="D43" s="2839">
        <f>+'CNG Table C 2013'!D42</f>
        <v>0</v>
      </c>
      <c r="E43" s="2839">
        <v>300000</v>
      </c>
      <c r="F43" s="2839">
        <v>0</v>
      </c>
      <c r="G43" s="2839">
        <f>+'CNG Table C 2013'!F42</f>
        <v>0</v>
      </c>
      <c r="H43" s="2839">
        <f>+'CNG Table C 2013'!G42</f>
        <v>0</v>
      </c>
      <c r="I43" s="2839">
        <v>0</v>
      </c>
      <c r="J43" s="2839">
        <v>0</v>
      </c>
      <c r="K43" s="2839">
        <f>SUM(C43:J43)</f>
        <v>300000</v>
      </c>
      <c r="L43" s="2596"/>
      <c r="M43" s="9"/>
    </row>
    <row r="44" spans="1:13" s="9" customFormat="1" ht="16.5" customHeight="1" thickBot="1" x14ac:dyDescent="0.35">
      <c r="A44" s="83"/>
      <c r="B44" s="2739" t="s">
        <v>752</v>
      </c>
      <c r="C44" s="2839">
        <v>0</v>
      </c>
      <c r="D44" s="2839">
        <f>+'CNG Table C 2013'!D42</f>
        <v>0</v>
      </c>
      <c r="E44" s="2839">
        <v>29607</v>
      </c>
      <c r="F44" s="2839">
        <v>0</v>
      </c>
      <c r="G44" s="2839">
        <f>+'CNG Table C 2013'!F40</f>
        <v>0</v>
      </c>
      <c r="H44" s="2839">
        <f>+'CNG Table C 2013'!G42</f>
        <v>0</v>
      </c>
      <c r="I44" s="2839">
        <v>0</v>
      </c>
      <c r="J44" s="2839">
        <v>0</v>
      </c>
      <c r="K44" s="2839">
        <f>SUM(C44:J44)</f>
        <v>29607</v>
      </c>
      <c r="L44" s="2596"/>
    </row>
    <row r="45" spans="1:13" s="9" customFormat="1" ht="16.5" customHeight="1" thickBot="1" x14ac:dyDescent="0.35">
      <c r="A45" s="83"/>
      <c r="B45" s="2739" t="s">
        <v>273</v>
      </c>
      <c r="C45" s="2839">
        <v>63500.745499999997</v>
      </c>
      <c r="D45" s="2839">
        <f>+'CNG Table C 2013'!D40</f>
        <v>0</v>
      </c>
      <c r="E45" s="2839">
        <f>120000+1464422-1497101+110000</f>
        <v>197321</v>
      </c>
      <c r="F45" s="2839">
        <v>0</v>
      </c>
      <c r="G45" s="2839">
        <f>+'CNG Table C 2013'!F40</f>
        <v>0</v>
      </c>
      <c r="H45" s="2839">
        <f>+'CNG Table C 2013'!G40</f>
        <v>0</v>
      </c>
      <c r="I45" s="2839">
        <v>0</v>
      </c>
      <c r="J45" s="2839">
        <v>0</v>
      </c>
      <c r="K45" s="2839">
        <f t="shared" si="12"/>
        <v>260821.74549999999</v>
      </c>
      <c r="L45" s="2596"/>
    </row>
    <row r="46" spans="1:13" s="9" customFormat="1" ht="16.5" customHeight="1" thickBot="1" x14ac:dyDescent="0.35">
      <c r="A46" s="83"/>
      <c r="B46" s="2739" t="s">
        <v>753</v>
      </c>
      <c r="C46" s="2839">
        <v>0</v>
      </c>
      <c r="D46" s="2839">
        <f>+'CNG Table C 2013'!D43</f>
        <v>0</v>
      </c>
      <c r="E46" s="2839">
        <v>53333</v>
      </c>
      <c r="F46" s="2839">
        <v>0</v>
      </c>
      <c r="G46" s="2839">
        <f>+'CNG Table C 2013'!F43</f>
        <v>0</v>
      </c>
      <c r="H46" s="2839">
        <f>+'CNG Table C 2013'!G43</f>
        <v>0</v>
      </c>
      <c r="I46" s="2839">
        <v>0</v>
      </c>
      <c r="J46" s="2839">
        <v>0</v>
      </c>
      <c r="K46" s="2839">
        <f t="shared" si="12"/>
        <v>53333</v>
      </c>
      <c r="L46" s="2596"/>
    </row>
    <row r="47" spans="1:13" s="9" customFormat="1" ht="16.5" customHeight="1" thickBot="1" x14ac:dyDescent="0.35">
      <c r="A47" s="83"/>
      <c r="B47" s="2739" t="s">
        <v>754</v>
      </c>
      <c r="C47" s="2839">
        <v>0</v>
      </c>
      <c r="D47" s="2839">
        <f>+'CNG Table C 2013'!D44</f>
        <v>0</v>
      </c>
      <c r="E47" s="2839">
        <v>10000</v>
      </c>
      <c r="F47" s="2839">
        <v>0</v>
      </c>
      <c r="G47" s="2839">
        <f>+'CNG Table C 2013'!F44</f>
        <v>0</v>
      </c>
      <c r="H47" s="2839">
        <f>+'CNG Table C 2013'!G44</f>
        <v>0</v>
      </c>
      <c r="I47" s="2839">
        <v>0</v>
      </c>
      <c r="J47" s="2839">
        <v>0</v>
      </c>
      <c r="K47" s="2839">
        <f>SUM(C47:J47)</f>
        <v>10000</v>
      </c>
      <c r="L47" s="2596"/>
    </row>
    <row r="48" spans="1:13" s="9" customFormat="1" ht="16.5" customHeight="1" thickBot="1" x14ac:dyDescent="0.35">
      <c r="A48" s="83"/>
      <c r="B48" s="2739" t="s">
        <v>755</v>
      </c>
      <c r="C48" s="2839">
        <v>0</v>
      </c>
      <c r="D48" s="2839">
        <f>+'CNG Table C 2013'!D44</f>
        <v>0</v>
      </c>
      <c r="E48" s="2839">
        <f>+'CNG Table C 2013'!E44</f>
        <v>0</v>
      </c>
      <c r="F48" s="2839">
        <v>0</v>
      </c>
      <c r="G48" s="2839">
        <f>+'CNG Table C 2013'!F44</f>
        <v>0</v>
      </c>
      <c r="H48" s="2839">
        <f>+'CNG Table C 2013'!G44</f>
        <v>0</v>
      </c>
      <c r="I48" s="2839">
        <f ca="1">'CNG Table A2'!H25</f>
        <v>782184.28461638244</v>
      </c>
      <c r="J48" s="2839">
        <v>0</v>
      </c>
      <c r="K48" s="2839">
        <f t="shared" ca="1" si="12"/>
        <v>782184.28461638244</v>
      </c>
      <c r="L48" s="2596"/>
    </row>
    <row r="49" spans="1:14" s="9" customFormat="1" ht="16.5" customHeight="1" thickBot="1" x14ac:dyDescent="0.3">
      <c r="A49" s="1145"/>
      <c r="B49" s="2740" t="s">
        <v>756</v>
      </c>
      <c r="C49" s="2741">
        <f t="shared" ref="C49:K49" si="13">SUM(C40:C48)</f>
        <v>364276.18550000002</v>
      </c>
      <c r="D49" s="2741">
        <f t="shared" si="13"/>
        <v>0</v>
      </c>
      <c r="E49" s="2741">
        <f t="shared" si="13"/>
        <v>599644</v>
      </c>
      <c r="F49" s="2741">
        <f t="shared" si="13"/>
        <v>0</v>
      </c>
      <c r="G49" s="2741">
        <f t="shared" si="13"/>
        <v>0</v>
      </c>
      <c r="H49" s="2741">
        <f t="shared" si="13"/>
        <v>40100</v>
      </c>
      <c r="I49" s="2741">
        <f t="shared" ca="1" si="13"/>
        <v>782184.28461638244</v>
      </c>
      <c r="J49" s="2741">
        <f t="shared" si="13"/>
        <v>0</v>
      </c>
      <c r="K49" s="2741">
        <f t="shared" ca="1" si="13"/>
        <v>1786204.4701163825</v>
      </c>
      <c r="L49" s="2596"/>
    </row>
    <row r="50" spans="1:14" ht="19.5" customHeight="1" thickBot="1" x14ac:dyDescent="0.35">
      <c r="A50" s="83"/>
      <c r="B50" s="2742"/>
      <c r="C50" s="2743"/>
      <c r="D50" s="2743"/>
      <c r="E50" s="2743"/>
      <c r="F50" s="2743"/>
      <c r="G50" s="2743"/>
      <c r="H50" s="2743"/>
      <c r="I50" s="2743"/>
      <c r="J50" s="2743"/>
      <c r="K50" s="2744"/>
    </row>
    <row r="51" spans="1:14" ht="21" thickBot="1" x14ac:dyDescent="0.35">
      <c r="A51" s="83"/>
      <c r="B51" s="2740" t="s">
        <v>58</v>
      </c>
      <c r="C51" s="2741">
        <f t="shared" ref="C51:K51" si="14">+C17+C23+C27+C33+C38+C49</f>
        <v>1647592.7758249999</v>
      </c>
      <c r="D51" s="2741">
        <f t="shared" si="14"/>
        <v>5407.0745638642738</v>
      </c>
      <c r="E51" s="2741">
        <f t="shared" si="14"/>
        <v>1699230.9428172682</v>
      </c>
      <c r="F51" s="2741">
        <f t="shared" si="14"/>
        <v>72900</v>
      </c>
      <c r="G51" s="2741">
        <f t="shared" si="14"/>
        <v>11327399.51981296</v>
      </c>
      <c r="H51" s="2741">
        <f t="shared" si="14"/>
        <v>754610.49665802892</v>
      </c>
      <c r="I51" s="2741">
        <f t="shared" ca="1" si="14"/>
        <v>909123.01212814334</v>
      </c>
      <c r="J51" s="2741">
        <f t="shared" si="14"/>
        <v>102546.15776785856</v>
      </c>
      <c r="K51" s="2741">
        <f t="shared" ca="1" si="14"/>
        <v>16518809.979573121</v>
      </c>
    </row>
    <row r="53" spans="1:14" x14ac:dyDescent="0.2">
      <c r="K53" s="2501">
        <f>'CNG Table A2'!H16</f>
        <v>16518809.976944031</v>
      </c>
    </row>
    <row r="54" spans="1:14" x14ac:dyDescent="0.2">
      <c r="C54" s="2482"/>
    </row>
    <row r="55" spans="1:14" x14ac:dyDescent="0.2">
      <c r="J55" s="1172">
        <f ca="1">+J51/K51</f>
        <v>6.207841720721129E-3</v>
      </c>
      <c r="K55" s="587">
        <f ca="1">+K53-K51</f>
        <v>-2.6290901005268097E-3</v>
      </c>
    </row>
    <row r="58" spans="1:14" x14ac:dyDescent="0.2">
      <c r="F58" s="134"/>
    </row>
    <row r="59" spans="1:14" s="2469" customFormat="1" x14ac:dyDescent="0.2">
      <c r="A59" s="49"/>
      <c r="B59" s="49"/>
      <c r="C59" s="64"/>
      <c r="D59" s="63"/>
      <c r="E59" s="63"/>
      <c r="F59" s="134"/>
      <c r="G59" s="49"/>
      <c r="H59" s="49"/>
      <c r="I59" s="49"/>
      <c r="J59" s="49"/>
      <c r="K59" s="49"/>
      <c r="M59" s="49"/>
      <c r="N59" s="49"/>
    </row>
    <row r="60" spans="1:14" s="2469" customFormat="1" x14ac:dyDescent="0.2">
      <c r="A60" s="49"/>
      <c r="B60" s="49"/>
      <c r="C60" s="64"/>
      <c r="D60" s="63"/>
      <c r="E60" s="63"/>
      <c r="F60" s="134"/>
      <c r="G60" s="49"/>
      <c r="H60" s="49"/>
      <c r="I60" s="49"/>
      <c r="J60" s="49"/>
      <c r="K60" s="49"/>
      <c r="M60" s="49"/>
      <c r="N60" s="49"/>
    </row>
    <row r="61" spans="1:14" s="2469" customFormat="1" x14ac:dyDescent="0.2">
      <c r="A61" s="49"/>
      <c r="B61" s="49"/>
      <c r="C61" s="64"/>
      <c r="D61" s="63"/>
      <c r="E61" s="63"/>
      <c r="F61" s="134"/>
      <c r="G61" s="49"/>
      <c r="H61" s="49"/>
      <c r="I61" s="49"/>
      <c r="J61" s="49"/>
      <c r="K61" s="49"/>
      <c r="M61" s="49"/>
      <c r="N61" s="49"/>
    </row>
    <row r="62" spans="1:14" s="2469" customFormat="1" x14ac:dyDescent="0.2">
      <c r="A62" s="49"/>
      <c r="B62" s="49"/>
      <c r="C62" s="64"/>
      <c r="D62" s="63"/>
      <c r="E62" s="63"/>
      <c r="F62" s="134"/>
      <c r="G62" s="49"/>
      <c r="H62" s="49"/>
      <c r="I62" s="49"/>
      <c r="J62" s="49"/>
      <c r="K62" s="1172"/>
      <c r="M62" s="49"/>
      <c r="N62" s="49"/>
    </row>
    <row r="63" spans="1:14" s="2469" customFormat="1" x14ac:dyDescent="0.2">
      <c r="A63" s="49"/>
      <c r="B63" s="49"/>
      <c r="C63" s="64"/>
      <c r="D63" s="63"/>
      <c r="E63" s="63"/>
      <c r="F63" s="134"/>
      <c r="G63" s="49"/>
      <c r="H63" s="49"/>
      <c r="I63" s="49"/>
      <c r="J63" s="49"/>
      <c r="K63" s="1172"/>
      <c r="M63" s="49"/>
      <c r="N63" s="49"/>
    </row>
    <row r="64" spans="1:14" s="2469" customFormat="1" x14ac:dyDescent="0.2">
      <c r="A64" s="49"/>
      <c r="B64" s="49"/>
      <c r="C64" s="64"/>
      <c r="D64" s="63"/>
      <c r="E64" s="63"/>
      <c r="F64" s="63"/>
      <c r="G64" s="49"/>
      <c r="H64" s="49"/>
      <c r="I64" s="49"/>
      <c r="J64" s="49"/>
      <c r="K64" s="1172"/>
      <c r="M64" s="49"/>
      <c r="N64" s="49"/>
    </row>
  </sheetData>
  <mergeCells count="8">
    <mergeCell ref="B34:K34"/>
    <mergeCell ref="B39:K39"/>
    <mergeCell ref="B1:K1"/>
    <mergeCell ref="B2:K2"/>
    <mergeCell ref="B11:K11"/>
    <mergeCell ref="B18:K18"/>
    <mergeCell ref="B24:K24"/>
    <mergeCell ref="B28:K28"/>
  </mergeCells>
  <printOptions horizontalCentered="1" verticalCentered="1"/>
  <pageMargins left="0.61" right="0.31" top="0.2" bottom="0.43" header="0.2" footer="0.18"/>
  <pageSetup scale="47" orientation="landscape" r:id="rId1"/>
  <headerFooter alignWithMargins="0">
    <oddFooter>&amp;C&amp;1#&amp;"Calibri"&amp;12&amp;K008000Internal Use</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47"/>
  </sheetPr>
  <dimension ref="A1:F43"/>
  <sheetViews>
    <sheetView zoomScaleNormal="100" workbookViewId="0">
      <selection activeCell="H15" sqref="H15"/>
    </sheetView>
  </sheetViews>
  <sheetFormatPr defaultRowHeight="12.75" x14ac:dyDescent="0.2"/>
  <cols>
    <col min="1" max="1" width="22.7109375" customWidth="1"/>
    <col min="2" max="2" width="14.85546875" customWidth="1"/>
    <col min="3" max="3" width="13"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720</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TRANSPOSE('CNG Table C 2022'!$C$51:$J$51)</f>
        <v>1626149.915</v>
      </c>
      <c r="C34" s="2749">
        <f ca="1">SUM(B34/B$43)</f>
        <v>0.10975544214822258</v>
      </c>
    </row>
    <row r="35" spans="1:3" x14ac:dyDescent="0.2">
      <c r="A35" s="2747" t="s">
        <v>13</v>
      </c>
      <c r="B35" s="2748">
        <v>5792.0745638642738</v>
      </c>
      <c r="C35" s="2749">
        <f t="shared" ref="C35:C41" ca="1" si="0">SUM(B35/B$43)</f>
        <v>3.9093056479506494E-4</v>
      </c>
    </row>
    <row r="36" spans="1:3" x14ac:dyDescent="0.2">
      <c r="A36" s="2747" t="s">
        <v>4</v>
      </c>
      <c r="B36" s="2748">
        <v>2007830.0007330379</v>
      </c>
      <c r="C36" s="2749">
        <f t="shared" ca="1" si="0"/>
        <v>0.13551657658139141</v>
      </c>
    </row>
    <row r="37" spans="1:3" x14ac:dyDescent="0.2">
      <c r="A37" s="2747" t="s">
        <v>721</v>
      </c>
      <c r="B37" s="2748">
        <v>76500</v>
      </c>
      <c r="C37" s="2749">
        <f t="shared" ca="1" si="0"/>
        <v>5.1632947533862689E-3</v>
      </c>
    </row>
    <row r="38" spans="1:3" x14ac:dyDescent="0.2">
      <c r="A38" s="2747" t="s">
        <v>2</v>
      </c>
      <c r="B38" s="2748">
        <v>9386505.8066102099</v>
      </c>
      <c r="C38" s="2749">
        <f t="shared" ca="1" si="0"/>
        <v>0.63353328344967641</v>
      </c>
    </row>
    <row r="39" spans="1:3" x14ac:dyDescent="0.2">
      <c r="A39" s="2747" t="s">
        <v>14</v>
      </c>
      <c r="B39" s="2748">
        <v>779203.99315802893</v>
      </c>
      <c r="C39" s="2749">
        <f t="shared" ca="1" si="0"/>
        <v>5.2591632544973607E-2</v>
      </c>
    </row>
    <row r="40" spans="1:3" x14ac:dyDescent="0.2">
      <c r="A40" s="2747" t="s">
        <v>684</v>
      </c>
      <c r="B40" s="2748">
        <f ca="1"/>
        <v>829285.5860918276</v>
      </c>
      <c r="C40" s="2749">
        <f t="shared" ca="1" si="0"/>
        <v>5.5971842035644315E-2</v>
      </c>
    </row>
    <row r="41" spans="1:3" x14ac:dyDescent="0.2">
      <c r="A41" s="2747" t="s">
        <v>15</v>
      </c>
      <c r="B41" s="2750">
        <v>104853.65776785856</v>
      </c>
      <c r="C41" s="2751">
        <f t="shared" ca="1" si="0"/>
        <v>7.0769979219103725E-3</v>
      </c>
    </row>
    <row r="42" spans="1:3" x14ac:dyDescent="0.2">
      <c r="A42" s="2954"/>
      <c r="B42" s="2955"/>
      <c r="C42" s="2956"/>
    </row>
    <row r="43" spans="1:3" x14ac:dyDescent="0.2">
      <c r="A43" s="2747" t="s">
        <v>0</v>
      </c>
      <c r="B43" s="2748">
        <f ca="1">SUM(B34:B41)</f>
        <v>14816121.033924827</v>
      </c>
      <c r="C43" s="2749">
        <f ca="1">SUM(C34:C41)</f>
        <v>1</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indexed="47"/>
  </sheetPr>
  <dimension ref="A1:F43"/>
  <sheetViews>
    <sheetView zoomScaleNormal="100" workbookViewId="0">
      <selection activeCell="H15" sqref="H15"/>
    </sheetView>
  </sheetViews>
  <sheetFormatPr defaultRowHeight="12.75" x14ac:dyDescent="0.2"/>
  <cols>
    <col min="1" max="1" width="22.7109375" customWidth="1"/>
    <col min="2" max="2" width="14.85546875" customWidth="1"/>
    <col min="3" max="3" width="13"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731</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TRANSPOSE('CNG Table C 2023'!$C$51:$J$51)</f>
        <v>1647591.8171730894</v>
      </c>
      <c r="C34" s="2749">
        <f ca="1">SUM(B34/B$43)</f>
        <v>0.10057614312856714</v>
      </c>
    </row>
    <row r="35" spans="1:3" x14ac:dyDescent="0.2">
      <c r="A35" s="2747" t="s">
        <v>13</v>
      </c>
      <c r="B35" s="2748">
        <v>5517.0745638642738</v>
      </c>
      <c r="C35" s="2749">
        <f t="shared" ref="C35:C41" ca="1" si="0">SUM(B35/B$43)</f>
        <v>3.3678613549941914E-4</v>
      </c>
    </row>
    <row r="36" spans="1:3" x14ac:dyDescent="0.2">
      <c r="A36" s="2747" t="s">
        <v>4</v>
      </c>
      <c r="B36" s="2748">
        <v>1715316.8648982183</v>
      </c>
      <c r="C36" s="2749">
        <f t="shared" ca="1" si="0"/>
        <v>0.10471037347760996</v>
      </c>
    </row>
    <row r="37" spans="1:3" x14ac:dyDescent="0.2">
      <c r="A37" s="2747" t="s">
        <v>721</v>
      </c>
      <c r="B37" s="2748">
        <v>73650</v>
      </c>
      <c r="C37" s="2749">
        <f t="shared" ca="1" si="0"/>
        <v>4.4959151072554602E-3</v>
      </c>
    </row>
    <row r="38" spans="1:3" x14ac:dyDescent="0.2">
      <c r="A38" s="2747" t="s">
        <v>2</v>
      </c>
      <c r="B38" s="2748">
        <v>11173362.338465676</v>
      </c>
      <c r="C38" s="2749">
        <f t="shared" ca="1" si="0"/>
        <v>0.68207044855868337</v>
      </c>
    </row>
    <row r="39" spans="1:3" x14ac:dyDescent="0.2">
      <c r="A39" s="2747" t="s">
        <v>14</v>
      </c>
      <c r="B39" s="2748">
        <v>759716.11165802891</v>
      </c>
      <c r="C39" s="2749">
        <f t="shared" ca="1" si="0"/>
        <v>4.6376363117837181E-2</v>
      </c>
    </row>
    <row r="40" spans="1:3" x14ac:dyDescent="0.2">
      <c r="A40" s="2747" t="s">
        <v>684</v>
      </c>
      <c r="B40" s="2748">
        <f ca="1"/>
        <v>903024.20701280609</v>
      </c>
      <c r="C40" s="2749">
        <f t="shared" ca="1" si="0"/>
        <v>5.5124510176867036E-2</v>
      </c>
    </row>
    <row r="41" spans="1:3" x14ac:dyDescent="0.2">
      <c r="A41" s="2747" t="s">
        <v>15</v>
      </c>
      <c r="B41" s="2750">
        <v>103358.65776785856</v>
      </c>
      <c r="C41" s="2751">
        <f t="shared" ca="1" si="0"/>
        <v>6.3094602976804109E-3</v>
      </c>
    </row>
    <row r="42" spans="1:3" x14ac:dyDescent="0.2">
      <c r="A42" s="2954"/>
      <c r="B42" s="2955"/>
      <c r="C42" s="2956"/>
    </row>
    <row r="43" spans="1:3" x14ac:dyDescent="0.2">
      <c r="A43" s="2747" t="s">
        <v>0</v>
      </c>
      <c r="B43" s="2748">
        <f ca="1">SUM(B34:B41)</f>
        <v>16381537.071539542</v>
      </c>
      <c r="C43" s="2749">
        <f ca="1">SUM(C34:C41)</f>
        <v>1</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72">
    <tabColor indexed="47"/>
  </sheetPr>
  <dimension ref="A1:F43"/>
  <sheetViews>
    <sheetView zoomScaleNormal="100" workbookViewId="0">
      <selection activeCell="H15" sqref="H15"/>
    </sheetView>
  </sheetViews>
  <sheetFormatPr defaultRowHeight="12.75" x14ac:dyDescent="0.2"/>
  <cols>
    <col min="1" max="1" width="22.7109375" customWidth="1"/>
    <col min="2" max="2" width="14.85546875" customWidth="1"/>
    <col min="3" max="3" width="13"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732</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TRANSPOSE('CNG Table C 2024'!$C$51:$J$51)</f>
        <v>1647592.7758249999</v>
      </c>
      <c r="C34" s="2749">
        <f ca="1">SUM(B34/B$43)</f>
        <v>0.10015743084942202</v>
      </c>
    </row>
    <row r="35" spans="1:3" x14ac:dyDescent="0.2">
      <c r="A35" s="2747" t="s">
        <v>13</v>
      </c>
      <c r="B35" s="2748">
        <v>5417.0745638642738</v>
      </c>
      <c r="C35" s="2749">
        <f t="shared" ref="C35:C41" ca="1" si="0">SUM(B35/B$43)</f>
        <v>3.2930483733440899E-4</v>
      </c>
    </row>
    <row r="36" spans="1:3" x14ac:dyDescent="0.2">
      <c r="A36" s="2747" t="s">
        <v>4</v>
      </c>
      <c r="B36" s="2748">
        <v>1698133.6072671218</v>
      </c>
      <c r="C36" s="2749">
        <f t="shared" ca="1" si="0"/>
        <v>0.10322981615270298</v>
      </c>
    </row>
    <row r="37" spans="1:3" x14ac:dyDescent="0.2">
      <c r="A37" s="2747" t="s">
        <v>721</v>
      </c>
      <c r="B37" s="2748">
        <v>72900</v>
      </c>
      <c r="C37" s="2749">
        <f t="shared" ca="1" si="0"/>
        <v>4.431602769845111E-3</v>
      </c>
    </row>
    <row r="38" spans="1:3" x14ac:dyDescent="0.2">
      <c r="A38" s="2747" t="s">
        <v>2</v>
      </c>
      <c r="B38" s="2748">
        <v>11262981.68665611</v>
      </c>
      <c r="C38" s="2749">
        <f t="shared" ca="1" si="0"/>
        <v>0.68467847516186531</v>
      </c>
    </row>
    <row r="39" spans="1:3" x14ac:dyDescent="0.2">
      <c r="A39" s="2747" t="s">
        <v>14</v>
      </c>
      <c r="B39" s="2748">
        <v>754610.74265802896</v>
      </c>
      <c r="C39" s="2749">
        <f t="shared" ca="1" si="0"/>
        <v>4.5872908879536316E-2</v>
      </c>
    </row>
    <row r="40" spans="1:3" x14ac:dyDescent="0.2">
      <c r="A40" s="2747" t="s">
        <v>684</v>
      </c>
      <c r="B40" s="2748">
        <f ca="1"/>
        <v>905848.29102424812</v>
      </c>
      <c r="C40" s="2749">
        <f t="shared" ca="1" si="0"/>
        <v>5.5066663862311641E-2</v>
      </c>
    </row>
    <row r="41" spans="1:3" x14ac:dyDescent="0.2">
      <c r="A41" s="2747" t="s">
        <v>15</v>
      </c>
      <c r="B41" s="2750">
        <v>102546.15776785856</v>
      </c>
      <c r="C41" s="2751">
        <f t="shared" ca="1" si="0"/>
        <v>6.2337974869823834E-3</v>
      </c>
    </row>
    <row r="42" spans="1:3" x14ac:dyDescent="0.2">
      <c r="A42" s="2954"/>
      <c r="B42" s="2955"/>
      <c r="C42" s="2956"/>
    </row>
    <row r="43" spans="1:3" x14ac:dyDescent="0.2">
      <c r="A43" s="2747" t="s">
        <v>0</v>
      </c>
      <c r="B43" s="2748">
        <f ca="1">SUM(B34:B41)</f>
        <v>16450030.335762229</v>
      </c>
      <c r="C43" s="2749">
        <f ca="1">SUM(C34:C41)</f>
        <v>1</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tabColor indexed="44"/>
    <pageSetUpPr fitToPage="1"/>
  </sheetPr>
  <dimension ref="A1:R61"/>
  <sheetViews>
    <sheetView zoomScale="85" zoomScaleNormal="85" workbookViewId="0">
      <pane ySplit="10" topLeftCell="A26" activePane="bottomLeft" state="frozen"/>
      <selection activeCell="H15" sqref="H15"/>
      <selection pane="bottomLeft" activeCell="H15" sqref="H15"/>
    </sheetView>
  </sheetViews>
  <sheetFormatPr defaultRowHeight="12.75" x14ac:dyDescent="0.2"/>
  <cols>
    <col min="1" max="1" width="7.140625" style="49" customWidth="1"/>
    <col min="2" max="2" width="60.28515625" style="49" customWidth="1"/>
    <col min="3" max="3" width="19.7109375" style="64" customWidth="1"/>
    <col min="4" max="4" width="17.85546875" style="63" customWidth="1"/>
    <col min="5" max="5" width="17.28515625" style="63" customWidth="1"/>
    <col min="6" max="6" width="20.42578125" style="63" customWidth="1"/>
    <col min="7" max="7" width="18.28515625" style="49" customWidth="1"/>
    <col min="8" max="9" width="19.140625" style="49" customWidth="1"/>
    <col min="10" max="10" width="20.42578125" style="49" customWidth="1"/>
    <col min="11" max="11" width="18.42578125" style="49" customWidth="1"/>
    <col min="12" max="12" width="15" style="2469" bestFit="1" customWidth="1"/>
    <col min="13" max="13" width="4.85546875" style="49" customWidth="1"/>
    <col min="14" max="14" width="13.42578125" style="49" bestFit="1" customWidth="1"/>
    <col min="15" max="15" width="14.28515625" style="49" bestFit="1" customWidth="1"/>
    <col min="16" max="17" width="9.140625" style="49"/>
    <col min="18" max="18" width="13.5703125" style="49" bestFit="1" customWidth="1"/>
    <col min="19" max="16384" width="9.140625" style="49"/>
  </cols>
  <sheetData>
    <row r="1" spans="1:15" ht="25.5" x14ac:dyDescent="0.35">
      <c r="B1" s="2944" t="s">
        <v>82</v>
      </c>
      <c r="C1" s="2944"/>
      <c r="D1" s="2944"/>
      <c r="E1" s="2944"/>
      <c r="F1" s="2944"/>
      <c r="G1" s="2944"/>
      <c r="H1" s="2944"/>
      <c r="I1" s="2944"/>
      <c r="J1" s="2944"/>
      <c r="K1" s="2944"/>
    </row>
    <row r="2" spans="1:15" ht="25.5" x14ac:dyDescent="0.35">
      <c r="B2" s="2944" t="s">
        <v>708</v>
      </c>
      <c r="C2" s="2944"/>
      <c r="D2" s="2944"/>
      <c r="E2" s="2944"/>
      <c r="F2" s="2944"/>
      <c r="G2" s="2944"/>
      <c r="H2" s="2944"/>
      <c r="I2" s="2944"/>
      <c r="J2" s="2944"/>
      <c r="K2" s="2944"/>
    </row>
    <row r="3" spans="1:15" ht="26.25" hidden="1" x14ac:dyDescent="0.4">
      <c r="B3" s="1895"/>
      <c r="C3" s="10"/>
      <c r="D3" s="8"/>
      <c r="E3" s="8"/>
      <c r="F3" s="1894"/>
      <c r="G3" s="1895"/>
      <c r="H3" s="9"/>
      <c r="I3" s="9"/>
      <c r="J3" s="9"/>
      <c r="K3" s="1895"/>
    </row>
    <row r="4" spans="1:15" ht="26.25" hidden="1" x14ac:dyDescent="0.4">
      <c r="B4" s="1895"/>
      <c r="C4" s="10"/>
      <c r="D4" s="8"/>
      <c r="E4" s="8"/>
      <c r="F4" s="1894"/>
      <c r="G4" s="1895"/>
      <c r="H4" s="9"/>
      <c r="I4" s="9"/>
      <c r="J4" s="9"/>
      <c r="K4" s="1895"/>
    </row>
    <row r="5" spans="1:15" ht="26.25" hidden="1" x14ac:dyDescent="0.4">
      <c r="B5" s="1895"/>
      <c r="C5" s="10"/>
      <c r="D5" s="8"/>
      <c r="E5" s="8"/>
      <c r="F5" s="1894"/>
      <c r="G5" s="1895"/>
      <c r="H5" s="9"/>
      <c r="I5" s="9"/>
      <c r="J5" s="9"/>
      <c r="K5" s="1895"/>
    </row>
    <row r="6" spans="1:15" ht="26.25" hidden="1" x14ac:dyDescent="0.4">
      <c r="B6" s="1895"/>
      <c r="C6" s="10"/>
      <c r="D6" s="8"/>
      <c r="E6" s="8"/>
      <c r="F6" s="1894"/>
      <c r="G6" s="1895"/>
      <c r="H6" s="9"/>
      <c r="I6" s="9"/>
      <c r="J6" s="9"/>
      <c r="K6" s="1895"/>
    </row>
    <row r="7" spans="1:15" ht="26.25" hidden="1" x14ac:dyDescent="0.4">
      <c r="B7" s="1895"/>
      <c r="C7" s="10"/>
      <c r="D7" s="8"/>
      <c r="E7" s="8"/>
      <c r="F7" s="1894"/>
      <c r="G7" s="1895"/>
      <c r="H7" s="9"/>
      <c r="I7" s="9"/>
      <c r="J7" s="9"/>
      <c r="K7" s="1895"/>
    </row>
    <row r="8" spans="1:15" ht="6.75" customHeight="1" x14ac:dyDescent="0.25">
      <c r="B8" s="11"/>
      <c r="C8" s="10"/>
      <c r="D8" s="8"/>
      <c r="E8" s="8"/>
      <c r="F8" s="8"/>
      <c r="G8" s="9"/>
      <c r="H8" s="9"/>
      <c r="I8" s="9"/>
      <c r="J8" s="9"/>
      <c r="K8" s="9"/>
    </row>
    <row r="9" spans="1:15" ht="6.75" customHeight="1" thickBot="1" x14ac:dyDescent="0.3">
      <c r="B9" s="11"/>
      <c r="C9" s="10"/>
      <c r="D9" s="8"/>
      <c r="E9" s="8"/>
      <c r="F9" s="8"/>
      <c r="G9" s="9"/>
      <c r="H9" s="9"/>
      <c r="I9" s="9"/>
      <c r="J9" s="9"/>
      <c r="K9" s="9"/>
    </row>
    <row r="10" spans="1:15" ht="44.2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row>
    <row r="11" spans="1:15" ht="21" thickBot="1" x14ac:dyDescent="0.35">
      <c r="A11" s="21"/>
      <c r="B11" s="2949" t="s">
        <v>5</v>
      </c>
      <c r="C11" s="2950"/>
      <c r="D11" s="2950"/>
      <c r="E11" s="2950"/>
      <c r="F11" s="2950"/>
      <c r="G11" s="2950"/>
      <c r="H11" s="2950"/>
      <c r="I11" s="2950"/>
      <c r="J11" s="2950"/>
      <c r="K11" s="2950"/>
    </row>
    <row r="12" spans="1:15" ht="24.6" customHeight="1" thickBot="1" x14ac:dyDescent="0.35">
      <c r="A12" s="83"/>
      <c r="B12" s="2737" t="s">
        <v>741</v>
      </c>
      <c r="C12" s="2738">
        <v>108347</v>
      </c>
      <c r="D12" s="2738">
        <v>200</v>
      </c>
      <c r="E12" s="2738">
        <f>336535-291773-20000-20000+939.26-1500</f>
        <v>4201.26</v>
      </c>
      <c r="F12" s="2738">
        <v>1500</v>
      </c>
      <c r="G12" s="2738">
        <v>398082.47992057621</v>
      </c>
      <c r="H12" s="2738">
        <f>6000+21363*0.1+1000+1139.2/2+9481.14</f>
        <v>19187.04</v>
      </c>
      <c r="I12" s="2738">
        <v>825</v>
      </c>
      <c r="J12" s="2738">
        <f>1500-825</f>
        <v>675</v>
      </c>
      <c r="K12" s="2738">
        <f>SUM(C12:J12)</f>
        <v>533017.77992057626</v>
      </c>
      <c r="L12" s="2469">
        <f ca="1">$L$17*K12/$K$17</f>
        <v>-1.2937860872805804E-4</v>
      </c>
      <c r="N12" s="2469">
        <v>-192015.7707670914</v>
      </c>
      <c r="O12" s="587">
        <f>+N12+G12</f>
        <v>206066.70915348482</v>
      </c>
    </row>
    <row r="13" spans="1:15" ht="24.6" customHeight="1" thickBot="1" x14ac:dyDescent="0.35">
      <c r="A13" s="83"/>
      <c r="B13" s="2737" t="s">
        <v>742</v>
      </c>
      <c r="C13" s="2738">
        <v>201845</v>
      </c>
      <c r="D13" s="2738">
        <v>700</v>
      </c>
      <c r="E13" s="2738">
        <f>76634+50000+1762.04-18589+45.05+61780-50000</f>
        <v>121632.09</v>
      </c>
      <c r="F13" s="2738">
        <v>50000</v>
      </c>
      <c r="G13" s="2738">
        <v>1557770.5364015107</v>
      </c>
      <c r="H13" s="2738">
        <f>30000+21363*0.6+16915.63</f>
        <v>59733.430000000008</v>
      </c>
      <c r="I13" s="2738">
        <v>1300</v>
      </c>
      <c r="J13" s="2738">
        <v>1700</v>
      </c>
      <c r="K13" s="2738">
        <f>SUM(C13:J13)</f>
        <v>1994681.0564015105</v>
      </c>
      <c r="L13" s="2469">
        <f ca="1">$L$17*K13/$K$17</f>
        <v>-4.841659502838625E-4</v>
      </c>
      <c r="N13" s="2469">
        <v>-342915.23417716584</v>
      </c>
      <c r="O13" s="587">
        <f t="shared" ref="O13:O23" si="0">+N13+G13</f>
        <v>1214855.3022243448</v>
      </c>
    </row>
    <row r="14" spans="1:15" ht="24.6" customHeight="1" thickBot="1" x14ac:dyDescent="0.35">
      <c r="A14" s="83"/>
      <c r="B14" s="2737" t="s">
        <v>759</v>
      </c>
      <c r="C14" s="2738">
        <v>115118</v>
      </c>
      <c r="D14" s="2738">
        <v>500</v>
      </c>
      <c r="E14" s="2738">
        <f>38000+90000+10000+3232.87-75000-6000+17000</f>
        <v>77232.87</v>
      </c>
      <c r="F14" s="2738">
        <v>6000</v>
      </c>
      <c r="G14" s="2839">
        <v>1169658</v>
      </c>
      <c r="H14" s="2738">
        <f>6000+21363*0.1+1000+1139.2/2-0.11+30923.08</f>
        <v>40628.870000000003</v>
      </c>
      <c r="I14" s="2738">
        <v>900</v>
      </c>
      <c r="J14" s="2738">
        <v>2100</v>
      </c>
      <c r="K14" s="2738">
        <f>SUM(C14:J14)</f>
        <v>1412137.7400000002</v>
      </c>
      <c r="L14" s="2469">
        <f ca="1">$L$17*K14/$K$17</f>
        <v>-3.4276608213858819E-4</v>
      </c>
      <c r="N14" s="2469">
        <v>-618190.02279890853</v>
      </c>
      <c r="O14" s="587">
        <f t="shared" si="0"/>
        <v>551467.97720109147</v>
      </c>
    </row>
    <row r="15" spans="1:15" ht="24.6" customHeight="1" thickBot="1" x14ac:dyDescent="0.35">
      <c r="A15" s="83"/>
      <c r="B15" s="2737" t="s">
        <v>283</v>
      </c>
      <c r="C15" s="2738">
        <v>199073</v>
      </c>
      <c r="D15" s="2738">
        <v>1000</v>
      </c>
      <c r="E15" s="2738">
        <f>50000-40000+10000+20000+3118.81-6000</f>
        <v>37118.81</v>
      </c>
      <c r="F15" s="2738">
        <v>6000</v>
      </c>
      <c r="G15" s="2839">
        <f>-0.15+2372674</f>
        <v>2372673.85</v>
      </c>
      <c r="H15" s="2738">
        <f>6000+21363*0.2+2000+1077+30214.23</f>
        <v>43563.83</v>
      </c>
      <c r="I15" s="2738">
        <v>875</v>
      </c>
      <c r="J15" s="2738">
        <v>3125</v>
      </c>
      <c r="K15" s="2738">
        <f>SUM(C15:J15)</f>
        <v>2663429.4900000002</v>
      </c>
      <c r="L15" s="2469">
        <f ca="1">$L$17*K15/$K$17</f>
        <v>-6.4649025762860638E-4</v>
      </c>
      <c r="N15" s="2469">
        <v>-606996.61737111723</v>
      </c>
      <c r="O15" s="587">
        <f t="shared" si="0"/>
        <v>1765677.2326288829</v>
      </c>
    </row>
    <row r="16" spans="1:15" ht="24.6" customHeight="1" thickBot="1" x14ac:dyDescent="0.35">
      <c r="A16" s="83"/>
      <c r="B16" s="2739" t="s">
        <v>531</v>
      </c>
      <c r="C16" s="2738">
        <v>22573</v>
      </c>
      <c r="D16" s="2738">
        <v>100</v>
      </c>
      <c r="E16" s="2738">
        <v>95514.094942203927</v>
      </c>
      <c r="F16" s="2738">
        <v>0</v>
      </c>
      <c r="G16" s="2738">
        <v>0</v>
      </c>
      <c r="H16" s="2738">
        <v>0</v>
      </c>
      <c r="I16" s="2738">
        <v>0</v>
      </c>
      <c r="J16" s="2738">
        <v>0</v>
      </c>
      <c r="K16" s="2738">
        <f>SUM(C16:J16)</f>
        <v>118187.09494220393</v>
      </c>
      <c r="L16" s="2469">
        <f ca="1">$L$17*K16/$K$17</f>
        <v>-2.8687376836682086E-5</v>
      </c>
      <c r="N16" s="2469">
        <v>-31503.075787867674</v>
      </c>
      <c r="O16" s="587">
        <f>+N16+E16</f>
        <v>64011.019154336253</v>
      </c>
    </row>
    <row r="17" spans="1:18" ht="24.6" customHeight="1" thickBot="1" x14ac:dyDescent="0.35">
      <c r="A17" s="84"/>
      <c r="B17" s="2740" t="s">
        <v>743</v>
      </c>
      <c r="C17" s="2741">
        <f t="shared" ref="C17:J17" si="1">SUM(C12:C16)</f>
        <v>646956</v>
      </c>
      <c r="D17" s="2741">
        <f t="shared" si="1"/>
        <v>2500</v>
      </c>
      <c r="E17" s="2741">
        <f t="shared" si="1"/>
        <v>335699.12494220387</v>
      </c>
      <c r="F17" s="2741">
        <f>SUM(F12:F16)</f>
        <v>63500</v>
      </c>
      <c r="G17" s="2741">
        <f t="shared" si="1"/>
        <v>5498184.8663220871</v>
      </c>
      <c r="H17" s="2741">
        <f t="shared" si="1"/>
        <v>163113.16999999998</v>
      </c>
      <c r="I17" s="2741">
        <f t="shared" si="1"/>
        <v>3900</v>
      </c>
      <c r="J17" s="2741">
        <f t="shared" si="1"/>
        <v>7600</v>
      </c>
      <c r="K17" s="2741">
        <f>SUM(K12:K16)</f>
        <v>6721453.161264291</v>
      </c>
      <c r="L17" s="2469">
        <f ca="1">$K$53*K17/($K$17+$K$23)</f>
        <v>-1.6314882756157973E-3</v>
      </c>
      <c r="N17" s="2469">
        <v>-1791620.7209021505</v>
      </c>
      <c r="O17" s="587">
        <f t="shared" si="0"/>
        <v>3706564.1454199366</v>
      </c>
    </row>
    <row r="18" spans="1:18" ht="24.6" customHeight="1" thickBot="1" x14ac:dyDescent="0.35">
      <c r="A18" s="84"/>
      <c r="B18" s="2949" t="s">
        <v>6</v>
      </c>
      <c r="C18" s="2950"/>
      <c r="D18" s="2950"/>
      <c r="E18" s="2950"/>
      <c r="F18" s="2950"/>
      <c r="G18" s="2950"/>
      <c r="H18" s="2950"/>
      <c r="I18" s="2950"/>
      <c r="J18" s="2950"/>
      <c r="K18" s="2950"/>
      <c r="N18" s="2469"/>
      <c r="O18" s="587">
        <f t="shared" si="0"/>
        <v>0</v>
      </c>
    </row>
    <row r="19" spans="1:18" ht="24.6" customHeight="1" thickBot="1" x14ac:dyDescent="0.35">
      <c r="A19" s="83"/>
      <c r="B19" s="2737" t="s">
        <v>285</v>
      </c>
      <c r="C19" s="2738">
        <v>103060</v>
      </c>
      <c r="D19" s="2738">
        <v>1000</v>
      </c>
      <c r="E19" s="2738">
        <f>12000+1999.86-3000</f>
        <v>10999.86</v>
      </c>
      <c r="F19" s="2738">
        <v>3000</v>
      </c>
      <c r="G19" s="2738">
        <f>-13500+1109385.2369574-45000</f>
        <v>1050885.2369574001</v>
      </c>
      <c r="H19" s="2738">
        <f>23600+2071892-2088692+17135.57</f>
        <v>23935.57</v>
      </c>
      <c r="I19" s="2738">
        <v>1200</v>
      </c>
      <c r="J19" s="2738">
        <v>6800</v>
      </c>
      <c r="K19" s="2738">
        <f>SUM(C19:J19)</f>
        <v>1200880.6669574003</v>
      </c>
      <c r="L19" s="2469">
        <f ca="1">$L$23*K19/$K$23</f>
        <v>-2.9148796867999781E-4</v>
      </c>
      <c r="N19" s="2469">
        <v>-23720.820026779205</v>
      </c>
      <c r="O19" s="587">
        <f t="shared" si="0"/>
        <v>1027164.4169306209</v>
      </c>
      <c r="Q19" s="2836">
        <f>+'SCG Table C 2023'!G19/'SCG Table C 2023'!$G$23</f>
        <v>0.51578015584092896</v>
      </c>
      <c r="R19" s="2836">
        <f>+Q19*$G$23</f>
        <v>1079522.4209283225</v>
      </c>
    </row>
    <row r="20" spans="1:18" ht="24.6" customHeight="1" thickBot="1" x14ac:dyDescent="0.35">
      <c r="A20" s="83"/>
      <c r="B20" s="2737" t="s">
        <v>275</v>
      </c>
      <c r="C20" s="2738">
        <v>103060</v>
      </c>
      <c r="D20" s="2738">
        <v>700</v>
      </c>
      <c r="E20" s="2738">
        <f>12000+1316.13-0.87-4000</f>
        <v>9315.26</v>
      </c>
      <c r="F20" s="2738">
        <v>4000</v>
      </c>
      <c r="G20" s="2738">
        <f>-11000+686597.826356141</f>
        <v>675597.82635614101</v>
      </c>
      <c r="H20" s="2738">
        <f>10500+1048767-1044453+11258.53</f>
        <v>26072.53</v>
      </c>
      <c r="I20" s="2738">
        <v>200</v>
      </c>
      <c r="J20" s="2738">
        <v>4000</v>
      </c>
      <c r="K20" s="2738">
        <f>SUM(C20:J20)</f>
        <v>822945.61635614105</v>
      </c>
      <c r="L20" s="2469">
        <f ca="1">$L$23*K20/$K$23</f>
        <v>-1.9975235895297304E-4</v>
      </c>
      <c r="N20" s="2469">
        <v>-15707.620735116896</v>
      </c>
      <c r="O20" s="587">
        <f t="shared" si="0"/>
        <v>659890.20562102413</v>
      </c>
      <c r="Q20" s="2836">
        <f>+'SCG Table C 2023'!G20/'SCG Table C 2023'!$G$23</f>
        <v>0.32313957944070354</v>
      </c>
      <c r="R20" s="2836">
        <f t="shared" ref="R20:R23" si="2">+Q20*$G$23</f>
        <v>676327.72828734503</v>
      </c>
    </row>
    <row r="21" spans="1:18" ht="24.6" customHeight="1" thickBot="1" x14ac:dyDescent="0.35">
      <c r="A21" s="83"/>
      <c r="B21" s="2737" t="s">
        <v>744</v>
      </c>
      <c r="C21" s="2738">
        <v>58688</v>
      </c>
      <c r="D21" s="2738">
        <v>500</v>
      </c>
      <c r="E21" s="2738">
        <f>12000+334.54-1000+94500</f>
        <v>105834.54000000001</v>
      </c>
      <c r="F21" s="2738">
        <v>1000</v>
      </c>
      <c r="G21" s="2738">
        <f>-3638.66+195145.039384709</f>
        <v>191506.379384709</v>
      </c>
      <c r="H21" s="2738">
        <f>5000+5029.44</f>
        <v>10029.439999999999</v>
      </c>
      <c r="I21" s="2738">
        <v>100</v>
      </c>
      <c r="J21" s="2738">
        <v>1900</v>
      </c>
      <c r="K21" s="2738">
        <f>SUM(C21:J21)</f>
        <v>369558.35938470898</v>
      </c>
      <c r="L21" s="2469">
        <f ca="1">$L$23*K21/$K$23</f>
        <v>-8.9702347993235467E-5</v>
      </c>
      <c r="N21" s="2469">
        <v>-7029.2799973993342</v>
      </c>
      <c r="O21" s="587">
        <f t="shared" si="0"/>
        <v>184477.09938730966</v>
      </c>
      <c r="Q21" s="2836">
        <f>+'SCG Table C 2023'!G21/'SCG Table C 2023'!$G$23</f>
        <v>0.10612632428212139</v>
      </c>
      <c r="R21" s="2836">
        <f t="shared" si="2"/>
        <v>222121.27631485101</v>
      </c>
    </row>
    <row r="22" spans="1:18" ht="24.6" customHeight="1" thickBot="1" x14ac:dyDescent="0.35">
      <c r="A22" s="84"/>
      <c r="B22" s="2739" t="s">
        <v>245</v>
      </c>
      <c r="C22" s="2738">
        <v>90770</v>
      </c>
      <c r="D22" s="2738">
        <v>200</v>
      </c>
      <c r="E22" s="2738">
        <f>5000+355.23-2500+36000</f>
        <v>38855.229999999996</v>
      </c>
      <c r="F22" s="2738">
        <v>2500</v>
      </c>
      <c r="G22" s="2738">
        <v>175000</v>
      </c>
      <c r="H22" s="2738">
        <f>2500+2471.14</f>
        <v>4971.1399999999994</v>
      </c>
      <c r="I22" s="2738">
        <v>100</v>
      </c>
      <c r="J22" s="2738">
        <v>1900</v>
      </c>
      <c r="K22" s="2738">
        <f>SUM(C22:J22)</f>
        <v>314296.37</v>
      </c>
      <c r="L22" s="2469">
        <f ca="1">$L$23*K22/$K$23</f>
        <v>-7.6288687940087273E-5</v>
      </c>
      <c r="N22" s="2469">
        <v>-4542.2792407045608</v>
      </c>
      <c r="O22" s="587">
        <f t="shared" si="0"/>
        <v>170457.72075929545</v>
      </c>
      <c r="Q22" s="2836">
        <f>+'SCG Table C 2023'!G22/'SCG Table C 2023'!$G$23</f>
        <v>5.4953940436246074E-2</v>
      </c>
      <c r="R22" s="2836">
        <f t="shared" si="2"/>
        <v>115018.01716773149</v>
      </c>
    </row>
    <row r="23" spans="1:18" ht="24.6" customHeight="1" thickBot="1" x14ac:dyDescent="0.35">
      <c r="A23" s="84"/>
      <c r="B23" s="2740" t="s">
        <v>745</v>
      </c>
      <c r="C23" s="2741">
        <f>SUM(C19:C22)</f>
        <v>355578</v>
      </c>
      <c r="D23" s="2741">
        <f t="shared" ref="D23:K23" si="3">SUM(D19:D22)</f>
        <v>2400</v>
      </c>
      <c r="E23" s="2741">
        <f t="shared" si="3"/>
        <v>165004.89000000001</v>
      </c>
      <c r="F23" s="2741">
        <f t="shared" si="3"/>
        <v>10500</v>
      </c>
      <c r="G23" s="2741">
        <f t="shared" si="3"/>
        <v>2092989.4426982501</v>
      </c>
      <c r="H23" s="2741">
        <f t="shared" si="3"/>
        <v>65008.679999999993</v>
      </c>
      <c r="I23" s="2741">
        <f t="shared" si="3"/>
        <v>1600</v>
      </c>
      <c r="J23" s="2741">
        <f t="shared" si="3"/>
        <v>14600</v>
      </c>
      <c r="K23" s="2741">
        <f t="shared" si="3"/>
        <v>2707681.0126982504</v>
      </c>
      <c r="L23" s="2469">
        <f ca="1">$K$53*K23/($K$17+$K$23)</f>
        <v>-6.5723136356629359E-4</v>
      </c>
      <c r="N23" s="2469">
        <v>-721739.37623430591</v>
      </c>
      <c r="O23" s="587">
        <f t="shared" si="0"/>
        <v>1371250.066463944</v>
      </c>
      <c r="Q23" s="2836">
        <f>+'SCG Table C 2023'!G23/'SCG Table C 2023'!$G$23</f>
        <v>1</v>
      </c>
      <c r="R23" s="2836">
        <f t="shared" si="2"/>
        <v>2092989.4426982501</v>
      </c>
    </row>
    <row r="24" spans="1:18" ht="21" thickBot="1" x14ac:dyDescent="0.35">
      <c r="A24" s="84"/>
      <c r="B24" s="2947" t="s">
        <v>737</v>
      </c>
      <c r="C24" s="2948"/>
      <c r="D24" s="2948"/>
      <c r="E24" s="2948"/>
      <c r="F24" s="2948"/>
      <c r="G24" s="2948"/>
      <c r="H24" s="2948"/>
      <c r="I24" s="2948"/>
      <c r="J24" s="2948"/>
      <c r="K24" s="2948"/>
      <c r="L24" s="2469">
        <f ca="1">+L23+L17</f>
        <v>-2.2887196391820908E-3</v>
      </c>
      <c r="M24" s="2469"/>
      <c r="N24" s="2469"/>
    </row>
    <row r="25" spans="1:18" ht="21" thickBot="1" x14ac:dyDescent="0.35">
      <c r="A25" s="84"/>
      <c r="B25" s="2737" t="s">
        <v>739</v>
      </c>
      <c r="C25" s="2738">
        <v>42884</v>
      </c>
      <c r="D25" s="2738">
        <v>0</v>
      </c>
      <c r="E25" s="2738">
        <v>71155</v>
      </c>
      <c r="F25" s="2738">
        <v>0</v>
      </c>
      <c r="G25" s="2738">
        <v>84312.5</v>
      </c>
      <c r="H25" s="2738">
        <v>0</v>
      </c>
      <c r="I25" s="2738">
        <v>0</v>
      </c>
      <c r="J25" s="2738">
        <v>0</v>
      </c>
      <c r="K25" s="2738">
        <f>SUM(C25:J25)</f>
        <v>198351.5</v>
      </c>
      <c r="M25" s="2469"/>
      <c r="N25" s="2469"/>
      <c r="O25" s="2469"/>
    </row>
    <row r="26" spans="1:18" ht="21" thickBot="1" x14ac:dyDescent="0.35">
      <c r="A26" s="84"/>
      <c r="B26" s="2739" t="s">
        <v>738</v>
      </c>
      <c r="C26" s="2738">
        <v>42884</v>
      </c>
      <c r="D26" s="2738">
        <v>0</v>
      </c>
      <c r="E26" s="2738">
        <f>102792/2+102792/2</f>
        <v>102792</v>
      </c>
      <c r="F26" s="2738">
        <v>0</v>
      </c>
      <c r="G26" s="2738">
        <f>12500+50000/2</f>
        <v>37500</v>
      </c>
      <c r="H26" s="2738">
        <v>0</v>
      </c>
      <c r="I26" s="2738">
        <v>0</v>
      </c>
      <c r="J26" s="2738">
        <v>0</v>
      </c>
      <c r="K26" s="2738">
        <f>SUM(C26:J26)</f>
        <v>183176</v>
      </c>
      <c r="M26" s="2469"/>
      <c r="N26" s="2469"/>
      <c r="O26" s="2469"/>
    </row>
    <row r="27" spans="1:18" ht="21" thickBot="1" x14ac:dyDescent="0.35">
      <c r="A27" s="84"/>
      <c r="B27" s="2740" t="s">
        <v>758</v>
      </c>
      <c r="C27" s="2741">
        <f t="shared" ref="C27:K27" si="4">SUM(C25:C26)</f>
        <v>85768</v>
      </c>
      <c r="D27" s="2741">
        <f t="shared" si="4"/>
        <v>0</v>
      </c>
      <c r="E27" s="2741">
        <f t="shared" si="4"/>
        <v>173947</v>
      </c>
      <c r="F27" s="2741">
        <f t="shared" si="4"/>
        <v>0</v>
      </c>
      <c r="G27" s="2741">
        <f t="shared" si="4"/>
        <v>121812.5</v>
      </c>
      <c r="H27" s="2741">
        <f t="shared" si="4"/>
        <v>0</v>
      </c>
      <c r="I27" s="2741">
        <f t="shared" si="4"/>
        <v>0</v>
      </c>
      <c r="J27" s="2741">
        <f t="shared" si="4"/>
        <v>0</v>
      </c>
      <c r="K27" s="2741">
        <f t="shared" si="4"/>
        <v>381527.5</v>
      </c>
      <c r="M27" s="2469"/>
      <c r="N27" s="2469"/>
      <c r="O27" s="2469"/>
    </row>
    <row r="28" spans="1:18" s="9" customFormat="1" ht="16.5" customHeight="1" thickBot="1" x14ac:dyDescent="0.3">
      <c r="A28" s="1145"/>
      <c r="B28" s="2947" t="s">
        <v>746</v>
      </c>
      <c r="C28" s="2948"/>
      <c r="D28" s="2948"/>
      <c r="E28" s="2948"/>
      <c r="F28" s="2948"/>
      <c r="G28" s="2948"/>
      <c r="H28" s="2948"/>
      <c r="I28" s="2948"/>
      <c r="J28" s="2948"/>
      <c r="K28" s="2948"/>
      <c r="L28" s="2596"/>
    </row>
    <row r="29" spans="1:18" s="9" customFormat="1" ht="16.5" customHeight="1" thickBot="1" x14ac:dyDescent="0.3">
      <c r="A29" s="1150"/>
      <c r="B29" s="2737" t="s">
        <v>763</v>
      </c>
      <c r="C29" s="2738">
        <v>10329</v>
      </c>
      <c r="D29" s="2738">
        <v>363.01291648920721</v>
      </c>
      <c r="E29" s="2738">
        <f>76667-77605+54121.5504624295</f>
        <v>53183.550462429499</v>
      </c>
      <c r="F29" s="2738">
        <v>0</v>
      </c>
      <c r="G29" s="2738">
        <v>0</v>
      </c>
      <c r="H29" s="2738">
        <v>1814.7484963955119</v>
      </c>
      <c r="I29" s="2738">
        <v>8443.7430039617593</v>
      </c>
      <c r="J29" s="2738">
        <v>2533.122901188528</v>
      </c>
      <c r="K29" s="2738">
        <f>SUM(C29:J29)</f>
        <v>76667.17778046451</v>
      </c>
      <c r="L29" s="2596"/>
      <c r="M29" s="2597"/>
      <c r="N29" s="9">
        <v>76666.67</v>
      </c>
    </row>
    <row r="30" spans="1:18" s="9" customFormat="1" ht="16.5" customHeight="1" thickBot="1" x14ac:dyDescent="0.3">
      <c r="A30" s="1150"/>
      <c r="B30" s="2737" t="s">
        <v>764</v>
      </c>
      <c r="C30" s="2738">
        <v>0</v>
      </c>
      <c r="D30" s="2738">
        <v>0</v>
      </c>
      <c r="E30" s="2738">
        <v>82666.66</v>
      </c>
      <c r="F30" s="2738">
        <v>0</v>
      </c>
      <c r="G30" s="2738">
        <v>0</v>
      </c>
      <c r="H30" s="2738">
        <v>0</v>
      </c>
      <c r="I30" s="2738">
        <v>0</v>
      </c>
      <c r="J30" s="2738">
        <v>0</v>
      </c>
      <c r="K30" s="2738">
        <f>SUM(C30:J30)</f>
        <v>82666.66</v>
      </c>
      <c r="L30" s="2596"/>
      <c r="N30" s="9">
        <v>82666.66</v>
      </c>
    </row>
    <row r="31" spans="1:18" s="9" customFormat="1" ht="16.5" customHeight="1" thickBot="1" x14ac:dyDescent="0.3">
      <c r="A31" s="1150"/>
      <c r="B31" s="2739" t="s">
        <v>765</v>
      </c>
      <c r="C31" s="2738">
        <v>11195</v>
      </c>
      <c r="D31" s="2738">
        <v>389.77583742602167</v>
      </c>
      <c r="E31" s="2738">
        <f>-2531+63667.6710455326</f>
        <v>61136.671045532603</v>
      </c>
      <c r="F31" s="2738">
        <v>0</v>
      </c>
      <c r="G31" s="2738">
        <v>0</v>
      </c>
      <c r="H31" s="2738">
        <v>4195.8158694433623</v>
      </c>
      <c r="I31" s="2738">
        <v>2371.0979049099333</v>
      </c>
      <c r="J31" s="2738">
        <v>711.6504409252359</v>
      </c>
      <c r="K31" s="2738">
        <f>SUM(C31:J31)</f>
        <v>80000.011098237155</v>
      </c>
      <c r="L31" s="2596"/>
      <c r="N31" s="9">
        <v>79999.989999999991</v>
      </c>
    </row>
    <row r="32" spans="1:18" s="9" customFormat="1" ht="16.5" customHeight="1" thickBot="1" x14ac:dyDescent="0.3">
      <c r="A32" s="1150"/>
      <c r="B32" s="2739" t="s">
        <v>766</v>
      </c>
      <c r="C32" s="2738">
        <v>3561</v>
      </c>
      <c r="D32" s="2738">
        <v>139.28580994904527</v>
      </c>
      <c r="E32" s="2738">
        <f>-574+43414.3155318101</f>
        <v>42840.315531810098</v>
      </c>
      <c r="F32" s="2738">
        <v>0</v>
      </c>
      <c r="G32" s="2738">
        <v>0</v>
      </c>
      <c r="H32" s="2738">
        <v>321.4287921901045</v>
      </c>
      <c r="I32" s="2738">
        <v>2413.8066028891503</v>
      </c>
      <c r="J32" s="2738">
        <v>723.8844257447978</v>
      </c>
      <c r="K32" s="2738">
        <f>SUM(C32:J32)</f>
        <v>49999.721162583199</v>
      </c>
      <c r="L32" s="2596"/>
      <c r="N32" s="9">
        <v>49999.999999999993</v>
      </c>
    </row>
    <row r="33" spans="1:12" s="9" customFormat="1" ht="16.5" customHeight="1" thickBot="1" x14ac:dyDescent="0.3">
      <c r="A33" s="1150"/>
      <c r="B33" s="2740" t="s">
        <v>747</v>
      </c>
      <c r="C33" s="2741">
        <f t="shared" ref="C33:K33" si="5">SUM(C29:C32)</f>
        <v>25085</v>
      </c>
      <c r="D33" s="2741">
        <f t="shared" si="5"/>
        <v>892.07456386427418</v>
      </c>
      <c r="E33" s="2741">
        <f t="shared" si="5"/>
        <v>239827.1970397722</v>
      </c>
      <c r="F33" s="2741">
        <f t="shared" si="5"/>
        <v>0</v>
      </c>
      <c r="G33" s="2741">
        <f t="shared" si="5"/>
        <v>0</v>
      </c>
      <c r="H33" s="2741">
        <f t="shared" si="5"/>
        <v>6331.9931580289785</v>
      </c>
      <c r="I33" s="2741">
        <f t="shared" si="5"/>
        <v>13228.647511760842</v>
      </c>
      <c r="J33" s="2741">
        <f t="shared" si="5"/>
        <v>3968.6577678585613</v>
      </c>
      <c r="K33" s="2741">
        <f t="shared" si="5"/>
        <v>289333.57004128484</v>
      </c>
      <c r="L33" s="2596"/>
    </row>
    <row r="34" spans="1:12" s="1164" customFormat="1" ht="16.5" customHeight="1" thickBot="1" x14ac:dyDescent="0.3">
      <c r="A34" s="1150"/>
      <c r="B34" s="2947" t="s">
        <v>108</v>
      </c>
      <c r="C34" s="2948"/>
      <c r="D34" s="2948"/>
      <c r="E34" s="2948"/>
      <c r="F34" s="2948"/>
      <c r="G34" s="2948"/>
      <c r="H34" s="2948"/>
      <c r="I34" s="2948"/>
      <c r="J34" s="2948"/>
      <c r="K34" s="2948"/>
      <c r="L34" s="2646"/>
    </row>
    <row r="35" spans="1:12" s="9" customFormat="1" ht="16.5" customHeight="1" thickBot="1" x14ac:dyDescent="0.3">
      <c r="A35" s="1150"/>
      <c r="B35" s="2737" t="s">
        <v>605</v>
      </c>
      <c r="C35" s="2738">
        <v>0</v>
      </c>
      <c r="D35" s="2738">
        <v>0</v>
      </c>
      <c r="E35" s="2738">
        <v>0</v>
      </c>
      <c r="F35" s="2738">
        <v>0</v>
      </c>
      <c r="G35" s="2738">
        <v>0</v>
      </c>
      <c r="H35" s="2738">
        <v>0</v>
      </c>
      <c r="I35" s="2738">
        <f>186292-100000</f>
        <v>86292</v>
      </c>
      <c r="J35" s="2738">
        <v>0</v>
      </c>
      <c r="K35" s="2738">
        <f>SUM(C35:J35)</f>
        <v>86292</v>
      </c>
      <c r="L35" s="2596"/>
    </row>
    <row r="36" spans="1:12" s="9" customFormat="1" ht="16.5" customHeight="1" thickBot="1" x14ac:dyDescent="0.3">
      <c r="A36" s="1150"/>
      <c r="B36" s="2739" t="s">
        <v>606</v>
      </c>
      <c r="C36" s="2738">
        <v>0</v>
      </c>
      <c r="D36" s="2738">
        <v>0</v>
      </c>
      <c r="E36" s="2738">
        <v>0</v>
      </c>
      <c r="F36" s="2738">
        <v>0</v>
      </c>
      <c r="G36" s="2738">
        <v>0</v>
      </c>
      <c r="H36" s="2738">
        <v>0</v>
      </c>
      <c r="I36" s="2738">
        <v>75000</v>
      </c>
      <c r="J36" s="2738">
        <v>0</v>
      </c>
      <c r="K36" s="2738">
        <f>SUM(C36:J36)</f>
        <v>75000</v>
      </c>
      <c r="L36" s="2596"/>
    </row>
    <row r="37" spans="1:12" s="9" customFormat="1" ht="16.5" customHeight="1" thickBot="1" x14ac:dyDescent="0.3">
      <c r="A37" s="1150"/>
      <c r="B37" s="2739" t="s">
        <v>748</v>
      </c>
      <c r="C37" s="2738">
        <v>0</v>
      </c>
      <c r="D37" s="2738">
        <v>0</v>
      </c>
      <c r="E37" s="2738">
        <v>50000</v>
      </c>
      <c r="F37" s="2738">
        <v>0</v>
      </c>
      <c r="G37" s="2738">
        <v>0</v>
      </c>
      <c r="H37" s="2738">
        <v>0</v>
      </c>
      <c r="I37" s="2738">
        <v>0</v>
      </c>
      <c r="J37" s="2738">
        <v>0</v>
      </c>
      <c r="K37" s="2738">
        <f>SUM(C37:J37)</f>
        <v>50000</v>
      </c>
      <c r="L37" s="2596"/>
    </row>
    <row r="38" spans="1:12" s="1164" customFormat="1" ht="16.5" customHeight="1" thickBot="1" x14ac:dyDescent="0.3">
      <c r="A38" s="1150"/>
      <c r="B38" s="2740" t="s">
        <v>749</v>
      </c>
      <c r="C38" s="2741">
        <f t="shared" ref="C38:K38" si="6">SUM(C35:C37)</f>
        <v>0</v>
      </c>
      <c r="D38" s="2741">
        <f t="shared" si="6"/>
        <v>0</v>
      </c>
      <c r="E38" s="2741">
        <f t="shared" si="6"/>
        <v>50000</v>
      </c>
      <c r="F38" s="2741">
        <f t="shared" si="6"/>
        <v>0</v>
      </c>
      <c r="G38" s="2741">
        <f t="shared" si="6"/>
        <v>0</v>
      </c>
      <c r="H38" s="2741">
        <f t="shared" si="6"/>
        <v>0</v>
      </c>
      <c r="I38" s="2741">
        <f>SUM(I35:I37)</f>
        <v>161292</v>
      </c>
      <c r="J38" s="2741">
        <f t="shared" si="6"/>
        <v>0</v>
      </c>
      <c r="K38" s="2741">
        <f t="shared" si="6"/>
        <v>211292</v>
      </c>
      <c r="L38" s="2646"/>
    </row>
    <row r="39" spans="1:12" s="9" customFormat="1" ht="16.5" customHeight="1" thickBot="1" x14ac:dyDescent="0.3">
      <c r="A39" s="1150"/>
      <c r="B39" s="2947" t="s">
        <v>401</v>
      </c>
      <c r="C39" s="2948"/>
      <c r="D39" s="2948"/>
      <c r="E39" s="2948"/>
      <c r="F39" s="2948"/>
      <c r="G39" s="2948"/>
      <c r="H39" s="2948"/>
      <c r="I39" s="2948"/>
      <c r="J39" s="2948"/>
      <c r="K39" s="2948"/>
      <c r="L39" s="2596"/>
    </row>
    <row r="40" spans="1:12" s="9" customFormat="1" ht="16.5" customHeight="1" thickBot="1" x14ac:dyDescent="0.3">
      <c r="A40" s="1150"/>
      <c r="B40" s="2739" t="s">
        <v>330</v>
      </c>
      <c r="C40" s="2738">
        <v>178623</v>
      </c>
      <c r="D40" s="2738">
        <v>0</v>
      </c>
      <c r="E40" s="2738">
        <f>20675-11292+1</f>
        <v>9384</v>
      </c>
      <c r="F40" s="2738">
        <v>0</v>
      </c>
      <c r="G40" s="2738">
        <v>0</v>
      </c>
      <c r="H40" s="2738">
        <v>0</v>
      </c>
      <c r="I40" s="2738">
        <v>0</v>
      </c>
      <c r="J40" s="2738">
        <v>0</v>
      </c>
      <c r="K40" s="2738">
        <f>SUM(C40:J40)</f>
        <v>188007</v>
      </c>
      <c r="L40" s="2596"/>
    </row>
    <row r="41" spans="1:12" s="9" customFormat="1" ht="16.5" customHeight="1" thickBot="1" x14ac:dyDescent="0.3">
      <c r="A41" s="1150"/>
      <c r="B41" s="2739" t="s">
        <v>750</v>
      </c>
      <c r="C41" s="2738">
        <v>0</v>
      </c>
      <c r="D41" s="2738">
        <v>0</v>
      </c>
      <c r="E41" s="2738">
        <v>0</v>
      </c>
      <c r="F41" s="2738">
        <v>0</v>
      </c>
      <c r="G41" s="2738">
        <v>0</v>
      </c>
      <c r="H41" s="2738">
        <v>40100</v>
      </c>
      <c r="I41" s="2738">
        <v>0</v>
      </c>
      <c r="J41" s="2738">
        <v>0</v>
      </c>
      <c r="K41" s="2738">
        <f t="shared" ref="K41:K48" si="7">SUM(C41:J41)</f>
        <v>40100</v>
      </c>
      <c r="L41" s="2596"/>
    </row>
    <row r="42" spans="1:12" s="9" customFormat="1" ht="16.5" customHeight="1" thickBot="1" x14ac:dyDescent="0.3">
      <c r="A42" s="1150"/>
      <c r="B42" s="2739" t="s">
        <v>281</v>
      </c>
      <c r="C42" s="2738">
        <v>63502</v>
      </c>
      <c r="D42" s="2738">
        <v>0</v>
      </c>
      <c r="E42" s="2738">
        <v>0</v>
      </c>
      <c r="F42" s="2738">
        <v>0</v>
      </c>
      <c r="G42" s="2738">
        <v>0</v>
      </c>
      <c r="H42" s="2738">
        <v>0</v>
      </c>
      <c r="I42" s="2738">
        <v>0</v>
      </c>
      <c r="J42" s="2738">
        <v>0</v>
      </c>
      <c r="K42" s="2738">
        <f>SUM(C42:J42)</f>
        <v>63502</v>
      </c>
      <c r="L42" s="2596"/>
    </row>
    <row r="43" spans="1:12" s="1159" customFormat="1" ht="16.5" customHeight="1" thickBot="1" x14ac:dyDescent="0.3">
      <c r="A43" s="1145"/>
      <c r="B43" s="2739" t="s">
        <v>751</v>
      </c>
      <c r="C43" s="2738">
        <v>0</v>
      </c>
      <c r="D43" s="2738">
        <v>0</v>
      </c>
      <c r="E43" s="2738">
        <v>300000</v>
      </c>
      <c r="F43" s="2738">
        <v>0</v>
      </c>
      <c r="G43" s="2738">
        <v>0</v>
      </c>
      <c r="H43" s="2738">
        <v>0</v>
      </c>
      <c r="I43" s="2738">
        <v>0</v>
      </c>
      <c r="J43" s="2738">
        <v>0</v>
      </c>
      <c r="K43" s="2738">
        <f>SUM(C43:J43)</f>
        <v>300000</v>
      </c>
      <c r="L43" s="2596"/>
    </row>
    <row r="44" spans="1:12" s="9" customFormat="1" ht="16.5" customHeight="1" thickBot="1" x14ac:dyDescent="0.3">
      <c r="A44" s="1145"/>
      <c r="B44" s="2739" t="s">
        <v>752</v>
      </c>
      <c r="C44" s="2738">
        <v>0</v>
      </c>
      <c r="D44" s="2738">
        <v>0</v>
      </c>
      <c r="E44" s="2738">
        <v>29607</v>
      </c>
      <c r="F44" s="2738">
        <v>0</v>
      </c>
      <c r="G44" s="2738">
        <v>0</v>
      </c>
      <c r="H44" s="2738">
        <v>0</v>
      </c>
      <c r="I44" s="2738">
        <v>0</v>
      </c>
      <c r="J44" s="2738">
        <v>0</v>
      </c>
      <c r="K44" s="2738">
        <f>SUM(C44:J44)</f>
        <v>29607</v>
      </c>
      <c r="L44" s="2596"/>
    </row>
    <row r="45" spans="1:12" s="9" customFormat="1" ht="16.5" customHeight="1" thickBot="1" x14ac:dyDescent="0.3">
      <c r="A45" s="1150"/>
      <c r="B45" s="2739" t="s">
        <v>273</v>
      </c>
      <c r="C45" s="2738">
        <v>122151</v>
      </c>
      <c r="D45" s="2738">
        <v>0</v>
      </c>
      <c r="E45" s="2738">
        <f>120000+1357680-1390358+400000</f>
        <v>487322</v>
      </c>
      <c r="F45" s="2738">
        <v>0</v>
      </c>
      <c r="G45" s="2738">
        <v>0</v>
      </c>
      <c r="H45" s="2738">
        <v>0</v>
      </c>
      <c r="I45" s="2738">
        <v>0</v>
      </c>
      <c r="J45" s="2738">
        <v>0</v>
      </c>
      <c r="K45" s="2738">
        <f t="shared" si="7"/>
        <v>609473</v>
      </c>
      <c r="L45" s="2596"/>
    </row>
    <row r="46" spans="1:12" s="9" customFormat="1" ht="16.5" customHeight="1" thickBot="1" x14ac:dyDescent="0.3">
      <c r="A46" s="1145"/>
      <c r="B46" s="2739" t="s">
        <v>753</v>
      </c>
      <c r="C46" s="2738">
        <v>0</v>
      </c>
      <c r="D46" s="2738">
        <v>0</v>
      </c>
      <c r="E46" s="2738">
        <v>53333</v>
      </c>
      <c r="F46" s="2738">
        <v>0</v>
      </c>
      <c r="G46" s="2738">
        <v>0</v>
      </c>
      <c r="H46" s="2738">
        <v>0</v>
      </c>
      <c r="I46" s="2738">
        <v>0</v>
      </c>
      <c r="J46" s="2738">
        <v>0</v>
      </c>
      <c r="K46" s="2738">
        <f t="shared" si="7"/>
        <v>53333</v>
      </c>
      <c r="L46" s="2596"/>
    </row>
    <row r="47" spans="1:12" s="9" customFormat="1" ht="16.5" customHeight="1" thickBot="1" x14ac:dyDescent="0.3">
      <c r="A47" s="1145"/>
      <c r="B47" s="2739" t="s">
        <v>754</v>
      </c>
      <c r="C47" s="2738">
        <v>0</v>
      </c>
      <c r="D47" s="2738">
        <v>0</v>
      </c>
      <c r="E47" s="2738">
        <v>10000</v>
      </c>
      <c r="F47" s="2738">
        <v>0</v>
      </c>
      <c r="G47" s="2738">
        <v>0</v>
      </c>
      <c r="H47" s="2738">
        <v>0</v>
      </c>
      <c r="I47" s="2738">
        <v>0</v>
      </c>
      <c r="J47" s="2738">
        <v>0</v>
      </c>
      <c r="K47" s="2738">
        <f>SUM(C47:J47)</f>
        <v>10000</v>
      </c>
      <c r="L47" s="2596"/>
    </row>
    <row r="48" spans="1:12" s="9" customFormat="1" ht="16.5" customHeight="1" thickBot="1" x14ac:dyDescent="0.3">
      <c r="A48" s="1145"/>
      <c r="B48" s="2739" t="s">
        <v>755</v>
      </c>
      <c r="C48" s="2738">
        <v>0</v>
      </c>
      <c r="D48" s="2738">
        <v>0</v>
      </c>
      <c r="E48" s="2738">
        <v>0</v>
      </c>
      <c r="F48" s="2738">
        <v>0</v>
      </c>
      <c r="G48" s="2738">
        <v>0</v>
      </c>
      <c r="H48" s="2738">
        <v>0</v>
      </c>
      <c r="I48" s="2738">
        <f ca="1">'SCG Table A2'!E25</f>
        <v>575618.46208575531</v>
      </c>
      <c r="J48" s="2738">
        <v>0</v>
      </c>
      <c r="K48" s="2738">
        <f t="shared" ca="1" si="7"/>
        <v>575618.46208575531</v>
      </c>
      <c r="L48" s="2596"/>
    </row>
    <row r="49" spans="1:12" s="9" customFormat="1" ht="16.5" customHeight="1" thickBot="1" x14ac:dyDescent="0.3">
      <c r="A49" s="1145"/>
      <c r="B49" s="2740" t="s">
        <v>756</v>
      </c>
      <c r="C49" s="2741">
        <f t="shared" ref="C49:K49" si="8">SUM(C40:C48)</f>
        <v>364276</v>
      </c>
      <c r="D49" s="2741">
        <f t="shared" si="8"/>
        <v>0</v>
      </c>
      <c r="E49" s="2741">
        <f t="shared" si="8"/>
        <v>889646</v>
      </c>
      <c r="F49" s="2741">
        <f>SUM(F40:F48)</f>
        <v>0</v>
      </c>
      <c r="G49" s="2741">
        <f t="shared" si="8"/>
        <v>0</v>
      </c>
      <c r="H49" s="2741">
        <f t="shared" si="8"/>
        <v>40100</v>
      </c>
      <c r="I49" s="2741">
        <f ca="1">SUM(I40:I48)</f>
        <v>575618.46208575531</v>
      </c>
      <c r="J49" s="2741">
        <f t="shared" si="8"/>
        <v>0</v>
      </c>
      <c r="K49" s="2741">
        <f t="shared" ca="1" si="8"/>
        <v>1869640.4620857553</v>
      </c>
      <c r="L49" s="2596"/>
    </row>
    <row r="50" spans="1:12" ht="19.5" customHeight="1" thickBot="1" x14ac:dyDescent="0.35">
      <c r="A50" s="83"/>
      <c r="B50" s="2742"/>
      <c r="C50" s="2743"/>
      <c r="D50" s="2743"/>
      <c r="E50" s="2743"/>
      <c r="F50" s="2743"/>
      <c r="G50" s="2743"/>
      <c r="H50" s="2743"/>
      <c r="I50" s="2743"/>
      <c r="J50" s="2743"/>
      <c r="K50" s="2744"/>
    </row>
    <row r="51" spans="1:12" ht="21" customHeight="1" thickBot="1" x14ac:dyDescent="0.35">
      <c r="A51" s="83"/>
      <c r="B51" s="2740" t="s">
        <v>58</v>
      </c>
      <c r="C51" s="2741">
        <f>+C17+C23+C27+C33+C38+C49</f>
        <v>1477663</v>
      </c>
      <c r="D51" s="2741">
        <f t="shared" ref="D51:K51" si="9">+D17+D23+D27+D33+D38+D49</f>
        <v>5792.0745638642738</v>
      </c>
      <c r="E51" s="2741">
        <f t="shared" si="9"/>
        <v>1854124.2119819759</v>
      </c>
      <c r="F51" s="2741">
        <f t="shared" si="9"/>
        <v>74000</v>
      </c>
      <c r="G51" s="2741">
        <f t="shared" si="9"/>
        <v>7712986.8090203367</v>
      </c>
      <c r="H51" s="2741">
        <f t="shared" si="9"/>
        <v>274553.84315802896</v>
      </c>
      <c r="I51" s="2741">
        <f t="shared" ca="1" si="9"/>
        <v>755639.10959751613</v>
      </c>
      <c r="J51" s="2741">
        <f t="shared" si="9"/>
        <v>26168.65776785856</v>
      </c>
      <c r="K51" s="2741">
        <f t="shared" ca="1" si="9"/>
        <v>12180927.70608958</v>
      </c>
    </row>
    <row r="52" spans="1:12" ht="15.75" x14ac:dyDescent="0.25">
      <c r="B52" s="144"/>
      <c r="K52" s="2501"/>
    </row>
    <row r="53" spans="1:12" ht="15.75" x14ac:dyDescent="0.25">
      <c r="B53" s="144"/>
      <c r="K53" s="2470">
        <f ca="1">'SCG Table A2'!E16-K51</f>
        <v>-2.2887196391820908E-3</v>
      </c>
    </row>
    <row r="56" spans="1:12" x14ac:dyDescent="0.2">
      <c r="F56" s="134"/>
    </row>
    <row r="57" spans="1:12" x14ac:dyDescent="0.2">
      <c r="F57" s="134"/>
    </row>
    <row r="58" spans="1:12" x14ac:dyDescent="0.2">
      <c r="F58" s="134"/>
    </row>
    <row r="59" spans="1:12" x14ac:dyDescent="0.2">
      <c r="F59" s="134"/>
    </row>
    <row r="60" spans="1:12" x14ac:dyDescent="0.2">
      <c r="F60" s="134"/>
    </row>
    <row r="61" spans="1:12" x14ac:dyDescent="0.2">
      <c r="F61" s="134"/>
    </row>
  </sheetData>
  <mergeCells count="8">
    <mergeCell ref="B28:K28"/>
    <mergeCell ref="B34:K34"/>
    <mergeCell ref="B39:K39"/>
    <mergeCell ref="B1:K1"/>
    <mergeCell ref="B2:K2"/>
    <mergeCell ref="B11:K11"/>
    <mergeCell ref="B18:K18"/>
    <mergeCell ref="B24:K24"/>
  </mergeCells>
  <printOptions horizontalCentered="1" verticalCentered="1"/>
  <pageMargins left="0.5" right="0.06" top="0.2" bottom="0.18" header="0.2" footer="0.25"/>
  <pageSetup scale="40" orientation="landscape" r:id="rId1"/>
  <headerFooter alignWithMargins="0">
    <oddFooter>&amp;C&amp;"Arial"&amp;11&amp;K000000&amp;14
Totals may vary due to rounding&amp;12
_x000D_&amp;1#&amp;"Calibri"&amp;12&amp;K008000Internal Use</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tabColor indexed="44"/>
    <pageSetUpPr fitToPage="1"/>
  </sheetPr>
  <dimension ref="A1:S63"/>
  <sheetViews>
    <sheetView zoomScale="85" zoomScaleNormal="85" workbookViewId="0">
      <pane ySplit="10" topLeftCell="A26" activePane="bottomLeft" state="frozen"/>
      <selection activeCell="C12" sqref="C12"/>
      <selection pane="bottomLeft" activeCell="C12" sqref="C12"/>
    </sheetView>
  </sheetViews>
  <sheetFormatPr defaultRowHeight="12.75" x14ac:dyDescent="0.2"/>
  <cols>
    <col min="1" max="1" width="7.140625" style="49" customWidth="1"/>
    <col min="2" max="2" width="60.28515625" style="49" customWidth="1"/>
    <col min="3" max="3" width="19.7109375" style="64" customWidth="1"/>
    <col min="4" max="4" width="17.85546875" style="63" customWidth="1"/>
    <col min="5" max="5" width="17.28515625" style="63" customWidth="1"/>
    <col min="6" max="6" width="20.42578125" style="63" customWidth="1"/>
    <col min="7" max="7" width="18.28515625" style="49" customWidth="1"/>
    <col min="8" max="9" width="19.140625" style="49" customWidth="1"/>
    <col min="10" max="10" width="20.42578125" style="49" customWidth="1"/>
    <col min="11" max="11" width="18.42578125" style="49" customWidth="1"/>
    <col min="12" max="12" width="13.42578125" style="2469" bestFit="1" customWidth="1"/>
    <col min="13" max="13" width="4" style="49" customWidth="1"/>
    <col min="14" max="14" width="13.42578125" style="49" bestFit="1" customWidth="1"/>
    <col min="15" max="15" width="14.28515625" style="49" bestFit="1" customWidth="1"/>
    <col min="16" max="18" width="9.140625" style="49"/>
    <col min="19" max="19" width="11.85546875" style="49" bestFit="1" customWidth="1"/>
    <col min="20" max="16384" width="9.140625" style="49"/>
  </cols>
  <sheetData>
    <row r="1" spans="1:19" ht="25.5" x14ac:dyDescent="0.35">
      <c r="B1" s="2944" t="s">
        <v>82</v>
      </c>
      <c r="C1" s="2944"/>
      <c r="D1" s="2944"/>
      <c r="E1" s="2944"/>
      <c r="F1" s="2944"/>
      <c r="G1" s="2944"/>
      <c r="H1" s="2944"/>
      <c r="I1" s="2944"/>
      <c r="J1" s="2944"/>
      <c r="K1" s="2944"/>
    </row>
    <row r="2" spans="1:19" ht="25.5" x14ac:dyDescent="0.35">
      <c r="B2" s="2944" t="s">
        <v>724</v>
      </c>
      <c r="C2" s="2944"/>
      <c r="D2" s="2944"/>
      <c r="E2" s="2944"/>
      <c r="F2" s="2944"/>
      <c r="G2" s="2944"/>
      <c r="H2" s="2944"/>
      <c r="I2" s="2944"/>
      <c r="J2" s="2944"/>
      <c r="K2" s="2944"/>
    </row>
    <row r="3" spans="1:19" ht="26.25" hidden="1" x14ac:dyDescent="0.4">
      <c r="B3" s="1895"/>
      <c r="C3" s="10"/>
      <c r="D3" s="8"/>
      <c r="E3" s="8"/>
      <c r="F3" s="1894"/>
      <c r="G3" s="1895"/>
      <c r="H3" s="9"/>
      <c r="I3" s="9"/>
      <c r="J3" s="9"/>
      <c r="K3" s="1895"/>
    </row>
    <row r="4" spans="1:19" ht="26.25" hidden="1" x14ac:dyDescent="0.4">
      <c r="B4" s="1895"/>
      <c r="C4" s="10"/>
      <c r="D4" s="8"/>
      <c r="E4" s="8"/>
      <c r="F4" s="1894"/>
      <c r="G4" s="1895"/>
      <c r="H4" s="9"/>
      <c r="I4" s="9"/>
      <c r="J4" s="9"/>
      <c r="K4" s="1895"/>
    </row>
    <row r="5" spans="1:19" ht="26.25" hidden="1" x14ac:dyDescent="0.4">
      <c r="B5" s="1895"/>
      <c r="C5" s="10"/>
      <c r="D5" s="8"/>
      <c r="E5" s="8"/>
      <c r="F5" s="1894"/>
      <c r="G5" s="1895"/>
      <c r="H5" s="9"/>
      <c r="I5" s="9"/>
      <c r="J5" s="9"/>
      <c r="K5" s="1895"/>
    </row>
    <row r="6" spans="1:19" ht="26.25" hidden="1" x14ac:dyDescent="0.4">
      <c r="B6" s="1895"/>
      <c r="C6" s="10"/>
      <c r="D6" s="8"/>
      <c r="E6" s="8"/>
      <c r="F6" s="1894"/>
      <c r="G6" s="1895"/>
      <c r="H6" s="9"/>
      <c r="I6" s="9"/>
      <c r="J6" s="9"/>
      <c r="K6" s="1895"/>
    </row>
    <row r="7" spans="1:19" ht="26.25" hidden="1" x14ac:dyDescent="0.4">
      <c r="B7" s="1895"/>
      <c r="C7" s="10"/>
      <c r="D7" s="8"/>
      <c r="E7" s="8"/>
      <c r="F7" s="1894"/>
      <c r="G7" s="1895"/>
      <c r="H7" s="9"/>
      <c r="I7" s="9"/>
      <c r="J7" s="9"/>
      <c r="K7" s="1895"/>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42.7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c r="O10" s="49">
        <v>0.5</v>
      </c>
      <c r="P10" s="49">
        <v>0.65</v>
      </c>
    </row>
    <row r="11" spans="1:19" ht="21" thickBot="1" x14ac:dyDescent="0.35">
      <c r="A11" s="21"/>
      <c r="B11" s="2949" t="s">
        <v>5</v>
      </c>
      <c r="C11" s="2950"/>
      <c r="D11" s="2950"/>
      <c r="E11" s="2950"/>
      <c r="F11" s="2950"/>
      <c r="G11" s="2950"/>
      <c r="H11" s="2950"/>
      <c r="I11" s="2950"/>
      <c r="J11" s="2950"/>
      <c r="K11" s="2950"/>
    </row>
    <row r="12" spans="1:19" ht="24.6" customHeight="1" thickBot="1" x14ac:dyDescent="0.35">
      <c r="A12" s="83"/>
      <c r="B12" s="2737" t="s">
        <v>741</v>
      </c>
      <c r="C12" s="2738">
        <v>54173.5</v>
      </c>
      <c r="D12" s="2738">
        <v>100</v>
      </c>
      <c r="E12" s="2839">
        <v>2100.63</v>
      </c>
      <c r="F12" s="2839">
        <v>750</v>
      </c>
      <c r="G12" s="2839">
        <v>258008.97145017149</v>
      </c>
      <c r="H12" s="2738">
        <v>9593.52</v>
      </c>
      <c r="I12" s="2738">
        <v>412.5</v>
      </c>
      <c r="J12" s="2738">
        <v>337.5</v>
      </c>
      <c r="K12" s="2738">
        <f>SUM(C12:J12)</f>
        <v>325476.62145017151</v>
      </c>
      <c r="L12" s="2469">
        <f ca="1">$L$17*K12/$K$17</f>
        <v>0</v>
      </c>
      <c r="N12" s="2469">
        <v>233.12184851804602</v>
      </c>
      <c r="O12" s="587">
        <f>+N12+G12</f>
        <v>258242.09329868955</v>
      </c>
      <c r="Q12" s="1172"/>
      <c r="S12" s="2847">
        <f>+R12+G12</f>
        <v>258008.97145017149</v>
      </c>
    </row>
    <row r="13" spans="1:19" ht="24.6" customHeight="1" thickBot="1" x14ac:dyDescent="0.35">
      <c r="A13" s="83"/>
      <c r="B13" s="2737" t="s">
        <v>742</v>
      </c>
      <c r="C13" s="2738">
        <v>246869.06881137969</v>
      </c>
      <c r="D13" s="2738">
        <v>700</v>
      </c>
      <c r="E13" s="2839">
        <v>121632.09</v>
      </c>
      <c r="F13" s="2839">
        <v>50000</v>
      </c>
      <c r="G13" s="2839">
        <v>2536732.2780527086</v>
      </c>
      <c r="H13" s="2738">
        <v>59733.430000000008</v>
      </c>
      <c r="I13" s="2738">
        <v>1300</v>
      </c>
      <c r="J13" s="2738">
        <v>1700</v>
      </c>
      <c r="K13" s="2738">
        <f>SUM(C13:J13)</f>
        <v>3018666.8668640885</v>
      </c>
      <c r="L13" s="2469">
        <f ca="1">$L$17*K13/$K$17</f>
        <v>0</v>
      </c>
      <c r="N13" s="2469">
        <v>917.53427777826437</v>
      </c>
      <c r="O13" s="587">
        <f t="shared" ref="O13:O23" si="0">+N13+G13</f>
        <v>2537649.8123304867</v>
      </c>
      <c r="Q13" s="1172">
        <f>C13/($C$13+$C$15+$C$16)</f>
        <v>0.47662169916243791</v>
      </c>
      <c r="R13" s="2486">
        <f ca="1">+Q13*$R$17</f>
        <v>0</v>
      </c>
      <c r="S13" s="2847">
        <f t="shared" ref="S13:S16" ca="1" si="1">+R13+G13</f>
        <v>2536732.2780527086</v>
      </c>
    </row>
    <row r="14" spans="1:19" ht="24.6" customHeight="1" thickBot="1" x14ac:dyDescent="0.35">
      <c r="A14" s="83"/>
      <c r="B14" s="2737" t="s">
        <v>759</v>
      </c>
      <c r="C14" s="2738">
        <v>74826.7</v>
      </c>
      <c r="D14" s="2738">
        <v>325</v>
      </c>
      <c r="E14" s="2839">
        <v>50201.3655</v>
      </c>
      <c r="F14" s="2839">
        <v>3900</v>
      </c>
      <c r="G14" s="2839">
        <v>1017091.4</v>
      </c>
      <c r="H14" s="2738">
        <v>26408.765500000001</v>
      </c>
      <c r="I14" s="2738">
        <v>585</v>
      </c>
      <c r="J14" s="2738">
        <v>1365</v>
      </c>
      <c r="K14" s="2738">
        <f>SUM(C14:J14)</f>
        <v>1174703.2309999999</v>
      </c>
      <c r="L14" s="2469">
        <f ca="1">$L$17*K14/$K$17</f>
        <v>0</v>
      </c>
      <c r="N14" s="2469">
        <v>694.48640923853759</v>
      </c>
      <c r="O14" s="587">
        <f t="shared" si="0"/>
        <v>1017785.8864092386</v>
      </c>
      <c r="Q14" s="1172"/>
      <c r="R14" s="2486"/>
      <c r="S14" s="2847">
        <f t="shared" si="1"/>
        <v>1017091.4</v>
      </c>
    </row>
    <row r="15" spans="1:19" ht="24.6" customHeight="1" thickBot="1" x14ac:dyDescent="0.35">
      <c r="A15" s="83"/>
      <c r="B15" s="2737" t="s">
        <v>283</v>
      </c>
      <c r="C15" s="2738">
        <v>243478.73930732883</v>
      </c>
      <c r="D15" s="2738">
        <v>1000</v>
      </c>
      <c r="E15" s="2839">
        <v>37118.81</v>
      </c>
      <c r="F15" s="2839">
        <v>6000</v>
      </c>
      <c r="G15" s="2839">
        <v>3541683.4398830207</v>
      </c>
      <c r="H15" s="2738">
        <v>43563.83</v>
      </c>
      <c r="I15" s="2738">
        <v>875</v>
      </c>
      <c r="J15" s="2738">
        <v>3125</v>
      </c>
      <c r="K15" s="2738">
        <f>SUM(C15:J15)</f>
        <v>3876844.8191903494</v>
      </c>
      <c r="L15" s="2469">
        <f ca="1">$L$17*K15/$K$17</f>
        <v>0</v>
      </c>
      <c r="N15" s="2469">
        <v>1179.8416459913444</v>
      </c>
      <c r="O15" s="587">
        <f t="shared" si="0"/>
        <v>3542863.2815290121</v>
      </c>
      <c r="Q15" s="1172">
        <f>C15/($C$13+$C$15+$C$16)</f>
        <v>0.47007610551345835</v>
      </c>
      <c r="R15" s="2486">
        <f ca="1">+Q15*$R$17</f>
        <v>0</v>
      </c>
      <c r="S15" s="2847">
        <f t="shared" ca="1" si="1"/>
        <v>3541683.4398830207</v>
      </c>
    </row>
    <row r="16" spans="1:19" ht="24.6" customHeight="1" thickBot="1" x14ac:dyDescent="0.35">
      <c r="A16" s="83"/>
      <c r="B16" s="2739" t="s">
        <v>531</v>
      </c>
      <c r="C16" s="2738">
        <v>27608.191881291456</v>
      </c>
      <c r="D16" s="2738">
        <v>100</v>
      </c>
      <c r="E16" s="2839">
        <v>171011.61120040849</v>
      </c>
      <c r="F16" s="2839">
        <v>0</v>
      </c>
      <c r="G16" s="2839">
        <v>0</v>
      </c>
      <c r="H16" s="2738">
        <v>0</v>
      </c>
      <c r="I16" s="2738">
        <v>0</v>
      </c>
      <c r="J16" s="2738">
        <v>0</v>
      </c>
      <c r="K16" s="2738">
        <f>SUM(C16:J16)</f>
        <v>198719.80308169994</v>
      </c>
      <c r="L16" s="2469">
        <f ca="1">$L$17*K16/$K$17</f>
        <v>0</v>
      </c>
      <c r="N16" s="2469">
        <v>52.87906092145375</v>
      </c>
      <c r="O16" s="587">
        <f>+N16+E16</f>
        <v>171064.49026132995</v>
      </c>
      <c r="Q16" s="1172">
        <f>C16/($C$13+$C$15+$C$16)</f>
        <v>5.3302195324103699E-2</v>
      </c>
      <c r="R16" s="2486">
        <f ca="1">+Q16*$R$17</f>
        <v>0</v>
      </c>
      <c r="S16" s="2847">
        <f t="shared" ca="1" si="1"/>
        <v>0</v>
      </c>
    </row>
    <row r="17" spans="1:19" ht="24.6" customHeight="1" thickBot="1" x14ac:dyDescent="0.35">
      <c r="A17" s="84"/>
      <c r="B17" s="2740" t="s">
        <v>743</v>
      </c>
      <c r="C17" s="2741">
        <f t="shared" ref="C17:J17" si="2">SUM(C12:C16)</f>
        <v>646956.20000000007</v>
      </c>
      <c r="D17" s="2741">
        <f t="shared" si="2"/>
        <v>2225</v>
      </c>
      <c r="E17" s="2741">
        <f t="shared" si="2"/>
        <v>382064.50670040847</v>
      </c>
      <c r="F17" s="2741">
        <f>SUM(F12:F16)</f>
        <v>60650</v>
      </c>
      <c r="G17" s="2741">
        <f t="shared" si="2"/>
        <v>7353516.0893859006</v>
      </c>
      <c r="H17" s="2741">
        <f t="shared" si="2"/>
        <v>139299.54550000001</v>
      </c>
      <c r="I17" s="2741">
        <f t="shared" si="2"/>
        <v>3172.5</v>
      </c>
      <c r="J17" s="2741">
        <f t="shared" si="2"/>
        <v>6527.5</v>
      </c>
      <c r="K17" s="2741">
        <f>SUM(K12:K16)</f>
        <v>8594411.3415863086</v>
      </c>
      <c r="L17" s="2469">
        <f ca="1">$K$55*K17/($K$17+$K$23)</f>
        <v>0</v>
      </c>
      <c r="N17" s="2469">
        <v>3077.8632424476464</v>
      </c>
      <c r="O17" s="587">
        <f t="shared" si="0"/>
        <v>7356593.952628348</v>
      </c>
      <c r="R17" s="2486">
        <f ca="1">$K$55</f>
        <v>0</v>
      </c>
    </row>
    <row r="18" spans="1:19" ht="24.6" customHeight="1" thickBot="1" x14ac:dyDescent="0.35">
      <c r="A18" s="84"/>
      <c r="B18" s="2949" t="s">
        <v>6</v>
      </c>
      <c r="C18" s="2950"/>
      <c r="D18" s="2950"/>
      <c r="E18" s="2950"/>
      <c r="F18" s="2950"/>
      <c r="G18" s="2950"/>
      <c r="H18" s="2950"/>
      <c r="I18" s="2950"/>
      <c r="J18" s="2950"/>
      <c r="K18" s="2950"/>
      <c r="N18" s="2469"/>
      <c r="O18" s="587">
        <f t="shared" si="0"/>
        <v>0</v>
      </c>
      <c r="S18" s="49">
        <v>46028.797697022848</v>
      </c>
    </row>
    <row r="19" spans="1:19" ht="24.6" customHeight="1" thickBot="1" x14ac:dyDescent="0.35">
      <c r="A19" s="83"/>
      <c r="B19" s="2737" t="s">
        <v>285</v>
      </c>
      <c r="C19" s="2738">
        <v>103060</v>
      </c>
      <c r="D19" s="2738">
        <v>1000</v>
      </c>
      <c r="E19" s="2738">
        <f>12000+1999.86-3000</f>
        <v>10999.86</v>
      </c>
      <c r="F19" s="2738">
        <v>3000</v>
      </c>
      <c r="G19" s="2738">
        <v>1477064.9871873478</v>
      </c>
      <c r="H19" s="2738">
        <f>23600+2071892-2088692+17135.57</f>
        <v>23935.57</v>
      </c>
      <c r="I19" s="2738">
        <v>1200</v>
      </c>
      <c r="J19" s="2738">
        <v>6800</v>
      </c>
      <c r="K19" s="2738">
        <f>SUM(C19:J19)</f>
        <v>1627060.417187348</v>
      </c>
      <c r="L19" s="2469">
        <f>$L$23*K19/$K$23</f>
        <v>-23855.539811287668</v>
      </c>
      <c r="N19" s="2469">
        <v>-23855.539811287672</v>
      </c>
      <c r="O19" s="587">
        <f t="shared" si="0"/>
        <v>1453209.4473760601</v>
      </c>
    </row>
    <row r="20" spans="1:19" ht="24.6" customHeight="1" thickBot="1" x14ac:dyDescent="0.35">
      <c r="A20" s="83"/>
      <c r="B20" s="2737" t="s">
        <v>275</v>
      </c>
      <c r="C20" s="2738">
        <v>103060</v>
      </c>
      <c r="D20" s="2738">
        <v>700</v>
      </c>
      <c r="E20" s="2738">
        <f>12000+1316.13-0.87-4000</f>
        <v>9315.26</v>
      </c>
      <c r="F20" s="2738">
        <v>4000</v>
      </c>
      <c r="G20" s="2738">
        <v>925390.69865555398</v>
      </c>
      <c r="H20" s="2738">
        <f>10500+1048767-1044453+11258.53</f>
        <v>26072.53</v>
      </c>
      <c r="I20" s="2738">
        <v>200</v>
      </c>
      <c r="J20" s="2738">
        <v>4000</v>
      </c>
      <c r="K20" s="2738">
        <f>SUM(C20:J20)</f>
        <v>1072738.4886555539</v>
      </c>
      <c r="L20" s="2469">
        <f>$L$23*K20/$K$23</f>
        <v>-15728.214793314884</v>
      </c>
      <c r="N20" s="2469">
        <v>-15728.214793314886</v>
      </c>
      <c r="O20" s="587">
        <f t="shared" si="0"/>
        <v>909662.48386223905</v>
      </c>
    </row>
    <row r="21" spans="1:19" ht="24.6" customHeight="1" thickBot="1" x14ac:dyDescent="0.35">
      <c r="A21" s="83"/>
      <c r="B21" s="2737" t="s">
        <v>744</v>
      </c>
      <c r="C21" s="2738">
        <v>58688</v>
      </c>
      <c r="D21" s="2738">
        <v>500</v>
      </c>
      <c r="E21" s="2738">
        <f>12000+334.54-1000+94500</f>
        <v>105834.54000000001</v>
      </c>
      <c r="F21" s="2738">
        <v>1000</v>
      </c>
      <c r="G21" s="2738">
        <v>303919.17184257996</v>
      </c>
      <c r="H21" s="2738">
        <f>5000+5029.44</f>
        <v>10029.439999999999</v>
      </c>
      <c r="I21" s="2738">
        <v>100</v>
      </c>
      <c r="J21" s="2738">
        <v>1900</v>
      </c>
      <c r="K21" s="2738">
        <f>SUM(C21:J21)</f>
        <v>481971.15184258</v>
      </c>
      <c r="L21" s="2469">
        <f>$L$23*K21/$K$23</f>
        <v>-7066.5366075025968</v>
      </c>
      <c r="N21" s="2469">
        <v>-7066.5366075025977</v>
      </c>
      <c r="O21" s="587">
        <f t="shared" si="0"/>
        <v>296852.63523507735</v>
      </c>
    </row>
    <row r="22" spans="1:19" ht="24.6" customHeight="1" thickBot="1" x14ac:dyDescent="0.35">
      <c r="A22" s="84"/>
      <c r="B22" s="2739" t="s">
        <v>245</v>
      </c>
      <c r="C22" s="2738">
        <v>90770</v>
      </c>
      <c r="D22" s="2738">
        <v>200</v>
      </c>
      <c r="E22" s="2738">
        <f>5000+355.23-2500+36000</f>
        <v>38855.229999999996</v>
      </c>
      <c r="F22" s="2738">
        <v>2500</v>
      </c>
      <c r="G22" s="2738">
        <v>157374.30067276917</v>
      </c>
      <c r="H22" s="2738">
        <f>2500+2471.14</f>
        <v>4971.1399999999994</v>
      </c>
      <c r="I22" s="2738">
        <v>100</v>
      </c>
      <c r="J22" s="2738">
        <v>1900</v>
      </c>
      <c r="K22" s="2738">
        <f>SUM(C22:J22)</f>
        <v>296670.67067276919</v>
      </c>
      <c r="L22" s="2469">
        <f>$L$23*K22/$K$23</f>
        <v>-4349.7087878948441</v>
      </c>
      <c r="N22" s="2469">
        <v>-4349.7087878948441</v>
      </c>
      <c r="O22" s="587">
        <f t="shared" si="0"/>
        <v>153024.59188487433</v>
      </c>
    </row>
    <row r="23" spans="1:19" ht="24.6" customHeight="1" thickBot="1" x14ac:dyDescent="0.35">
      <c r="A23" s="84"/>
      <c r="B23" s="2740" t="s">
        <v>745</v>
      </c>
      <c r="C23" s="2741">
        <f>SUM(C19:C22)</f>
        <v>355578</v>
      </c>
      <c r="D23" s="2741">
        <f t="shared" ref="D23:K23" si="3">SUM(D19:D22)</f>
        <v>2400</v>
      </c>
      <c r="E23" s="2741">
        <f t="shared" si="3"/>
        <v>165004.89000000001</v>
      </c>
      <c r="F23" s="2741">
        <f t="shared" si="3"/>
        <v>10500</v>
      </c>
      <c r="G23" s="2741">
        <f t="shared" si="3"/>
        <v>2863749.1583582512</v>
      </c>
      <c r="H23" s="2741">
        <f t="shared" si="3"/>
        <v>65008.679999999993</v>
      </c>
      <c r="I23" s="2741">
        <f t="shared" si="3"/>
        <v>1600</v>
      </c>
      <c r="J23" s="2741">
        <f t="shared" si="3"/>
        <v>14600</v>
      </c>
      <c r="K23" s="2741">
        <f t="shared" si="3"/>
        <v>3478440.7283582515</v>
      </c>
      <c r="L23" s="2469">
        <v>-51000</v>
      </c>
      <c r="N23" s="2469">
        <v>1245.71240930046</v>
      </c>
      <c r="O23" s="587">
        <f t="shared" si="0"/>
        <v>2864994.8707675515</v>
      </c>
    </row>
    <row r="24" spans="1:19" ht="21" thickBot="1" x14ac:dyDescent="0.35">
      <c r="A24" s="84"/>
      <c r="B24" s="2947" t="s">
        <v>737</v>
      </c>
      <c r="C24" s="2948"/>
      <c r="D24" s="2948"/>
      <c r="E24" s="2948"/>
      <c r="F24" s="2948"/>
      <c r="G24" s="2948"/>
      <c r="H24" s="2948"/>
      <c r="I24" s="2948"/>
      <c r="J24" s="2948"/>
      <c r="K24" s="2948"/>
      <c r="M24" s="2469"/>
      <c r="N24" s="2469"/>
    </row>
    <row r="25" spans="1:19" ht="21" thickBot="1" x14ac:dyDescent="0.35">
      <c r="A25" s="84"/>
      <c r="B25" s="2737" t="s">
        <v>739</v>
      </c>
      <c r="C25" s="2738">
        <v>42884</v>
      </c>
      <c r="D25" s="2738">
        <v>0</v>
      </c>
      <c r="E25" s="2738">
        <v>74900</v>
      </c>
      <c r="F25" s="2738">
        <v>0</v>
      </c>
      <c r="G25" s="2738">
        <v>88750</v>
      </c>
      <c r="H25" s="2738">
        <v>0</v>
      </c>
      <c r="I25" s="2738">
        <v>0</v>
      </c>
      <c r="J25" s="2738">
        <v>0</v>
      </c>
      <c r="K25" s="2738">
        <f>SUM(C25:J25)</f>
        <v>206534</v>
      </c>
      <c r="M25" s="2469"/>
      <c r="N25" s="2469"/>
      <c r="O25" s="2469"/>
    </row>
    <row r="26" spans="1:19" ht="21" thickBot="1" x14ac:dyDescent="0.35">
      <c r="A26" s="84"/>
      <c r="B26" s="2739" t="s">
        <v>738</v>
      </c>
      <c r="C26" s="2738">
        <v>42884</v>
      </c>
      <c r="D26" s="2738">
        <v>0</v>
      </c>
      <c r="E26" s="2738">
        <f>102792*1.03</f>
        <v>105875.76000000001</v>
      </c>
      <c r="F26" s="2738">
        <v>0</v>
      </c>
      <c r="G26" s="2738">
        <f>50000*1.03</f>
        <v>51500</v>
      </c>
      <c r="H26" s="2738">
        <v>0</v>
      </c>
      <c r="I26" s="2738">
        <v>0</v>
      </c>
      <c r="J26" s="2738">
        <v>0</v>
      </c>
      <c r="K26" s="2738">
        <f>SUM(C26:J26)</f>
        <v>200259.76</v>
      </c>
      <c r="M26" s="2469"/>
      <c r="N26" s="2469"/>
      <c r="O26" s="2469"/>
    </row>
    <row r="27" spans="1:19" ht="21" thickBot="1" x14ac:dyDescent="0.35">
      <c r="A27" s="84"/>
      <c r="B27" s="2740" t="s">
        <v>758</v>
      </c>
      <c r="C27" s="2741">
        <f t="shared" ref="C27:K27" si="4">SUM(C25:C26)</f>
        <v>85768</v>
      </c>
      <c r="D27" s="2741">
        <f t="shared" si="4"/>
        <v>0</v>
      </c>
      <c r="E27" s="2741">
        <f t="shared" si="4"/>
        <v>180775.76</v>
      </c>
      <c r="F27" s="2741">
        <f t="shared" si="4"/>
        <v>0</v>
      </c>
      <c r="G27" s="2741">
        <f t="shared" si="4"/>
        <v>140250</v>
      </c>
      <c r="H27" s="2741">
        <f t="shared" si="4"/>
        <v>0</v>
      </c>
      <c r="I27" s="2741">
        <f t="shared" si="4"/>
        <v>0</v>
      </c>
      <c r="J27" s="2741">
        <f t="shared" si="4"/>
        <v>0</v>
      </c>
      <c r="K27" s="2741">
        <f t="shared" si="4"/>
        <v>406793.76</v>
      </c>
      <c r="M27" s="2469"/>
      <c r="N27" s="2469"/>
      <c r="O27" s="2469"/>
    </row>
    <row r="28" spans="1:19" s="9" customFormat="1" ht="16.5" customHeight="1" thickBot="1" x14ac:dyDescent="0.3">
      <c r="A28" s="1145"/>
      <c r="B28" s="2947" t="s">
        <v>746</v>
      </c>
      <c r="C28" s="2948"/>
      <c r="D28" s="2948"/>
      <c r="E28" s="2948"/>
      <c r="F28" s="2948"/>
      <c r="G28" s="2948"/>
      <c r="H28" s="2948"/>
      <c r="I28" s="2948"/>
      <c r="J28" s="2948"/>
      <c r="K28" s="2948"/>
      <c r="L28" s="2596"/>
    </row>
    <row r="29" spans="1:19" s="9" customFormat="1" ht="16.5" customHeight="1" thickBot="1" x14ac:dyDescent="0.3">
      <c r="A29" s="1150"/>
      <c r="B29" s="2737" t="s">
        <v>763</v>
      </c>
      <c r="C29" s="2738">
        <v>10329</v>
      </c>
      <c r="D29" s="2738">
        <v>363.01291648920721</v>
      </c>
      <c r="E29" s="2738">
        <f>-938.51+54121.5504624295</f>
        <v>53183.040462429497</v>
      </c>
      <c r="F29" s="2738">
        <v>0</v>
      </c>
      <c r="G29" s="2738">
        <v>0</v>
      </c>
      <c r="H29" s="2738">
        <v>1814.7484963955119</v>
      </c>
      <c r="I29" s="2738">
        <v>8443.7430039617593</v>
      </c>
      <c r="J29" s="2738">
        <v>2533.122901188528</v>
      </c>
      <c r="K29" s="2738">
        <f>SUM(C29:J29)</f>
        <v>76666.667780464501</v>
      </c>
      <c r="L29" s="2596"/>
      <c r="M29" s="2597"/>
      <c r="N29" s="1888"/>
      <c r="O29" s="2834"/>
    </row>
    <row r="30" spans="1:19" s="9" customFormat="1" ht="16.5" customHeight="1" thickBot="1" x14ac:dyDescent="0.3">
      <c r="A30" s="1150"/>
      <c r="B30" s="2737" t="s">
        <v>764</v>
      </c>
      <c r="C30" s="2738">
        <v>0</v>
      </c>
      <c r="D30" s="2738">
        <v>0</v>
      </c>
      <c r="E30" s="2738">
        <v>82666.66</v>
      </c>
      <c r="F30" s="2738">
        <v>0</v>
      </c>
      <c r="G30" s="2738">
        <v>0</v>
      </c>
      <c r="H30" s="2738">
        <v>0</v>
      </c>
      <c r="I30" s="2738">
        <v>0</v>
      </c>
      <c r="J30" s="2738">
        <v>0</v>
      </c>
      <c r="K30" s="2738">
        <f>SUM(C30:J30)</f>
        <v>82666.66</v>
      </c>
      <c r="L30" s="2596"/>
      <c r="N30" s="1888"/>
      <c r="O30" s="2834"/>
    </row>
    <row r="31" spans="1:19" s="9" customFormat="1" ht="16.5" customHeight="1" thickBot="1" x14ac:dyDescent="0.3">
      <c r="A31" s="1150"/>
      <c r="B31" s="2739" t="s">
        <v>765</v>
      </c>
      <c r="C31" s="2738">
        <v>11195</v>
      </c>
      <c r="D31" s="2738">
        <v>389.77583742602167</v>
      </c>
      <c r="E31" s="2738">
        <f>-2531.02+63667.6710455326</f>
        <v>61136.651045532606</v>
      </c>
      <c r="F31" s="2738">
        <v>0</v>
      </c>
      <c r="G31" s="2738">
        <v>0</v>
      </c>
      <c r="H31" s="2738">
        <v>4195.8158694433623</v>
      </c>
      <c r="I31" s="2738">
        <v>2371.0979049099333</v>
      </c>
      <c r="J31" s="2738">
        <v>711.6504409252359</v>
      </c>
      <c r="K31" s="2738">
        <f>SUM(C31:J31)</f>
        <v>79999.991098237166</v>
      </c>
      <c r="L31" s="2596"/>
      <c r="N31" s="1888"/>
      <c r="O31" s="2834"/>
    </row>
    <row r="32" spans="1:19" s="9" customFormat="1" ht="16.5" customHeight="1" thickBot="1" x14ac:dyDescent="0.3">
      <c r="A32" s="1150"/>
      <c r="B32" s="2739" t="s">
        <v>766</v>
      </c>
      <c r="C32" s="2738">
        <v>3561</v>
      </c>
      <c r="D32" s="2738">
        <v>139.28580994904527</v>
      </c>
      <c r="E32" s="2738">
        <f>-573.72+43414.3155318101</f>
        <v>42840.595531810097</v>
      </c>
      <c r="F32" s="2738">
        <v>0</v>
      </c>
      <c r="G32" s="2738">
        <v>0</v>
      </c>
      <c r="H32" s="2738">
        <v>321.4287921901045</v>
      </c>
      <c r="I32" s="2738">
        <v>2413.8066028891503</v>
      </c>
      <c r="J32" s="2738">
        <v>723.8844257447978</v>
      </c>
      <c r="K32" s="2738">
        <f>SUM(C32:J32)</f>
        <v>50000.001162583198</v>
      </c>
      <c r="L32" s="2596"/>
      <c r="N32" s="1888"/>
      <c r="O32" s="2834"/>
    </row>
    <row r="33" spans="1:12" s="9" customFormat="1" ht="16.5" customHeight="1" thickBot="1" x14ac:dyDescent="0.3">
      <c r="A33" s="1150"/>
      <c r="B33" s="2740" t="s">
        <v>747</v>
      </c>
      <c r="C33" s="2741">
        <f t="shared" ref="C33:K33" si="5">SUM(C29:C32)</f>
        <v>25085</v>
      </c>
      <c r="D33" s="2741">
        <f t="shared" si="5"/>
        <v>892.07456386427418</v>
      </c>
      <c r="E33" s="2741">
        <f t="shared" si="5"/>
        <v>239826.9470397722</v>
      </c>
      <c r="F33" s="2741">
        <f t="shared" si="5"/>
        <v>0</v>
      </c>
      <c r="G33" s="2741">
        <f t="shared" si="5"/>
        <v>0</v>
      </c>
      <c r="H33" s="2741">
        <f t="shared" si="5"/>
        <v>6331.9931580289785</v>
      </c>
      <c r="I33" s="2741">
        <f t="shared" si="5"/>
        <v>13228.647511760842</v>
      </c>
      <c r="J33" s="2741">
        <f t="shared" si="5"/>
        <v>3968.6577678585613</v>
      </c>
      <c r="K33" s="2741">
        <f t="shared" si="5"/>
        <v>289333.32004128484</v>
      </c>
      <c r="L33" s="2596"/>
    </row>
    <row r="34" spans="1:12" s="1164" customFormat="1" ht="16.5" customHeight="1" thickBot="1" x14ac:dyDescent="0.3">
      <c r="A34" s="1150"/>
      <c r="B34" s="2947" t="s">
        <v>108</v>
      </c>
      <c r="C34" s="2948"/>
      <c r="D34" s="2948"/>
      <c r="E34" s="2948"/>
      <c r="F34" s="2948"/>
      <c r="G34" s="2948"/>
      <c r="H34" s="2948"/>
      <c r="I34" s="2948"/>
      <c r="J34" s="2948"/>
      <c r="K34" s="2948"/>
      <c r="L34" s="2646"/>
    </row>
    <row r="35" spans="1:12" s="9" customFormat="1" ht="16.5" customHeight="1" thickBot="1" x14ac:dyDescent="0.3">
      <c r="A35" s="1150"/>
      <c r="B35" s="2737" t="s">
        <v>605</v>
      </c>
      <c r="C35" s="2738">
        <v>0</v>
      </c>
      <c r="D35" s="2738">
        <v>0</v>
      </c>
      <c r="E35" s="2738">
        <v>0</v>
      </c>
      <c r="F35" s="2738">
        <v>0</v>
      </c>
      <c r="G35" s="2738">
        <v>0</v>
      </c>
      <c r="H35" s="2738">
        <v>0</v>
      </c>
      <c r="I35" s="2738">
        <f>186292-100000</f>
        <v>86292</v>
      </c>
      <c r="J35" s="2738">
        <v>0</v>
      </c>
      <c r="K35" s="2738">
        <f>SUM(C35:J35)</f>
        <v>86292</v>
      </c>
      <c r="L35" s="2596"/>
    </row>
    <row r="36" spans="1:12" s="9" customFormat="1" ht="16.5" customHeight="1" thickBot="1" x14ac:dyDescent="0.3">
      <c r="A36" s="1150"/>
      <c r="B36" s="2739" t="s">
        <v>606</v>
      </c>
      <c r="C36" s="2738">
        <v>0</v>
      </c>
      <c r="D36" s="2738">
        <v>0</v>
      </c>
      <c r="E36" s="2738">
        <v>0</v>
      </c>
      <c r="F36" s="2738">
        <v>0</v>
      </c>
      <c r="G36" s="2738">
        <v>0</v>
      </c>
      <c r="H36" s="2738">
        <v>0</v>
      </c>
      <c r="I36" s="2738">
        <v>75000</v>
      </c>
      <c r="J36" s="2738">
        <v>0</v>
      </c>
      <c r="K36" s="2738">
        <f>SUM(C36:J36)</f>
        <v>75000</v>
      </c>
      <c r="L36" s="2596"/>
    </row>
    <row r="37" spans="1:12" s="9" customFormat="1" ht="16.5" customHeight="1" thickBot="1" x14ac:dyDescent="0.3">
      <c r="A37" s="1150"/>
      <c r="B37" s="2739" t="s">
        <v>748</v>
      </c>
      <c r="C37" s="2738">
        <v>0</v>
      </c>
      <c r="D37" s="2738">
        <v>0</v>
      </c>
      <c r="E37" s="2738">
        <v>50000</v>
      </c>
      <c r="F37" s="2738">
        <v>0</v>
      </c>
      <c r="G37" s="2738">
        <v>0</v>
      </c>
      <c r="H37" s="2738">
        <v>0</v>
      </c>
      <c r="I37" s="2738">
        <v>0</v>
      </c>
      <c r="J37" s="2738">
        <v>0</v>
      </c>
      <c r="K37" s="2738">
        <f>SUM(C37:J37)</f>
        <v>50000</v>
      </c>
      <c r="L37" s="2596"/>
    </row>
    <row r="38" spans="1:12" s="1164" customFormat="1" ht="16.5" customHeight="1" thickBot="1" x14ac:dyDescent="0.3">
      <c r="A38" s="1150"/>
      <c r="B38" s="2740" t="s">
        <v>749</v>
      </c>
      <c r="C38" s="2741">
        <f t="shared" ref="C38:K38" si="6">SUM(C35:C37)</f>
        <v>0</v>
      </c>
      <c r="D38" s="2741">
        <f t="shared" si="6"/>
        <v>0</v>
      </c>
      <c r="E38" s="2741">
        <f t="shared" si="6"/>
        <v>50000</v>
      </c>
      <c r="F38" s="2741">
        <f t="shared" si="6"/>
        <v>0</v>
      </c>
      <c r="G38" s="2741">
        <f t="shared" si="6"/>
        <v>0</v>
      </c>
      <c r="H38" s="2741">
        <f t="shared" si="6"/>
        <v>0</v>
      </c>
      <c r="I38" s="2741">
        <f>SUM(I35:I37)</f>
        <v>161292</v>
      </c>
      <c r="J38" s="2741">
        <f t="shared" si="6"/>
        <v>0</v>
      </c>
      <c r="K38" s="2741">
        <f t="shared" si="6"/>
        <v>211292</v>
      </c>
      <c r="L38" s="2646"/>
    </row>
    <row r="39" spans="1:12" s="9" customFormat="1" ht="16.5" customHeight="1" thickBot="1" x14ac:dyDescent="0.3">
      <c r="A39" s="1150"/>
      <c r="B39" s="2947" t="s">
        <v>401</v>
      </c>
      <c r="C39" s="2948"/>
      <c r="D39" s="2948"/>
      <c r="E39" s="2948"/>
      <c r="F39" s="2948"/>
      <c r="G39" s="2948"/>
      <c r="H39" s="2948"/>
      <c r="I39" s="2948"/>
      <c r="J39" s="2948"/>
      <c r="K39" s="2948"/>
      <c r="L39" s="2596"/>
    </row>
    <row r="40" spans="1:12" s="9" customFormat="1" ht="16.5" customHeight="1" thickBot="1" x14ac:dyDescent="0.3">
      <c r="A40" s="1150"/>
      <c r="B40" s="2739" t="s">
        <v>330</v>
      </c>
      <c r="C40" s="2738">
        <v>178623</v>
      </c>
      <c r="D40" s="2738">
        <v>0</v>
      </c>
      <c r="E40" s="2738">
        <f>20675-11292+1</f>
        <v>9384</v>
      </c>
      <c r="F40" s="2738">
        <v>0</v>
      </c>
      <c r="G40" s="2738">
        <v>0</v>
      </c>
      <c r="H40" s="2738">
        <v>0</v>
      </c>
      <c r="I40" s="2738">
        <v>0</v>
      </c>
      <c r="J40" s="2738">
        <v>0</v>
      </c>
      <c r="K40" s="2738">
        <f>SUM(C40:J40)</f>
        <v>188007</v>
      </c>
      <c r="L40" s="2596"/>
    </row>
    <row r="41" spans="1:12" s="9" customFormat="1" ht="16.5" customHeight="1" thickBot="1" x14ac:dyDescent="0.3">
      <c r="A41" s="1150"/>
      <c r="B41" s="2739" t="s">
        <v>750</v>
      </c>
      <c r="C41" s="2738">
        <v>0</v>
      </c>
      <c r="D41" s="2738">
        <v>0</v>
      </c>
      <c r="E41" s="2738">
        <v>0</v>
      </c>
      <c r="F41" s="2738">
        <v>0</v>
      </c>
      <c r="G41" s="2738">
        <v>0</v>
      </c>
      <c r="H41" s="2738">
        <v>40100</v>
      </c>
      <c r="I41" s="2738">
        <v>0</v>
      </c>
      <c r="J41" s="2738">
        <v>0</v>
      </c>
      <c r="K41" s="2738">
        <f t="shared" ref="K41:K48" si="7">SUM(C41:J41)</f>
        <v>40100</v>
      </c>
      <c r="L41" s="2596"/>
    </row>
    <row r="42" spans="1:12" s="9" customFormat="1" ht="16.5" customHeight="1" thickBot="1" x14ac:dyDescent="0.3">
      <c r="A42" s="1150"/>
      <c r="B42" s="2739" t="s">
        <v>281</v>
      </c>
      <c r="C42" s="2738">
        <v>63502</v>
      </c>
      <c r="D42" s="2738">
        <v>0</v>
      </c>
      <c r="E42" s="2738">
        <v>0</v>
      </c>
      <c r="F42" s="2738">
        <v>0</v>
      </c>
      <c r="G42" s="2738">
        <v>0</v>
      </c>
      <c r="H42" s="2738">
        <v>0</v>
      </c>
      <c r="I42" s="2738">
        <v>0</v>
      </c>
      <c r="J42" s="2738">
        <v>0</v>
      </c>
      <c r="K42" s="2738">
        <f>SUM(C42:J42)</f>
        <v>63502</v>
      </c>
      <c r="L42" s="2596"/>
    </row>
    <row r="43" spans="1:12" s="1159" customFormat="1" ht="16.5" customHeight="1" thickBot="1" x14ac:dyDescent="0.3">
      <c r="A43" s="1145"/>
      <c r="B43" s="2739" t="s">
        <v>751</v>
      </c>
      <c r="C43" s="2738">
        <v>0</v>
      </c>
      <c r="D43" s="2738">
        <v>0</v>
      </c>
      <c r="E43" s="2738">
        <v>300000</v>
      </c>
      <c r="F43" s="2738">
        <v>0</v>
      </c>
      <c r="G43" s="2738">
        <v>0</v>
      </c>
      <c r="H43" s="2738">
        <v>0</v>
      </c>
      <c r="I43" s="2738">
        <v>0</v>
      </c>
      <c r="J43" s="2738">
        <v>0</v>
      </c>
      <c r="K43" s="2738">
        <f>SUM(C43:J43)</f>
        <v>300000</v>
      </c>
      <c r="L43" s="2596"/>
    </row>
    <row r="44" spans="1:12" s="9" customFormat="1" ht="16.5" customHeight="1" thickBot="1" x14ac:dyDescent="0.3">
      <c r="A44" s="1145"/>
      <c r="B44" s="2739" t="s">
        <v>752</v>
      </c>
      <c r="C44" s="2738">
        <v>0</v>
      </c>
      <c r="D44" s="2738">
        <v>0</v>
      </c>
      <c r="E44" s="2738">
        <v>29607</v>
      </c>
      <c r="F44" s="2738">
        <v>0</v>
      </c>
      <c r="G44" s="2738">
        <v>0</v>
      </c>
      <c r="H44" s="2738">
        <v>0</v>
      </c>
      <c r="I44" s="2738">
        <v>0</v>
      </c>
      <c r="J44" s="2738">
        <v>0</v>
      </c>
      <c r="K44" s="2738">
        <f>SUM(C44:J44)</f>
        <v>29607</v>
      </c>
      <c r="L44" s="2596"/>
    </row>
    <row r="45" spans="1:12" s="9" customFormat="1" ht="16.5" customHeight="1" thickBot="1" x14ac:dyDescent="0.3">
      <c r="A45" s="1150"/>
      <c r="B45" s="2739" t="s">
        <v>273</v>
      </c>
      <c r="C45" s="2738">
        <v>122151</v>
      </c>
      <c r="D45" s="2738">
        <v>0</v>
      </c>
      <c r="E45" s="2738">
        <f>120000+1357680-1390358+123000</f>
        <v>210322</v>
      </c>
      <c r="F45" s="2738">
        <v>0</v>
      </c>
      <c r="G45" s="2738">
        <v>0</v>
      </c>
      <c r="H45" s="2738">
        <v>0</v>
      </c>
      <c r="I45" s="2738">
        <v>0</v>
      </c>
      <c r="J45" s="2738">
        <v>0</v>
      </c>
      <c r="K45" s="2738">
        <f t="shared" si="7"/>
        <v>332473</v>
      </c>
      <c r="L45" s="2596"/>
    </row>
    <row r="46" spans="1:12" s="9" customFormat="1" ht="16.5" customHeight="1" thickBot="1" x14ac:dyDescent="0.3">
      <c r="A46" s="1145"/>
      <c r="B46" s="2739" t="s">
        <v>753</v>
      </c>
      <c r="C46" s="2738">
        <v>0</v>
      </c>
      <c r="D46" s="2738">
        <v>0</v>
      </c>
      <c r="E46" s="2738">
        <v>53333</v>
      </c>
      <c r="F46" s="2738">
        <v>0</v>
      </c>
      <c r="G46" s="2738">
        <v>0</v>
      </c>
      <c r="H46" s="2738">
        <v>0</v>
      </c>
      <c r="I46" s="2738">
        <v>0</v>
      </c>
      <c r="J46" s="2738">
        <v>0</v>
      </c>
      <c r="K46" s="2738">
        <f t="shared" si="7"/>
        <v>53333</v>
      </c>
      <c r="L46" s="2596"/>
    </row>
    <row r="47" spans="1:12" s="9" customFormat="1" ht="16.5" customHeight="1" thickBot="1" x14ac:dyDescent="0.3">
      <c r="A47" s="1145"/>
      <c r="B47" s="2739" t="s">
        <v>754</v>
      </c>
      <c r="C47" s="2738">
        <v>0</v>
      </c>
      <c r="D47" s="2738">
        <v>0</v>
      </c>
      <c r="E47" s="2738">
        <v>10000</v>
      </c>
      <c r="F47" s="2738">
        <v>0</v>
      </c>
      <c r="G47" s="2738">
        <v>0</v>
      </c>
      <c r="H47" s="2738">
        <v>0</v>
      </c>
      <c r="I47" s="2738">
        <v>0</v>
      </c>
      <c r="J47" s="2738">
        <v>0</v>
      </c>
      <c r="K47" s="2738">
        <f>SUM(C47:J47)</f>
        <v>10000</v>
      </c>
      <c r="L47" s="2596"/>
    </row>
    <row r="48" spans="1:12" s="9" customFormat="1" ht="16.5" customHeight="1" thickBot="1" x14ac:dyDescent="0.3">
      <c r="A48" s="1145"/>
      <c r="B48" s="2739" t="s">
        <v>755</v>
      </c>
      <c r="C48" s="2738">
        <v>0</v>
      </c>
      <c r="D48" s="2738">
        <v>0</v>
      </c>
      <c r="E48" s="2738">
        <v>0</v>
      </c>
      <c r="F48" s="2738">
        <v>0</v>
      </c>
      <c r="G48" s="2738">
        <v>0</v>
      </c>
      <c r="H48" s="2738">
        <v>0</v>
      </c>
      <c r="I48" s="2738">
        <f ca="1">'SCG Table A2'!F25</f>
        <v>695217.65749929228</v>
      </c>
      <c r="J48" s="2738">
        <v>0</v>
      </c>
      <c r="K48" s="2738">
        <f t="shared" ca="1" si="7"/>
        <v>695217.65749929228</v>
      </c>
      <c r="L48" s="2596"/>
    </row>
    <row r="49" spans="1:12" s="9" customFormat="1" ht="16.5" customHeight="1" thickBot="1" x14ac:dyDescent="0.3">
      <c r="A49" s="1145"/>
      <c r="B49" s="2740" t="s">
        <v>756</v>
      </c>
      <c r="C49" s="2741">
        <f t="shared" ref="C49:K49" si="8">SUM(C40:C48)</f>
        <v>364276</v>
      </c>
      <c r="D49" s="2741">
        <f t="shared" si="8"/>
        <v>0</v>
      </c>
      <c r="E49" s="2741">
        <f t="shared" si="8"/>
        <v>612646</v>
      </c>
      <c r="F49" s="2741">
        <f>SUM(F40:F48)</f>
        <v>0</v>
      </c>
      <c r="G49" s="2741">
        <f t="shared" si="8"/>
        <v>0</v>
      </c>
      <c r="H49" s="2741">
        <f t="shared" si="8"/>
        <v>40100</v>
      </c>
      <c r="I49" s="2741">
        <f ca="1">SUM(I40:I48)</f>
        <v>695217.65749929228</v>
      </c>
      <c r="J49" s="2741">
        <f t="shared" si="8"/>
        <v>0</v>
      </c>
      <c r="K49" s="2741">
        <f t="shared" ca="1" si="8"/>
        <v>1712239.6574992924</v>
      </c>
      <c r="L49" s="2596"/>
    </row>
    <row r="50" spans="1:12" s="9" customFormat="1" ht="16.5" customHeight="1" thickBot="1" x14ac:dyDescent="0.35">
      <c r="A50" s="1145"/>
      <c r="B50" s="2742"/>
      <c r="C50" s="2743"/>
      <c r="D50" s="2743"/>
      <c r="E50" s="2743"/>
      <c r="F50" s="2743"/>
      <c r="G50" s="2743"/>
      <c r="H50" s="2743"/>
      <c r="I50" s="2743"/>
      <c r="J50" s="2743"/>
      <c r="K50" s="2744"/>
      <c r="L50" s="2596"/>
    </row>
    <row r="51" spans="1:12" ht="21" thickBot="1" x14ac:dyDescent="0.35">
      <c r="A51" s="83"/>
      <c r="B51" s="2740" t="s">
        <v>58</v>
      </c>
      <c r="C51" s="2741">
        <f t="shared" ref="C51:K51" si="9">C17+C23+C33+C38+C49+C27</f>
        <v>1477663.2000000002</v>
      </c>
      <c r="D51" s="2741">
        <f t="shared" si="9"/>
        <v>5517.0745638642738</v>
      </c>
      <c r="E51" s="2741">
        <f t="shared" si="9"/>
        <v>1630318.1037401806</v>
      </c>
      <c r="F51" s="2741">
        <f t="shared" si="9"/>
        <v>71150</v>
      </c>
      <c r="G51" s="2741">
        <f t="shared" si="9"/>
        <v>10357515.247744152</v>
      </c>
      <c r="H51" s="2741">
        <f t="shared" si="9"/>
        <v>250740.21865802899</v>
      </c>
      <c r="I51" s="2741">
        <f t="shared" ca="1" si="9"/>
        <v>874510.8050110531</v>
      </c>
      <c r="J51" s="2741">
        <f t="shared" si="9"/>
        <v>25096.15776785856</v>
      </c>
      <c r="K51" s="2741">
        <f t="shared" ca="1" si="9"/>
        <v>14692510.807485137</v>
      </c>
    </row>
    <row r="52" spans="1:12" ht="15.75" x14ac:dyDescent="0.25">
      <c r="B52" s="144"/>
    </row>
    <row r="53" spans="1:12" ht="15.75" x14ac:dyDescent="0.25">
      <c r="B53" s="144"/>
      <c r="C53" s="2482"/>
      <c r="K53" s="2501">
        <f>'SCG Table A2'!F16</f>
        <v>14692510.807485137</v>
      </c>
    </row>
    <row r="54" spans="1:12" ht="15.75" x14ac:dyDescent="0.25">
      <c r="B54" s="144"/>
      <c r="K54" s="2501"/>
    </row>
    <row r="55" spans="1:12" ht="15.75" x14ac:dyDescent="0.25">
      <c r="B55" s="144"/>
      <c r="K55" s="2470">
        <f ca="1">+K53-K51</f>
        <v>0</v>
      </c>
    </row>
    <row r="58" spans="1:12" x14ac:dyDescent="0.2">
      <c r="F58" s="134"/>
    </row>
    <row r="59" spans="1:12" x14ac:dyDescent="0.2">
      <c r="F59" s="134"/>
    </row>
    <row r="60" spans="1:12" x14ac:dyDescent="0.2">
      <c r="F60" s="134"/>
    </row>
    <row r="61" spans="1:12" x14ac:dyDescent="0.2">
      <c r="F61" s="134"/>
    </row>
    <row r="62" spans="1:12" x14ac:dyDescent="0.2">
      <c r="F62" s="134"/>
    </row>
    <row r="63" spans="1:12" x14ac:dyDescent="0.2">
      <c r="F63" s="134"/>
    </row>
  </sheetData>
  <mergeCells count="8">
    <mergeCell ref="B28:K28"/>
    <mergeCell ref="B34:K34"/>
    <mergeCell ref="B39:K39"/>
    <mergeCell ref="B1:K1"/>
    <mergeCell ref="B2:K2"/>
    <mergeCell ref="B11:K11"/>
    <mergeCell ref="B18:K18"/>
    <mergeCell ref="B24:K24"/>
  </mergeCells>
  <printOptions horizontalCentered="1" verticalCentered="1"/>
  <pageMargins left="0.5" right="0.06" top="0.2" bottom="0.18" header="0.2" footer="0.25"/>
  <pageSetup scale="40" orientation="landscape" r:id="rId1"/>
  <headerFooter alignWithMargins="0">
    <oddFooter>&amp;C&amp;"Arial"&amp;11&amp;K000000&amp;14
Totals may vary due to rounding&amp;12
_x000D_&amp;1#&amp;"Calibri"&amp;12&amp;K008000Internal Use</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73">
    <tabColor indexed="44"/>
    <pageSetUpPr fitToPage="1"/>
  </sheetPr>
  <dimension ref="A1:S63"/>
  <sheetViews>
    <sheetView zoomScale="85" zoomScaleNormal="85" workbookViewId="0">
      <pane ySplit="10" topLeftCell="A26" activePane="bottomLeft" state="frozen"/>
      <selection activeCell="C12" sqref="C12"/>
      <selection pane="bottomLeft" activeCell="C12" sqref="C12:J16"/>
    </sheetView>
  </sheetViews>
  <sheetFormatPr defaultRowHeight="12.75" x14ac:dyDescent="0.2"/>
  <cols>
    <col min="1" max="1" width="7.140625" style="49" customWidth="1"/>
    <col min="2" max="2" width="60.28515625" style="49" customWidth="1"/>
    <col min="3" max="3" width="19.7109375" style="64" customWidth="1"/>
    <col min="4" max="4" width="17.85546875" style="63" customWidth="1"/>
    <col min="5" max="5" width="17.28515625" style="63" customWidth="1"/>
    <col min="6" max="6" width="20.42578125" style="63" customWidth="1"/>
    <col min="7" max="7" width="18.28515625" style="49" customWidth="1"/>
    <col min="8" max="9" width="19.140625" style="49" customWidth="1"/>
    <col min="10" max="10" width="20.42578125" style="49" customWidth="1"/>
    <col min="11" max="11" width="18.42578125" style="49" customWidth="1"/>
    <col min="12" max="12" width="12.5703125" style="2469" bestFit="1" customWidth="1"/>
    <col min="13" max="13" width="3.42578125" style="49" customWidth="1"/>
    <col min="14" max="14" width="13.42578125" style="49" bestFit="1" customWidth="1"/>
    <col min="15" max="15" width="14.28515625" style="49" bestFit="1" customWidth="1"/>
    <col min="16" max="17" width="9.140625" style="49"/>
    <col min="18" max="18" width="10.5703125" style="49" bestFit="1" customWidth="1"/>
    <col min="19" max="19" width="10.85546875" style="49" bestFit="1" customWidth="1"/>
    <col min="20" max="16384" width="9.140625" style="49"/>
  </cols>
  <sheetData>
    <row r="1" spans="1:19" ht="25.5" x14ac:dyDescent="0.35">
      <c r="B1" s="2944" t="s">
        <v>82</v>
      </c>
      <c r="C1" s="2944"/>
      <c r="D1" s="2944"/>
      <c r="E1" s="2944"/>
      <c r="F1" s="2944"/>
      <c r="G1" s="2944"/>
      <c r="H1" s="2944"/>
      <c r="I1" s="2944"/>
      <c r="J1" s="2944"/>
      <c r="K1" s="2944"/>
    </row>
    <row r="2" spans="1:19" ht="25.5" x14ac:dyDescent="0.35">
      <c r="B2" s="2944" t="s">
        <v>733</v>
      </c>
      <c r="C2" s="2944"/>
      <c r="D2" s="2944"/>
      <c r="E2" s="2944"/>
      <c r="F2" s="2944"/>
      <c r="G2" s="2944"/>
      <c r="H2" s="2944"/>
      <c r="I2" s="2944"/>
      <c r="J2" s="2944"/>
      <c r="K2" s="2944"/>
    </row>
    <row r="3" spans="1:19" ht="26.25" hidden="1" x14ac:dyDescent="0.4">
      <c r="B3" s="1895"/>
      <c r="C3" s="10"/>
      <c r="D3" s="8"/>
      <c r="E3" s="8"/>
      <c r="F3" s="1894"/>
      <c r="G3" s="1895"/>
      <c r="H3" s="9"/>
      <c r="I3" s="9"/>
      <c r="J3" s="9"/>
      <c r="K3" s="1895"/>
    </row>
    <row r="4" spans="1:19" ht="26.25" hidden="1" x14ac:dyDescent="0.4">
      <c r="B4" s="1895"/>
      <c r="C4" s="10"/>
      <c r="D4" s="8"/>
      <c r="E4" s="8"/>
      <c r="F4" s="1894"/>
      <c r="G4" s="1895"/>
      <c r="H4" s="9"/>
      <c r="I4" s="9"/>
      <c r="J4" s="9"/>
      <c r="K4" s="1895"/>
    </row>
    <row r="5" spans="1:19" ht="26.25" hidden="1" x14ac:dyDescent="0.4">
      <c r="B5" s="1895"/>
      <c r="C5" s="10"/>
      <c r="D5" s="8"/>
      <c r="E5" s="8"/>
      <c r="F5" s="1894"/>
      <c r="G5" s="1895"/>
      <c r="H5" s="9"/>
      <c r="I5" s="9"/>
      <c r="J5" s="9"/>
      <c r="K5" s="1895"/>
    </row>
    <row r="6" spans="1:19" ht="26.25" hidden="1" x14ac:dyDescent="0.4">
      <c r="B6" s="1895"/>
      <c r="C6" s="10"/>
      <c r="D6" s="8"/>
      <c r="E6" s="8"/>
      <c r="F6" s="1894"/>
      <c r="G6" s="1895"/>
      <c r="H6" s="9"/>
      <c r="I6" s="9"/>
      <c r="J6" s="9"/>
      <c r="K6" s="1895"/>
    </row>
    <row r="7" spans="1:19" ht="26.25" hidden="1" x14ac:dyDescent="0.4">
      <c r="B7" s="1895"/>
      <c r="C7" s="10"/>
      <c r="D7" s="8"/>
      <c r="E7" s="8"/>
      <c r="F7" s="1894"/>
      <c r="G7" s="1895"/>
      <c r="H7" s="9"/>
      <c r="I7" s="9"/>
      <c r="J7" s="9"/>
      <c r="K7" s="1895"/>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42.7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c r="P10" s="49">
        <v>0.65</v>
      </c>
    </row>
    <row r="11" spans="1:19" ht="21" thickBot="1" x14ac:dyDescent="0.35">
      <c r="A11" s="21"/>
      <c r="B11" s="2949" t="s">
        <v>5</v>
      </c>
      <c r="C11" s="2950"/>
      <c r="D11" s="2950"/>
      <c r="E11" s="2950"/>
      <c r="F11" s="2950"/>
      <c r="G11" s="2950"/>
      <c r="H11" s="2950"/>
      <c r="I11" s="2950"/>
      <c r="J11" s="2950"/>
      <c r="K11" s="2950"/>
    </row>
    <row r="12" spans="1:19" ht="24.6" customHeight="1" thickBot="1" x14ac:dyDescent="0.35">
      <c r="A12" s="83"/>
      <c r="B12" s="2737" t="s">
        <v>741</v>
      </c>
      <c r="C12" s="2738">
        <v>21669.4</v>
      </c>
      <c r="D12" s="2738">
        <v>40</v>
      </c>
      <c r="E12" s="2738">
        <v>840.25200000000007</v>
      </c>
      <c r="F12" s="2738">
        <v>300</v>
      </c>
      <c r="G12" s="2738">
        <v>103203.58858006861</v>
      </c>
      <c r="H12" s="2738">
        <v>3837.4080000000004</v>
      </c>
      <c r="I12" s="2738">
        <v>165</v>
      </c>
      <c r="J12" s="2738">
        <v>135</v>
      </c>
      <c r="K12" s="2738">
        <f>SUM(C12:J12)</f>
        <v>130190.64858006861</v>
      </c>
      <c r="L12" s="2469">
        <f ca="1">$L$17*K12/$K$17</f>
        <v>4.7441734992790163E-5</v>
      </c>
      <c r="N12" s="2469">
        <v>0</v>
      </c>
      <c r="O12" s="587">
        <f>+N12+G12</f>
        <v>103203.58858006861</v>
      </c>
      <c r="Q12" s="1172"/>
      <c r="S12" s="2847">
        <f>+R12+G12</f>
        <v>103203.58858006861</v>
      </c>
    </row>
    <row r="13" spans="1:19" ht="24.6" customHeight="1" thickBot="1" x14ac:dyDescent="0.35">
      <c r="A13" s="83"/>
      <c r="B13" s="2737" t="s">
        <v>742</v>
      </c>
      <c r="C13" s="2738">
        <v>261854.63443095598</v>
      </c>
      <c r="D13" s="2738">
        <v>680</v>
      </c>
      <c r="E13" s="2738">
        <v>121212.09</v>
      </c>
      <c r="F13" s="2738">
        <v>49850</v>
      </c>
      <c r="G13" s="2738">
        <v>2622005.2196912058</v>
      </c>
      <c r="H13" s="2738">
        <v>57814.726000000002</v>
      </c>
      <c r="I13" s="2738">
        <v>1217.5</v>
      </c>
      <c r="J13" s="2738">
        <v>1632.5</v>
      </c>
      <c r="K13" s="2738">
        <f>SUM(C13:J13)</f>
        <v>3116266.6701221615</v>
      </c>
      <c r="L13" s="2469">
        <f ca="1">$L$17*K13/$K$17</f>
        <v>1.1355738614350355E-3</v>
      </c>
      <c r="N13" s="2469">
        <v>97015.168299409197</v>
      </c>
      <c r="O13" s="587">
        <f t="shared" ref="O13:O23" si="0">+N13+G13</f>
        <v>2719020.3879906149</v>
      </c>
      <c r="Q13" s="1172">
        <f>C13/($C$13+$C$15+$C$16)</f>
        <v>0.475701389493909</v>
      </c>
      <c r="R13" s="2486">
        <f ca="1">+Q13*$R$17</f>
        <v>1.5086735795270345E-3</v>
      </c>
      <c r="S13" s="2847">
        <f t="shared" ref="S13:S16" ca="1" si="1">+R13+G13</f>
        <v>2622005.2211998794</v>
      </c>
    </row>
    <row r="14" spans="1:19" ht="24.6" customHeight="1" thickBot="1" x14ac:dyDescent="0.35">
      <c r="A14" s="83"/>
      <c r="B14" s="2737" t="s">
        <v>759</v>
      </c>
      <c r="C14" s="2738">
        <v>74826.7</v>
      </c>
      <c r="D14" s="2738">
        <v>325</v>
      </c>
      <c r="E14" s="2738">
        <v>50201.3655</v>
      </c>
      <c r="F14" s="2738">
        <v>3900</v>
      </c>
      <c r="G14" s="2738">
        <v>1017091.4</v>
      </c>
      <c r="H14" s="2738">
        <v>26408.765500000001</v>
      </c>
      <c r="I14" s="2738">
        <v>585</v>
      </c>
      <c r="J14" s="2738">
        <v>1365</v>
      </c>
      <c r="K14" s="2738">
        <f>SUM(C14:J14)</f>
        <v>1174703.2309999999</v>
      </c>
      <c r="L14" s="2469">
        <f ca="1">$L$17*K14/$K$17</f>
        <v>4.2806422725516914E-4</v>
      </c>
      <c r="N14" s="2469">
        <v>37328.677188512309</v>
      </c>
      <c r="O14" s="587">
        <f t="shared" si="0"/>
        <v>1054420.0771885123</v>
      </c>
      <c r="Q14" s="1172"/>
      <c r="R14" s="2486"/>
      <c r="S14" s="2847">
        <f t="shared" si="1"/>
        <v>1017091.4</v>
      </c>
    </row>
    <row r="15" spans="1:19" ht="24.6" customHeight="1" thickBot="1" x14ac:dyDescent="0.35">
      <c r="A15" s="83"/>
      <c r="B15" s="2737" t="s">
        <v>283</v>
      </c>
      <c r="C15" s="2738">
        <v>258109.70720936201</v>
      </c>
      <c r="D15" s="2738">
        <v>980</v>
      </c>
      <c r="E15" s="2738">
        <v>36698.81</v>
      </c>
      <c r="F15" s="2738">
        <v>5850</v>
      </c>
      <c r="G15" s="2738">
        <v>3711181.7701283861</v>
      </c>
      <c r="H15" s="2738">
        <v>41645.126000000004</v>
      </c>
      <c r="I15" s="2738">
        <v>792.5</v>
      </c>
      <c r="J15" s="2738">
        <v>3057.5</v>
      </c>
      <c r="K15" s="2738">
        <f>SUM(C15:J15)</f>
        <v>4058315.4133377485</v>
      </c>
      <c r="L15" s="2469">
        <f ca="1">$L$17*K15/$K$17</f>
        <v>1.4788583239779699E-3</v>
      </c>
      <c r="N15" s="2469">
        <v>124274.33410933008</v>
      </c>
      <c r="O15" s="587">
        <f t="shared" si="0"/>
        <v>3835456.1042377162</v>
      </c>
      <c r="Q15" s="1172">
        <f>C15/($C$13+$C$15+$C$16)</f>
        <v>0.46889812215156401</v>
      </c>
      <c r="R15" s="2486">
        <f ca="1">+Q15*$R$17</f>
        <v>1.4870972084662423E-3</v>
      </c>
      <c r="S15" s="2847">
        <f t="shared" ca="1" si="1"/>
        <v>3711181.7716154833</v>
      </c>
    </row>
    <row r="16" spans="1:19" ht="24.6" customHeight="1" thickBot="1" x14ac:dyDescent="0.35">
      <c r="A16" s="83"/>
      <c r="B16" s="2739" t="s">
        <v>531</v>
      </c>
      <c r="C16" s="2738">
        <v>30495.758359681786</v>
      </c>
      <c r="D16" s="2738">
        <v>100</v>
      </c>
      <c r="E16" s="2738">
        <v>193150.89321160884</v>
      </c>
      <c r="F16" s="2738">
        <v>0</v>
      </c>
      <c r="G16" s="2738">
        <v>0</v>
      </c>
      <c r="H16" s="2738">
        <v>0</v>
      </c>
      <c r="I16" s="2738">
        <v>0</v>
      </c>
      <c r="J16" s="2738">
        <v>0</v>
      </c>
      <c r="K16" s="2738">
        <f>SUM(C16:J16)</f>
        <v>223746.65157129063</v>
      </c>
      <c r="L16" s="2469">
        <f ca="1">$L$17*K16/$K$17</f>
        <v>8.153373122525795E-5</v>
      </c>
      <c r="N16" s="2469">
        <v>5866.3051516241039</v>
      </c>
      <c r="O16" s="587">
        <f>+N16+E16</f>
        <v>199017.19836323295</v>
      </c>
      <c r="Q16" s="1172">
        <f>C16/($C$13+$C$15+$C$16)</f>
        <v>5.5400488354527058E-2</v>
      </c>
      <c r="R16" s="2486">
        <f ca="1">+Q16*$R$17</f>
        <v>1.7570109089294625E-4</v>
      </c>
      <c r="S16" s="2847">
        <f t="shared" ca="1" si="1"/>
        <v>1.7570109089294625E-4</v>
      </c>
    </row>
    <row r="17" spans="1:19" ht="24.6" customHeight="1" thickBot="1" x14ac:dyDescent="0.35">
      <c r="A17" s="84"/>
      <c r="B17" s="2740" t="s">
        <v>743</v>
      </c>
      <c r="C17" s="2741">
        <f t="shared" ref="C17:J17" si="2">SUM(C12:C16)</f>
        <v>646956.19999999984</v>
      </c>
      <c r="D17" s="2741">
        <f t="shared" si="2"/>
        <v>2125</v>
      </c>
      <c r="E17" s="2741">
        <f t="shared" si="2"/>
        <v>402103.41071160883</v>
      </c>
      <c r="F17" s="2741">
        <f>SUM(F12:F16)</f>
        <v>59900</v>
      </c>
      <c r="G17" s="2741">
        <f t="shared" si="2"/>
        <v>7453481.9783996604</v>
      </c>
      <c r="H17" s="2741">
        <f t="shared" si="2"/>
        <v>129706.0255</v>
      </c>
      <c r="I17" s="2741">
        <f t="shared" si="2"/>
        <v>2760</v>
      </c>
      <c r="J17" s="2741">
        <f t="shared" si="2"/>
        <v>6190</v>
      </c>
      <c r="K17" s="2741">
        <f>SUM(K12:K16)</f>
        <v>8703222.6146112699</v>
      </c>
      <c r="L17" s="2469">
        <f ca="1">K55</f>
        <v>3.1714718788862228E-3</v>
      </c>
      <c r="N17" s="2469">
        <f>SUM(N12:N16)</f>
        <v>264484.48474887566</v>
      </c>
      <c r="O17" s="587">
        <f t="shared" si="0"/>
        <v>7717966.4631485362</v>
      </c>
      <c r="R17" s="2486">
        <f ca="1">$K$55</f>
        <v>3.1714718788862228E-3</v>
      </c>
    </row>
    <row r="18" spans="1:19" ht="24.6" customHeight="1" thickBot="1" x14ac:dyDescent="0.35">
      <c r="A18" s="84"/>
      <c r="B18" s="2949" t="s">
        <v>6</v>
      </c>
      <c r="C18" s="2950"/>
      <c r="D18" s="2950"/>
      <c r="E18" s="2950"/>
      <c r="F18" s="2950"/>
      <c r="G18" s="2950"/>
      <c r="H18" s="2950"/>
      <c r="I18" s="2950"/>
      <c r="J18" s="2950"/>
      <c r="K18" s="2950"/>
      <c r="N18" s="2469"/>
      <c r="O18" s="587">
        <f t="shared" si="0"/>
        <v>0</v>
      </c>
      <c r="S18" s="49">
        <v>62003.329200529632</v>
      </c>
    </row>
    <row r="19" spans="1:19" ht="24.6" customHeight="1" thickBot="1" x14ac:dyDescent="0.35">
      <c r="A19" s="83"/>
      <c r="B19" s="2737" t="s">
        <v>285</v>
      </c>
      <c r="C19" s="2738">
        <v>103060</v>
      </c>
      <c r="D19" s="2738">
        <v>1000</v>
      </c>
      <c r="E19" s="2738">
        <v>10999.86</v>
      </c>
      <c r="F19" s="2738">
        <v>3000</v>
      </c>
      <c r="G19" s="2738">
        <v>1497320.4830596023</v>
      </c>
      <c r="H19" s="2738">
        <v>23935.57</v>
      </c>
      <c r="I19" s="2738">
        <v>1200</v>
      </c>
      <c r="J19" s="2738">
        <v>6800</v>
      </c>
      <c r="K19" s="2738">
        <f>SUM(C19:J19)</f>
        <v>1647315.9130596025</v>
      </c>
      <c r="L19" s="2469">
        <f>$L$23*K19/$K$23</f>
        <v>-23861.52967674856</v>
      </c>
      <c r="N19" s="2469">
        <v>-23861.529676748556</v>
      </c>
      <c r="O19" s="587">
        <f t="shared" si="0"/>
        <v>1473458.9533828539</v>
      </c>
    </row>
    <row r="20" spans="1:19" ht="24.6" customHeight="1" thickBot="1" x14ac:dyDescent="0.35">
      <c r="A20" s="83"/>
      <c r="B20" s="2737" t="s">
        <v>275</v>
      </c>
      <c r="C20" s="2738">
        <v>103060</v>
      </c>
      <c r="D20" s="2738">
        <v>700</v>
      </c>
      <c r="E20" s="2738">
        <v>9315.26</v>
      </c>
      <c r="F20" s="2738">
        <v>4000</v>
      </c>
      <c r="G20" s="2738">
        <v>938677.62904041621</v>
      </c>
      <c r="H20" s="2738">
        <v>26072.53</v>
      </c>
      <c r="I20" s="2738">
        <v>200</v>
      </c>
      <c r="J20" s="2738">
        <v>4000</v>
      </c>
      <c r="K20" s="2738">
        <f>SUM(C20:J20)</f>
        <v>1086025.4190404161</v>
      </c>
      <c r="L20" s="2469">
        <f>$L$23*K20/$K$23</f>
        <v>-15731.182805127532</v>
      </c>
      <c r="N20" s="2469">
        <v>-15731.182805127533</v>
      </c>
      <c r="O20" s="587">
        <f t="shared" si="0"/>
        <v>922946.44623528863</v>
      </c>
    </row>
    <row r="21" spans="1:19" ht="24.6" customHeight="1" thickBot="1" x14ac:dyDescent="0.35">
      <c r="A21" s="83"/>
      <c r="B21" s="2737" t="s">
        <v>744</v>
      </c>
      <c r="C21" s="2738">
        <v>58688</v>
      </c>
      <c r="D21" s="2738">
        <v>500</v>
      </c>
      <c r="E21" s="2738">
        <v>105834.54000000001</v>
      </c>
      <c r="F21" s="2738">
        <v>1000</v>
      </c>
      <c r="G21" s="2738">
        <v>309864.96830691537</v>
      </c>
      <c r="H21" s="2738">
        <v>10029.439999999999</v>
      </c>
      <c r="I21" s="2738">
        <v>100</v>
      </c>
      <c r="J21" s="2738">
        <v>1900</v>
      </c>
      <c r="K21" s="2738">
        <f>SUM(C21:J21)</f>
        <v>487916.94830691541</v>
      </c>
      <c r="L21" s="2469">
        <f>$L$23*K21/$K$23</f>
        <v>-7067.5239943443758</v>
      </c>
      <c r="N21" s="2469">
        <v>-7067.5239943443767</v>
      </c>
      <c r="O21" s="587">
        <f t="shared" si="0"/>
        <v>302797.44431257097</v>
      </c>
    </row>
    <row r="22" spans="1:19" ht="24.6" customHeight="1" thickBot="1" x14ac:dyDescent="0.35">
      <c r="A22" s="84"/>
      <c r="B22" s="2739" t="s">
        <v>245</v>
      </c>
      <c r="C22" s="2738">
        <v>90770</v>
      </c>
      <c r="D22" s="2738">
        <v>200</v>
      </c>
      <c r="E22" s="2738">
        <f>36000+2855.23</f>
        <v>38855.230000000003</v>
      </c>
      <c r="F22" s="2738">
        <v>2500</v>
      </c>
      <c r="G22" s="2738">
        <v>160305.60893783049</v>
      </c>
      <c r="H22" s="2738">
        <v>4971.1399999999994</v>
      </c>
      <c r="I22" s="2738">
        <v>100</v>
      </c>
      <c r="J22" s="2738">
        <v>1900</v>
      </c>
      <c r="K22" s="2738">
        <f>SUM(C22:J22)</f>
        <v>299601.97893783054</v>
      </c>
      <c r="L22" s="2469">
        <f>$L$23*K22/$K$23</f>
        <v>-4339.763523779533</v>
      </c>
      <c r="N22" s="2469">
        <v>-4339.763523779533</v>
      </c>
      <c r="O22" s="587">
        <f t="shared" si="0"/>
        <v>155965.84541405097</v>
      </c>
    </row>
    <row r="23" spans="1:19" ht="24.6" customHeight="1" thickBot="1" x14ac:dyDescent="0.35">
      <c r="A23" s="84"/>
      <c r="B23" s="2740" t="s">
        <v>745</v>
      </c>
      <c r="C23" s="2741">
        <f>SUM(C19:C22)</f>
        <v>355578</v>
      </c>
      <c r="D23" s="2741">
        <f t="shared" ref="D23:K23" si="3">SUM(D19:D22)</f>
        <v>2400</v>
      </c>
      <c r="E23" s="2741">
        <f t="shared" si="3"/>
        <v>165004.89000000001</v>
      </c>
      <c r="F23" s="2741">
        <f t="shared" si="3"/>
        <v>10500</v>
      </c>
      <c r="G23" s="2741">
        <f t="shared" si="3"/>
        <v>2906168.6893447647</v>
      </c>
      <c r="H23" s="2741">
        <f t="shared" si="3"/>
        <v>65008.679999999993</v>
      </c>
      <c r="I23" s="2741">
        <f t="shared" si="3"/>
        <v>1600</v>
      </c>
      <c r="J23" s="2741">
        <f t="shared" si="3"/>
        <v>14600</v>
      </c>
      <c r="K23" s="2741">
        <f t="shared" si="3"/>
        <v>3520860.259344765</v>
      </c>
      <c r="L23" s="2469">
        <v>-51000</v>
      </c>
      <c r="N23" s="2469">
        <v>-8373.4888598901452</v>
      </c>
      <c r="O23" s="587">
        <f t="shared" si="0"/>
        <v>2897795.2004848747</v>
      </c>
    </row>
    <row r="24" spans="1:19" ht="21" thickBot="1" x14ac:dyDescent="0.35">
      <c r="A24" s="84"/>
      <c r="B24" s="2947" t="s">
        <v>737</v>
      </c>
      <c r="C24" s="2948"/>
      <c r="D24" s="2948"/>
      <c r="E24" s="2948"/>
      <c r="F24" s="2948"/>
      <c r="G24" s="2948"/>
      <c r="H24" s="2948"/>
      <c r="I24" s="2948"/>
      <c r="J24" s="2948"/>
      <c r="K24" s="2948"/>
      <c r="M24" s="2469"/>
      <c r="N24" s="2469"/>
    </row>
    <row r="25" spans="1:19" ht="21" thickBot="1" x14ac:dyDescent="0.35">
      <c r="A25" s="84"/>
      <c r="B25" s="2737" t="s">
        <v>739</v>
      </c>
      <c r="C25" s="2738">
        <v>42884</v>
      </c>
      <c r="D25" s="2738"/>
      <c r="E25" s="2738">
        <f>1.05*74900</f>
        <v>78645</v>
      </c>
      <c r="F25" s="2738"/>
      <c r="G25" s="2738">
        <f>88750*1.05</f>
        <v>93187.5</v>
      </c>
      <c r="H25" s="2738"/>
      <c r="I25" s="2738"/>
      <c r="J25" s="2738"/>
      <c r="K25" s="2738">
        <f>SUM(C25:J25)</f>
        <v>214716.5</v>
      </c>
      <c r="M25" s="2469"/>
      <c r="N25" s="2469"/>
      <c r="O25" s="2469"/>
    </row>
    <row r="26" spans="1:19" ht="21" thickBot="1" x14ac:dyDescent="0.35">
      <c r="A26" s="84"/>
      <c r="B26" s="2739" t="s">
        <v>738</v>
      </c>
      <c r="C26" s="2738">
        <v>42884</v>
      </c>
      <c r="D26" s="2738"/>
      <c r="E26" s="2738">
        <f>102792*1.03^2</f>
        <v>109052.0328</v>
      </c>
      <c r="F26" s="2738"/>
      <c r="G26" s="2738">
        <f>50000*1.03^2</f>
        <v>53045</v>
      </c>
      <c r="H26" s="2738"/>
      <c r="I26" s="2738"/>
      <c r="J26" s="2738"/>
      <c r="K26" s="2738">
        <f>SUM(C26:J26)</f>
        <v>204981.03279999999</v>
      </c>
      <c r="M26" s="2469"/>
      <c r="N26" s="2469"/>
      <c r="O26" s="2469"/>
    </row>
    <row r="27" spans="1:19" ht="21" thickBot="1" x14ac:dyDescent="0.35">
      <c r="A27" s="84"/>
      <c r="B27" s="2740" t="s">
        <v>758</v>
      </c>
      <c r="C27" s="2741">
        <f t="shared" ref="C27:K27" si="4">SUM(C25:C26)</f>
        <v>85768</v>
      </c>
      <c r="D27" s="2741">
        <f t="shared" si="4"/>
        <v>0</v>
      </c>
      <c r="E27" s="2741">
        <f t="shared" si="4"/>
        <v>187697.03279999999</v>
      </c>
      <c r="F27" s="2741">
        <f t="shared" si="4"/>
        <v>0</v>
      </c>
      <c r="G27" s="2741">
        <f t="shared" si="4"/>
        <v>146232.5</v>
      </c>
      <c r="H27" s="2741">
        <f t="shared" si="4"/>
        <v>0</v>
      </c>
      <c r="I27" s="2741">
        <f t="shared" si="4"/>
        <v>0</v>
      </c>
      <c r="J27" s="2741">
        <f t="shared" si="4"/>
        <v>0</v>
      </c>
      <c r="K27" s="2741">
        <f t="shared" si="4"/>
        <v>419697.53279999999</v>
      </c>
      <c r="M27" s="2469"/>
      <c r="N27" s="2469"/>
      <c r="O27" s="2469"/>
    </row>
    <row r="28" spans="1:19" s="9" customFormat="1" ht="16.5" customHeight="1" thickBot="1" x14ac:dyDescent="0.3">
      <c r="A28" s="1145"/>
      <c r="B28" s="2947" t="s">
        <v>746</v>
      </c>
      <c r="C28" s="2948"/>
      <c r="D28" s="2948"/>
      <c r="E28" s="2948"/>
      <c r="F28" s="2948"/>
      <c r="G28" s="2948"/>
      <c r="H28" s="2948"/>
      <c r="I28" s="2948"/>
      <c r="J28" s="2948"/>
      <c r="K28" s="2948"/>
      <c r="L28" s="2596"/>
    </row>
    <row r="29" spans="1:19" s="9" customFormat="1" ht="16.5" customHeight="1" thickBot="1" x14ac:dyDescent="0.3">
      <c r="A29" s="1150"/>
      <c r="B29" s="2737" t="s">
        <v>763</v>
      </c>
      <c r="C29" s="2738">
        <v>10329</v>
      </c>
      <c r="D29" s="2738">
        <v>363.01291648920721</v>
      </c>
      <c r="E29" s="2738">
        <f>-938.51+54121.5504624295</f>
        <v>53183.040462429497</v>
      </c>
      <c r="F29" s="2738">
        <v>0</v>
      </c>
      <c r="G29" s="2738">
        <v>0</v>
      </c>
      <c r="H29" s="2738">
        <v>1814.7484963955119</v>
      </c>
      <c r="I29" s="2738">
        <v>8443.7430039617593</v>
      </c>
      <c r="J29" s="2738">
        <v>2533.122901188528</v>
      </c>
      <c r="K29" s="2738">
        <f>SUM(C29:J29)</f>
        <v>76666.667780464501</v>
      </c>
      <c r="L29" s="2596"/>
      <c r="M29" s="2597"/>
    </row>
    <row r="30" spans="1:19" s="9" customFormat="1" ht="16.5" customHeight="1" thickBot="1" x14ac:dyDescent="0.3">
      <c r="A30" s="1150"/>
      <c r="B30" s="2737" t="s">
        <v>764</v>
      </c>
      <c r="C30" s="2738">
        <v>0</v>
      </c>
      <c r="D30" s="2738">
        <v>0</v>
      </c>
      <c r="E30" s="2738">
        <v>82666.66</v>
      </c>
      <c r="F30" s="2738">
        <v>0</v>
      </c>
      <c r="G30" s="2738">
        <v>0</v>
      </c>
      <c r="H30" s="2738">
        <v>0</v>
      </c>
      <c r="I30" s="2738">
        <v>0</v>
      </c>
      <c r="J30" s="2738">
        <v>0</v>
      </c>
      <c r="K30" s="2738">
        <f>SUM(C30:J30)</f>
        <v>82666.66</v>
      </c>
      <c r="L30" s="2596"/>
    </row>
    <row r="31" spans="1:19" s="9" customFormat="1" ht="16.5" customHeight="1" thickBot="1" x14ac:dyDescent="0.3">
      <c r="A31" s="1150"/>
      <c r="B31" s="2739" t="s">
        <v>765</v>
      </c>
      <c r="C31" s="2738">
        <v>11195</v>
      </c>
      <c r="D31" s="2738">
        <v>389.77583742602167</v>
      </c>
      <c r="E31" s="2738">
        <f>-2531.02+63667.6710455326</f>
        <v>61136.651045532606</v>
      </c>
      <c r="F31" s="2738">
        <v>0</v>
      </c>
      <c r="G31" s="2738">
        <v>0</v>
      </c>
      <c r="H31" s="2738">
        <v>4195.8158694433623</v>
      </c>
      <c r="I31" s="2738">
        <v>2371.0979049099333</v>
      </c>
      <c r="J31" s="2738">
        <v>711.6504409252359</v>
      </c>
      <c r="K31" s="2738">
        <f>SUM(C31:J31)</f>
        <v>79999.991098237166</v>
      </c>
      <c r="L31" s="2596"/>
    </row>
    <row r="32" spans="1:19" s="9" customFormat="1" ht="16.5" customHeight="1" thickBot="1" x14ac:dyDescent="0.3">
      <c r="A32" s="1150"/>
      <c r="B32" s="2739" t="s">
        <v>766</v>
      </c>
      <c r="C32" s="2738">
        <v>3561</v>
      </c>
      <c r="D32" s="2738">
        <v>139.28580994904527</v>
      </c>
      <c r="E32" s="2738">
        <f>-573.72+43414.3155318101</f>
        <v>42840.595531810097</v>
      </c>
      <c r="F32" s="2738">
        <v>0</v>
      </c>
      <c r="G32" s="2738">
        <v>0</v>
      </c>
      <c r="H32" s="2738">
        <v>321.4287921901045</v>
      </c>
      <c r="I32" s="2738">
        <v>2413.8066028891503</v>
      </c>
      <c r="J32" s="2738">
        <v>723.8844257447978</v>
      </c>
      <c r="K32" s="2738">
        <f>SUM(C32:J32)</f>
        <v>50000.001162583198</v>
      </c>
      <c r="L32" s="2596"/>
    </row>
    <row r="33" spans="1:12" s="9" customFormat="1" ht="16.5" customHeight="1" thickBot="1" x14ac:dyDescent="0.3">
      <c r="A33" s="1150"/>
      <c r="B33" s="2740" t="s">
        <v>747</v>
      </c>
      <c r="C33" s="2741">
        <f t="shared" ref="C33:K33" si="5">SUM(C29:C32)</f>
        <v>25085</v>
      </c>
      <c r="D33" s="2741">
        <f t="shared" si="5"/>
        <v>892.07456386427418</v>
      </c>
      <c r="E33" s="2741">
        <f t="shared" si="5"/>
        <v>239826.9470397722</v>
      </c>
      <c r="F33" s="2741">
        <f t="shared" si="5"/>
        <v>0</v>
      </c>
      <c r="G33" s="2741">
        <f t="shared" si="5"/>
        <v>0</v>
      </c>
      <c r="H33" s="2741">
        <f t="shared" si="5"/>
        <v>6331.9931580289785</v>
      </c>
      <c r="I33" s="2741">
        <f t="shared" si="5"/>
        <v>13228.647511760842</v>
      </c>
      <c r="J33" s="2741">
        <f t="shared" si="5"/>
        <v>3968.6577678585613</v>
      </c>
      <c r="K33" s="2741">
        <f t="shared" si="5"/>
        <v>289333.32004128484</v>
      </c>
      <c r="L33" s="2596"/>
    </row>
    <row r="34" spans="1:12" s="1164" customFormat="1" ht="16.5" customHeight="1" thickBot="1" x14ac:dyDescent="0.3">
      <c r="A34" s="1150"/>
      <c r="B34" s="2947" t="s">
        <v>108</v>
      </c>
      <c r="C34" s="2948"/>
      <c r="D34" s="2948"/>
      <c r="E34" s="2948"/>
      <c r="F34" s="2948"/>
      <c r="G34" s="2948"/>
      <c r="H34" s="2948"/>
      <c r="I34" s="2948"/>
      <c r="J34" s="2948"/>
      <c r="K34" s="2948"/>
      <c r="L34" s="2646"/>
    </row>
    <row r="35" spans="1:12" s="9" customFormat="1" ht="16.5" customHeight="1" thickBot="1" x14ac:dyDescent="0.3">
      <c r="A35" s="1150"/>
      <c r="B35" s="2737" t="s">
        <v>605</v>
      </c>
      <c r="C35" s="2738">
        <v>0</v>
      </c>
      <c r="D35" s="2738">
        <v>0</v>
      </c>
      <c r="E35" s="2738">
        <v>0</v>
      </c>
      <c r="F35" s="2738">
        <v>0</v>
      </c>
      <c r="G35" s="2738">
        <v>0</v>
      </c>
      <c r="H35" s="2738">
        <v>0</v>
      </c>
      <c r="I35" s="2738">
        <f>186292-100000</f>
        <v>86292</v>
      </c>
      <c r="J35" s="2738">
        <v>0</v>
      </c>
      <c r="K35" s="2738">
        <f>SUM(C35:J35)</f>
        <v>86292</v>
      </c>
      <c r="L35" s="2596"/>
    </row>
    <row r="36" spans="1:12" s="9" customFormat="1" ht="16.5" customHeight="1" thickBot="1" x14ac:dyDescent="0.3">
      <c r="A36" s="1150"/>
      <c r="B36" s="2739" t="s">
        <v>606</v>
      </c>
      <c r="C36" s="2738">
        <v>0</v>
      </c>
      <c r="D36" s="2738">
        <v>0</v>
      </c>
      <c r="E36" s="2738">
        <v>0</v>
      </c>
      <c r="F36" s="2738">
        <v>0</v>
      </c>
      <c r="G36" s="2738">
        <v>0</v>
      </c>
      <c r="H36" s="2738">
        <v>0</v>
      </c>
      <c r="I36" s="2738">
        <v>75000</v>
      </c>
      <c r="J36" s="2738">
        <v>0</v>
      </c>
      <c r="K36" s="2738">
        <f>SUM(C36:J36)</f>
        <v>75000</v>
      </c>
      <c r="L36" s="2596"/>
    </row>
    <row r="37" spans="1:12" s="9" customFormat="1" ht="16.5" customHeight="1" thickBot="1" x14ac:dyDescent="0.3">
      <c r="A37" s="1150"/>
      <c r="B37" s="2739" t="s">
        <v>748</v>
      </c>
      <c r="C37" s="2738">
        <v>0</v>
      </c>
      <c r="D37" s="2738">
        <v>0</v>
      </c>
      <c r="E37" s="2738">
        <v>50000</v>
      </c>
      <c r="F37" s="2738">
        <v>0</v>
      </c>
      <c r="G37" s="2738">
        <v>0</v>
      </c>
      <c r="H37" s="2738">
        <v>0</v>
      </c>
      <c r="I37" s="2738">
        <v>0</v>
      </c>
      <c r="J37" s="2738">
        <v>0</v>
      </c>
      <c r="K37" s="2738">
        <f>SUM(C37:J37)</f>
        <v>50000</v>
      </c>
      <c r="L37" s="2596"/>
    </row>
    <row r="38" spans="1:12" s="1164" customFormat="1" ht="16.5" customHeight="1" thickBot="1" x14ac:dyDescent="0.3">
      <c r="A38" s="1150"/>
      <c r="B38" s="2740" t="s">
        <v>749</v>
      </c>
      <c r="C38" s="2741">
        <f t="shared" ref="C38:K38" si="6">SUM(C35:C37)</f>
        <v>0</v>
      </c>
      <c r="D38" s="2741">
        <f t="shared" si="6"/>
        <v>0</v>
      </c>
      <c r="E38" s="2741">
        <f t="shared" si="6"/>
        <v>50000</v>
      </c>
      <c r="F38" s="2741">
        <f t="shared" si="6"/>
        <v>0</v>
      </c>
      <c r="G38" s="2741">
        <f t="shared" si="6"/>
        <v>0</v>
      </c>
      <c r="H38" s="2741">
        <f t="shared" si="6"/>
        <v>0</v>
      </c>
      <c r="I38" s="2741">
        <f>SUM(I35:I37)</f>
        <v>161292</v>
      </c>
      <c r="J38" s="2741">
        <f t="shared" si="6"/>
        <v>0</v>
      </c>
      <c r="K38" s="2741">
        <f t="shared" si="6"/>
        <v>211292</v>
      </c>
      <c r="L38" s="2646"/>
    </row>
    <row r="39" spans="1:12" s="9" customFormat="1" ht="16.5" customHeight="1" thickBot="1" x14ac:dyDescent="0.3">
      <c r="A39" s="1150"/>
      <c r="B39" s="2947" t="s">
        <v>401</v>
      </c>
      <c r="C39" s="2948"/>
      <c r="D39" s="2948"/>
      <c r="E39" s="2948"/>
      <c r="F39" s="2948"/>
      <c r="G39" s="2948"/>
      <c r="H39" s="2948"/>
      <c r="I39" s="2948"/>
      <c r="J39" s="2948"/>
      <c r="K39" s="2948"/>
      <c r="L39" s="2596"/>
    </row>
    <row r="40" spans="1:12" s="9" customFormat="1" ht="16.5" customHeight="1" thickBot="1" x14ac:dyDescent="0.3">
      <c r="A40" s="1150"/>
      <c r="B40" s="2739" t="s">
        <v>330</v>
      </c>
      <c r="C40" s="2738">
        <v>178623</v>
      </c>
      <c r="D40" s="2738">
        <v>0</v>
      </c>
      <c r="E40" s="2738">
        <f>20675-11292+1</f>
        <v>9384</v>
      </c>
      <c r="F40" s="2738">
        <v>0</v>
      </c>
      <c r="G40" s="2738">
        <v>0</v>
      </c>
      <c r="H40" s="2738">
        <v>0</v>
      </c>
      <c r="I40" s="2738">
        <v>0</v>
      </c>
      <c r="J40" s="2738">
        <v>0</v>
      </c>
      <c r="K40" s="2738">
        <f>SUM(C40:J40)</f>
        <v>188007</v>
      </c>
      <c r="L40" s="2596"/>
    </row>
    <row r="41" spans="1:12" s="9" customFormat="1" ht="16.5" customHeight="1" thickBot="1" x14ac:dyDescent="0.3">
      <c r="A41" s="1150"/>
      <c r="B41" s="2739" t="s">
        <v>750</v>
      </c>
      <c r="C41" s="2738">
        <v>0</v>
      </c>
      <c r="D41" s="2738">
        <v>0</v>
      </c>
      <c r="E41" s="2738">
        <v>0</v>
      </c>
      <c r="F41" s="2738">
        <v>0</v>
      </c>
      <c r="G41" s="2738">
        <v>0</v>
      </c>
      <c r="H41" s="2738">
        <v>40100</v>
      </c>
      <c r="I41" s="2738">
        <v>0</v>
      </c>
      <c r="J41" s="2738">
        <v>0</v>
      </c>
      <c r="K41" s="2738">
        <f t="shared" ref="K41:K48" si="7">SUM(C41:J41)</f>
        <v>40100</v>
      </c>
      <c r="L41" s="2596"/>
    </row>
    <row r="42" spans="1:12" s="9" customFormat="1" ht="16.5" customHeight="1" thickBot="1" x14ac:dyDescent="0.3">
      <c r="A42" s="1150"/>
      <c r="B42" s="2739" t="s">
        <v>281</v>
      </c>
      <c r="C42" s="2738">
        <v>63502</v>
      </c>
      <c r="D42" s="2738">
        <v>0</v>
      </c>
      <c r="E42" s="2738">
        <v>0</v>
      </c>
      <c r="F42" s="2738">
        <v>0</v>
      </c>
      <c r="G42" s="2738">
        <v>0</v>
      </c>
      <c r="H42" s="2738">
        <v>0</v>
      </c>
      <c r="I42" s="2738">
        <v>0</v>
      </c>
      <c r="J42" s="2738">
        <v>0</v>
      </c>
      <c r="K42" s="2738">
        <f>SUM(C42:J42)</f>
        <v>63502</v>
      </c>
      <c r="L42" s="2596"/>
    </row>
    <row r="43" spans="1:12" s="1159" customFormat="1" ht="16.5" customHeight="1" thickBot="1" x14ac:dyDescent="0.3">
      <c r="A43" s="1145"/>
      <c r="B43" s="2739" t="s">
        <v>751</v>
      </c>
      <c r="C43" s="2738">
        <v>0</v>
      </c>
      <c r="D43" s="2738">
        <v>0</v>
      </c>
      <c r="E43" s="2738">
        <v>300000</v>
      </c>
      <c r="F43" s="2738">
        <v>0</v>
      </c>
      <c r="G43" s="2738">
        <v>0</v>
      </c>
      <c r="H43" s="2738">
        <v>0</v>
      </c>
      <c r="I43" s="2738">
        <v>0</v>
      </c>
      <c r="J43" s="2738">
        <v>0</v>
      </c>
      <c r="K43" s="2738">
        <f>SUM(C43:J43)</f>
        <v>300000</v>
      </c>
      <c r="L43" s="2596"/>
    </row>
    <row r="44" spans="1:12" s="9" customFormat="1" ht="16.5" customHeight="1" thickBot="1" x14ac:dyDescent="0.3">
      <c r="A44" s="1145"/>
      <c r="B44" s="2739" t="s">
        <v>752</v>
      </c>
      <c r="C44" s="2738">
        <v>0</v>
      </c>
      <c r="D44" s="2738">
        <v>0</v>
      </c>
      <c r="E44" s="2738">
        <v>29607</v>
      </c>
      <c r="F44" s="2738">
        <v>0</v>
      </c>
      <c r="G44" s="2738">
        <v>0</v>
      </c>
      <c r="H44" s="2738">
        <v>0</v>
      </c>
      <c r="I44" s="2738">
        <v>0</v>
      </c>
      <c r="J44" s="2738">
        <v>0</v>
      </c>
      <c r="K44" s="2738">
        <f>SUM(C44:J44)</f>
        <v>29607</v>
      </c>
      <c r="L44" s="2596"/>
    </row>
    <row r="45" spans="1:12" s="9" customFormat="1" ht="16.5" customHeight="1" thickBot="1" x14ac:dyDescent="0.3">
      <c r="A45" s="1150"/>
      <c r="B45" s="2739" t="s">
        <v>273</v>
      </c>
      <c r="C45" s="2738">
        <v>122151</v>
      </c>
      <c r="D45" s="2738">
        <v>0</v>
      </c>
      <c r="E45" s="2738">
        <f>120000+1357680-1390358+101000</f>
        <v>188322</v>
      </c>
      <c r="F45" s="2738">
        <v>0</v>
      </c>
      <c r="G45" s="2738">
        <v>0</v>
      </c>
      <c r="H45" s="2738">
        <v>0</v>
      </c>
      <c r="I45" s="2738">
        <v>0</v>
      </c>
      <c r="J45" s="2738">
        <v>0</v>
      </c>
      <c r="K45" s="2738">
        <f t="shared" si="7"/>
        <v>310473</v>
      </c>
      <c r="L45" s="2596"/>
    </row>
    <row r="46" spans="1:12" s="9" customFormat="1" ht="16.5" customHeight="1" thickBot="1" x14ac:dyDescent="0.3">
      <c r="A46" s="1145"/>
      <c r="B46" s="2739" t="s">
        <v>753</v>
      </c>
      <c r="C46" s="2738">
        <v>0</v>
      </c>
      <c r="D46" s="2738">
        <v>0</v>
      </c>
      <c r="E46" s="2738">
        <v>53333</v>
      </c>
      <c r="F46" s="2738">
        <v>0</v>
      </c>
      <c r="G46" s="2738">
        <v>0</v>
      </c>
      <c r="H46" s="2738">
        <v>0</v>
      </c>
      <c r="I46" s="2738">
        <v>0</v>
      </c>
      <c r="J46" s="2738">
        <v>0</v>
      </c>
      <c r="K46" s="2738">
        <f t="shared" si="7"/>
        <v>53333</v>
      </c>
      <c r="L46" s="2596"/>
    </row>
    <row r="47" spans="1:12" s="9" customFormat="1" ht="16.5" customHeight="1" thickBot="1" x14ac:dyDescent="0.3">
      <c r="A47" s="1145"/>
      <c r="B47" s="2739" t="s">
        <v>754</v>
      </c>
      <c r="C47" s="2738">
        <v>0</v>
      </c>
      <c r="D47" s="2738">
        <v>0</v>
      </c>
      <c r="E47" s="2738">
        <v>10000</v>
      </c>
      <c r="F47" s="2738">
        <v>0</v>
      </c>
      <c r="G47" s="2738">
        <v>0</v>
      </c>
      <c r="H47" s="2738">
        <v>0</v>
      </c>
      <c r="I47" s="2738">
        <v>0</v>
      </c>
      <c r="J47" s="2738">
        <v>0</v>
      </c>
      <c r="K47" s="2738">
        <f>SUM(C47:J47)</f>
        <v>10000</v>
      </c>
      <c r="L47" s="2596"/>
    </row>
    <row r="48" spans="1:12" s="9" customFormat="1" ht="16.5" customHeight="1" thickBot="1" x14ac:dyDescent="0.3">
      <c r="A48" s="1145"/>
      <c r="B48" s="2739" t="s">
        <v>755</v>
      </c>
      <c r="C48" s="2738">
        <v>0</v>
      </c>
      <c r="D48" s="2738">
        <v>0</v>
      </c>
      <c r="E48" s="2738">
        <v>0</v>
      </c>
      <c r="F48" s="2738">
        <v>0</v>
      </c>
      <c r="G48" s="2738">
        <v>0</v>
      </c>
      <c r="H48" s="2738">
        <v>0</v>
      </c>
      <c r="I48" s="2738">
        <f ca="1">'SCG Table A2'!G25</f>
        <v>702324.38649843959</v>
      </c>
      <c r="J48" s="2738">
        <v>0</v>
      </c>
      <c r="K48" s="2738">
        <f t="shared" ca="1" si="7"/>
        <v>702324.38649843959</v>
      </c>
      <c r="L48" s="2596"/>
    </row>
    <row r="49" spans="1:12" s="9" customFormat="1" ht="16.5" customHeight="1" thickBot="1" x14ac:dyDescent="0.3">
      <c r="A49" s="1145"/>
      <c r="B49" s="2740" t="s">
        <v>756</v>
      </c>
      <c r="C49" s="2741">
        <f t="shared" ref="C49:K49" si="8">SUM(C40:C48)</f>
        <v>364276</v>
      </c>
      <c r="D49" s="2741">
        <f t="shared" si="8"/>
        <v>0</v>
      </c>
      <c r="E49" s="2741">
        <f t="shared" si="8"/>
        <v>590646</v>
      </c>
      <c r="F49" s="2741">
        <f>SUM(F40:F48)</f>
        <v>0</v>
      </c>
      <c r="G49" s="2741">
        <f t="shared" si="8"/>
        <v>0</v>
      </c>
      <c r="H49" s="2741">
        <f t="shared" si="8"/>
        <v>40100</v>
      </c>
      <c r="I49" s="2741">
        <f ca="1">SUM(I40:I48)</f>
        <v>702324.38649843959</v>
      </c>
      <c r="J49" s="2741">
        <f t="shared" si="8"/>
        <v>0</v>
      </c>
      <c r="K49" s="2741">
        <f t="shared" ca="1" si="8"/>
        <v>1697346.3864984396</v>
      </c>
      <c r="L49" s="2596"/>
    </row>
    <row r="50" spans="1:12" ht="19.5" customHeight="1" thickBot="1" x14ac:dyDescent="0.35">
      <c r="A50" s="83"/>
      <c r="B50" s="2742"/>
      <c r="C50" s="2743"/>
      <c r="D50" s="2743"/>
      <c r="E50" s="2743"/>
      <c r="F50" s="2743"/>
      <c r="G50" s="2743"/>
      <c r="H50" s="2743"/>
      <c r="I50" s="2743"/>
      <c r="J50" s="2743"/>
      <c r="K50" s="2744"/>
    </row>
    <row r="51" spans="1:12" ht="21" thickBot="1" x14ac:dyDescent="0.35">
      <c r="A51" s="83"/>
      <c r="B51" s="2740" t="s">
        <v>58</v>
      </c>
      <c r="C51" s="2741">
        <f t="shared" ref="C51:K51" si="9">C17+C23+C33+C38+C49+C27</f>
        <v>1477663.1999999997</v>
      </c>
      <c r="D51" s="2741">
        <f t="shared" si="9"/>
        <v>5417.0745638642738</v>
      </c>
      <c r="E51" s="2741">
        <f t="shared" si="9"/>
        <v>1635278.2805513809</v>
      </c>
      <c r="F51" s="2741">
        <f t="shared" si="9"/>
        <v>70400</v>
      </c>
      <c r="G51" s="2741">
        <f t="shared" si="9"/>
        <v>10505883.167744424</v>
      </c>
      <c r="H51" s="2741">
        <f t="shared" si="9"/>
        <v>241146.69865802897</v>
      </c>
      <c r="I51" s="2741">
        <f t="shared" ca="1" si="9"/>
        <v>881205.03401020041</v>
      </c>
      <c r="J51" s="2741">
        <f t="shared" si="9"/>
        <v>24758.65776785856</v>
      </c>
      <c r="K51" s="2741">
        <f t="shared" ca="1" si="9"/>
        <v>14841752.11329576</v>
      </c>
    </row>
    <row r="52" spans="1:12" ht="15.75" x14ac:dyDescent="0.25">
      <c r="B52" s="144"/>
    </row>
    <row r="53" spans="1:12" ht="15.75" x14ac:dyDescent="0.25">
      <c r="B53" s="144"/>
      <c r="C53" s="2482"/>
      <c r="K53" s="2501">
        <f>'SCG Table A2'!G16</f>
        <v>14841752.116467232</v>
      </c>
    </row>
    <row r="54" spans="1:12" ht="15.75" x14ac:dyDescent="0.25">
      <c r="B54" s="144"/>
      <c r="K54" s="2501"/>
    </row>
    <row r="55" spans="1:12" ht="15.75" x14ac:dyDescent="0.25">
      <c r="B55" s="144"/>
      <c r="K55" s="2470">
        <f ca="1">+K53-K51</f>
        <v>3.1714718788862228E-3</v>
      </c>
    </row>
    <row r="58" spans="1:12" x14ac:dyDescent="0.2">
      <c r="F58" s="134"/>
    </row>
    <row r="59" spans="1:12" x14ac:dyDescent="0.2">
      <c r="F59" s="134"/>
    </row>
    <row r="60" spans="1:12" x14ac:dyDescent="0.2">
      <c r="F60" s="134"/>
    </row>
    <row r="61" spans="1:12" x14ac:dyDescent="0.2">
      <c r="F61" s="134"/>
    </row>
    <row r="62" spans="1:12" x14ac:dyDescent="0.2">
      <c r="F62" s="134"/>
    </row>
    <row r="63" spans="1:12" x14ac:dyDescent="0.2">
      <c r="F63" s="134"/>
    </row>
  </sheetData>
  <mergeCells count="8">
    <mergeCell ref="B28:K28"/>
    <mergeCell ref="B34:K34"/>
    <mergeCell ref="B39:K39"/>
    <mergeCell ref="B1:K1"/>
    <mergeCell ref="B2:K2"/>
    <mergeCell ref="B11:K11"/>
    <mergeCell ref="B18:K18"/>
    <mergeCell ref="B24:K24"/>
  </mergeCells>
  <printOptions horizontalCentered="1" verticalCentered="1"/>
  <pageMargins left="0.5" right="0.06" top="0.2" bottom="0.18" header="0.2" footer="0.25"/>
  <pageSetup scale="40" orientation="landscape" r:id="rId1"/>
  <headerFooter alignWithMargins="0">
    <oddFooter>&amp;C&amp;"Arial"&amp;11&amp;K000000&amp;14
Totals may vary due to rounding&amp;12
_x000D_&amp;1#&amp;"Calibri"&amp;12&amp;K008000Internal Use</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A4C7D-2E2B-4B3A-A95A-BB09355EA450}">
  <sheetPr>
    <tabColor indexed="44"/>
    <pageSetUpPr fitToPage="1"/>
  </sheetPr>
  <dimension ref="A1:S63"/>
  <sheetViews>
    <sheetView zoomScale="85" zoomScaleNormal="85" workbookViewId="0">
      <pane ySplit="10" topLeftCell="A26" activePane="bottomLeft" state="frozen"/>
      <selection activeCell="C12" sqref="C12"/>
      <selection pane="bottomLeft" activeCell="G14" sqref="G14"/>
    </sheetView>
  </sheetViews>
  <sheetFormatPr defaultRowHeight="12.75" x14ac:dyDescent="0.2"/>
  <cols>
    <col min="1" max="1" width="7.140625" style="49" customWidth="1"/>
    <col min="2" max="2" width="60.28515625" style="49" customWidth="1"/>
    <col min="3" max="3" width="19.7109375" style="64" customWidth="1"/>
    <col min="4" max="4" width="17.85546875" style="63" customWidth="1"/>
    <col min="5" max="5" width="17.28515625" style="63" customWidth="1"/>
    <col min="6" max="6" width="20.42578125" style="63" customWidth="1"/>
    <col min="7" max="7" width="18.28515625" style="49" customWidth="1"/>
    <col min="8" max="9" width="19.140625" style="49" customWidth="1"/>
    <col min="10" max="10" width="20.42578125" style="49" customWidth="1"/>
    <col min="11" max="11" width="18.42578125" style="49" customWidth="1"/>
    <col min="12" max="12" width="12.5703125" style="2469" bestFit="1" customWidth="1"/>
    <col min="13" max="13" width="3.42578125" style="49" customWidth="1"/>
    <col min="14" max="14" width="13.42578125" style="49" bestFit="1" customWidth="1"/>
    <col min="15" max="15" width="14.28515625" style="49" bestFit="1" customWidth="1"/>
    <col min="16" max="18" width="9.140625" style="49"/>
    <col min="19" max="19" width="10.85546875" style="49" bestFit="1" customWidth="1"/>
    <col min="20" max="16384" width="9.140625" style="49"/>
  </cols>
  <sheetData>
    <row r="1" spans="1:19" ht="25.5" x14ac:dyDescent="0.35">
      <c r="B1" s="2944" t="s">
        <v>82</v>
      </c>
      <c r="C1" s="2944"/>
      <c r="D1" s="2944"/>
      <c r="E1" s="2944"/>
      <c r="F1" s="2944"/>
      <c r="G1" s="2944"/>
      <c r="H1" s="2944"/>
      <c r="I1" s="2944"/>
      <c r="J1" s="2944"/>
      <c r="K1" s="2944"/>
    </row>
    <row r="2" spans="1:19" ht="25.5" x14ac:dyDescent="0.35">
      <c r="B2" s="2944" t="s">
        <v>824</v>
      </c>
      <c r="C2" s="2944"/>
      <c r="D2" s="2944"/>
      <c r="E2" s="2944"/>
      <c r="F2" s="2944"/>
      <c r="G2" s="2944"/>
      <c r="H2" s="2944"/>
      <c r="I2" s="2944"/>
      <c r="J2" s="2944"/>
      <c r="K2" s="2944"/>
    </row>
    <row r="3" spans="1:19" ht="26.25" hidden="1" x14ac:dyDescent="0.4">
      <c r="B3" s="2842"/>
      <c r="C3" s="10"/>
      <c r="D3" s="8"/>
      <c r="E3" s="8"/>
      <c r="F3" s="2841"/>
      <c r="G3" s="2842"/>
      <c r="H3" s="9"/>
      <c r="I3" s="9"/>
      <c r="J3" s="9"/>
      <c r="K3" s="2842"/>
    </row>
    <row r="4" spans="1:19" ht="26.25" hidden="1" x14ac:dyDescent="0.4">
      <c r="B4" s="2842"/>
      <c r="C4" s="10"/>
      <c r="D4" s="8"/>
      <c r="E4" s="8"/>
      <c r="F4" s="2841"/>
      <c r="G4" s="2842"/>
      <c r="H4" s="9"/>
      <c r="I4" s="9"/>
      <c r="J4" s="9"/>
      <c r="K4" s="2842"/>
    </row>
    <row r="5" spans="1:19" ht="26.25" hidden="1" x14ac:dyDescent="0.4">
      <c r="B5" s="2842"/>
      <c r="C5" s="10"/>
      <c r="D5" s="8"/>
      <c r="E5" s="8"/>
      <c r="F5" s="2841"/>
      <c r="G5" s="2842"/>
      <c r="H5" s="9"/>
      <c r="I5" s="9"/>
      <c r="J5" s="9"/>
      <c r="K5" s="2842"/>
    </row>
    <row r="6" spans="1:19" ht="26.25" hidden="1" x14ac:dyDescent="0.4">
      <c r="B6" s="2842"/>
      <c r="C6" s="10"/>
      <c r="D6" s="8"/>
      <c r="E6" s="8"/>
      <c r="F6" s="2841"/>
      <c r="G6" s="2842"/>
      <c r="H6" s="9"/>
      <c r="I6" s="9"/>
      <c r="J6" s="9"/>
      <c r="K6" s="2842"/>
    </row>
    <row r="7" spans="1:19" ht="26.25" hidden="1" x14ac:dyDescent="0.4">
      <c r="B7" s="2842"/>
      <c r="C7" s="10"/>
      <c r="D7" s="8"/>
      <c r="E7" s="8"/>
      <c r="F7" s="2841"/>
      <c r="G7" s="2842"/>
      <c r="H7" s="9"/>
      <c r="I7" s="9"/>
      <c r="J7" s="9"/>
      <c r="K7" s="2842"/>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42.7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row>
    <row r="11" spans="1:19" ht="21" thickBot="1" x14ac:dyDescent="0.35">
      <c r="A11" s="21"/>
      <c r="B11" s="2949" t="s">
        <v>5</v>
      </c>
      <c r="C11" s="2950"/>
      <c r="D11" s="2950"/>
      <c r="E11" s="2950"/>
      <c r="F11" s="2950"/>
      <c r="G11" s="2950"/>
      <c r="H11" s="2950"/>
      <c r="I11" s="2950"/>
      <c r="J11" s="2950"/>
      <c r="K11" s="2950"/>
    </row>
    <row r="12" spans="1:19" ht="24.6" customHeight="1" thickBot="1" x14ac:dyDescent="0.35">
      <c r="A12" s="83"/>
      <c r="B12" s="2737" t="s">
        <v>741</v>
      </c>
      <c r="C12" s="2839">
        <v>10834.7</v>
      </c>
      <c r="D12" s="2839">
        <v>20</v>
      </c>
      <c r="E12" s="2839">
        <v>420.12600000000003</v>
      </c>
      <c r="F12" s="2839">
        <v>150</v>
      </c>
      <c r="G12" s="2839">
        <v>51601.794290034304</v>
      </c>
      <c r="H12" s="2839">
        <v>1918.7040000000002</v>
      </c>
      <c r="I12" s="2839">
        <v>82.5</v>
      </c>
      <c r="J12" s="2839">
        <v>67.5</v>
      </c>
      <c r="K12" s="2839">
        <f>SUM(C12:J12)</f>
        <v>65095.324290034303</v>
      </c>
      <c r="L12" s="2469">
        <f ca="1">$L$17*K12/$K$17</f>
        <v>2.6601430925335263E-5</v>
      </c>
      <c r="N12" s="2469">
        <v>2787.5238473334116</v>
      </c>
      <c r="O12" s="587">
        <f>+N12+G12</f>
        <v>54389.318137367714</v>
      </c>
      <c r="Q12" s="1172"/>
      <c r="S12" s="2847">
        <f>+R12+G12</f>
        <v>51601.794290034304</v>
      </c>
    </row>
    <row r="13" spans="1:19" ht="24.6" customHeight="1" thickBot="1" x14ac:dyDescent="0.35">
      <c r="A13" s="83"/>
      <c r="B13" s="2737" t="s">
        <v>742</v>
      </c>
      <c r="C13" s="2839">
        <v>267271.98443095601</v>
      </c>
      <c r="D13" s="2839">
        <v>690</v>
      </c>
      <c r="E13" s="2839">
        <v>121422.09</v>
      </c>
      <c r="F13" s="2839">
        <v>49925</v>
      </c>
      <c r="G13" s="2839">
        <f>-11604.63+2697304.26049335</f>
        <v>2685699.6304933503</v>
      </c>
      <c r="H13" s="2839">
        <v>58774.078000000001</v>
      </c>
      <c r="I13" s="2839">
        <v>1258.75</v>
      </c>
      <c r="J13" s="2839">
        <v>1666.25</v>
      </c>
      <c r="K13" s="2839">
        <f>SUM(C13:J13)</f>
        <v>3186707.7829243066</v>
      </c>
      <c r="L13" s="2469">
        <f ca="1">$L$17*K13/$K$17</f>
        <v>1.3022592312312536E-3</v>
      </c>
      <c r="N13" s="2469">
        <v>97858.549042570754</v>
      </c>
      <c r="O13" s="587">
        <f t="shared" ref="O13:O23" si="0">+N13+G13</f>
        <v>2783558.1795359212</v>
      </c>
      <c r="Q13" s="1172">
        <f>C13/($C$13+$C$15+$C$16)</f>
        <v>0.47617042671864429</v>
      </c>
      <c r="R13" s="2486">
        <f ca="1">+Q13*$R$17</f>
        <v>1.7121768787211049E-3</v>
      </c>
      <c r="S13" s="2847">
        <f t="shared" ref="S13:S15" ca="1" si="1">+R13+G13</f>
        <v>2685699.6322055273</v>
      </c>
    </row>
    <row r="14" spans="1:19" ht="24.6" customHeight="1" thickBot="1" x14ac:dyDescent="0.35">
      <c r="A14" s="83"/>
      <c r="B14" s="2737" t="s">
        <v>759</v>
      </c>
      <c r="C14" s="2839">
        <v>74826.7</v>
      </c>
      <c r="D14" s="2839">
        <v>500</v>
      </c>
      <c r="E14" s="2839">
        <v>50201.3655</v>
      </c>
      <c r="F14" s="2839">
        <v>3900</v>
      </c>
      <c r="G14" s="2839">
        <v>1016916.4</v>
      </c>
      <c r="H14" s="2839">
        <v>26408.765500000001</v>
      </c>
      <c r="I14" s="2839">
        <v>585</v>
      </c>
      <c r="J14" s="2839">
        <v>1365</v>
      </c>
      <c r="K14" s="2839">
        <f>SUM(C14:J14)</f>
        <v>1174703.2309999999</v>
      </c>
      <c r="L14" s="2469">
        <f ca="1">$L$17*K14/$K$17</f>
        <v>4.8004656552573082E-4</v>
      </c>
      <c r="N14" s="2469">
        <v>38141.470309180135</v>
      </c>
      <c r="O14" s="587">
        <f t="shared" si="0"/>
        <v>1055057.8703091801</v>
      </c>
      <c r="Q14" s="1172"/>
      <c r="R14" s="2486"/>
      <c r="S14" s="2847">
        <f t="shared" si="1"/>
        <v>1016916.4</v>
      </c>
    </row>
    <row r="15" spans="1:19" ht="24.6" customHeight="1" thickBot="1" x14ac:dyDescent="0.35">
      <c r="A15" s="83"/>
      <c r="B15" s="2737" t="s">
        <v>283</v>
      </c>
      <c r="C15" s="2839">
        <v>263527.05720936204</v>
      </c>
      <c r="D15" s="2839">
        <v>990</v>
      </c>
      <c r="E15" s="2839">
        <v>36908.746999999996</v>
      </c>
      <c r="F15" s="2839">
        <v>5925</v>
      </c>
      <c r="G15" s="2839">
        <v>3794819.8720722827</v>
      </c>
      <c r="H15" s="2839">
        <v>42604.478000000003</v>
      </c>
      <c r="I15" s="2839">
        <v>833.75</v>
      </c>
      <c r="J15" s="2839">
        <v>3091.25</v>
      </c>
      <c r="K15" s="2839">
        <f>SUM(C15:J15)</f>
        <v>4148700.1542816451</v>
      </c>
      <c r="L15" s="2469">
        <f ca="1">$L$17*K15/$K$17</f>
        <v>1.6953807633299798E-3</v>
      </c>
      <c r="N15" s="2469">
        <v>125354.68661599761</v>
      </c>
      <c r="O15" s="587">
        <f t="shared" si="0"/>
        <v>3920174.5586882802</v>
      </c>
      <c r="Q15" s="1172">
        <f>C15/($C$13+$C$15+$C$16)</f>
        <v>0.4694984831667105</v>
      </c>
      <c r="R15" s="2486">
        <f ca="1">+Q15*$R$17</f>
        <v>1.6881864189093215E-3</v>
      </c>
      <c r="S15" s="2847">
        <f t="shared" ca="1" si="1"/>
        <v>3794819.8737604693</v>
      </c>
    </row>
    <row r="16" spans="1:19" ht="24.6" customHeight="1" thickBot="1" x14ac:dyDescent="0.35">
      <c r="A16" s="83"/>
      <c r="B16" s="2739" t="s">
        <v>531</v>
      </c>
      <c r="C16" s="2839">
        <v>30495.758359681786</v>
      </c>
      <c r="D16" s="2839">
        <v>100</v>
      </c>
      <c r="E16" s="2839">
        <v>193150.89321160884</v>
      </c>
      <c r="F16" s="2839">
        <v>0</v>
      </c>
      <c r="G16" s="2839">
        <v>0</v>
      </c>
      <c r="H16" s="2839">
        <v>0</v>
      </c>
      <c r="I16" s="2839">
        <v>0</v>
      </c>
      <c r="J16" s="2839">
        <v>0</v>
      </c>
      <c r="K16" s="2839">
        <f>SUM(C16:J16)</f>
        <v>223746.65157129063</v>
      </c>
      <c r="L16" s="2469">
        <f ca="1">$L$17*K16/$K$17</f>
        <v>9.1434848223960016E-5</v>
      </c>
      <c r="N16" s="2469">
        <v>5917.3026284631915</v>
      </c>
      <c r="O16" s="587">
        <f>+N16+E16</f>
        <v>199068.19584007203</v>
      </c>
      <c r="Q16" s="1172">
        <f>C16/($C$13+$C$15+$C$16)</f>
        <v>5.4331090114645271E-2</v>
      </c>
      <c r="R16" s="2486">
        <f ca="1">+Q16*$R$17</f>
        <v>1.9535954160583335E-4</v>
      </c>
      <c r="S16" s="2847">
        <f ca="1">+R16+E16</f>
        <v>193150.89340696839</v>
      </c>
    </row>
    <row r="17" spans="1:19" ht="24.6" customHeight="1" thickBot="1" x14ac:dyDescent="0.35">
      <c r="A17" s="84"/>
      <c r="B17" s="2740" t="s">
        <v>743</v>
      </c>
      <c r="C17" s="2741">
        <f t="shared" ref="C17:J17" si="2">SUM(C12:C16)</f>
        <v>646956.19999999995</v>
      </c>
      <c r="D17" s="2741">
        <f t="shared" si="2"/>
        <v>2300</v>
      </c>
      <c r="E17" s="2741">
        <f t="shared" si="2"/>
        <v>402103.22171160881</v>
      </c>
      <c r="F17" s="2741">
        <f>SUM(F12:F16)</f>
        <v>59900</v>
      </c>
      <c r="G17" s="2741">
        <f t="shared" si="2"/>
        <v>7549037.696855667</v>
      </c>
      <c r="H17" s="2741">
        <f t="shared" si="2"/>
        <v>129706.0255</v>
      </c>
      <c r="I17" s="2741">
        <f t="shared" si="2"/>
        <v>2760</v>
      </c>
      <c r="J17" s="2741">
        <f t="shared" si="2"/>
        <v>6190</v>
      </c>
      <c r="K17" s="2741">
        <f>SUM(K12:K16)</f>
        <v>8798953.1440672763</v>
      </c>
      <c r="L17" s="2469">
        <f ca="1">K55</f>
        <v>3.5957228392362595E-3</v>
      </c>
      <c r="N17" s="2469">
        <v>91890.056295419112</v>
      </c>
      <c r="O17" s="587">
        <f t="shared" si="0"/>
        <v>7640927.7531510862</v>
      </c>
      <c r="R17" s="2486">
        <f ca="1">K55</f>
        <v>3.5957228392362595E-3</v>
      </c>
    </row>
    <row r="18" spans="1:19" ht="24.6" customHeight="1" thickBot="1" x14ac:dyDescent="0.35">
      <c r="A18" s="84"/>
      <c r="B18" s="2949" t="s">
        <v>6</v>
      </c>
      <c r="C18" s="2950"/>
      <c r="D18" s="2950"/>
      <c r="E18" s="2950"/>
      <c r="F18" s="2950"/>
      <c r="G18" s="2950"/>
      <c r="H18" s="2950"/>
      <c r="I18" s="2950"/>
      <c r="J18" s="2950"/>
      <c r="K18" s="2950"/>
      <c r="N18" s="2469"/>
      <c r="O18" s="587">
        <f t="shared" si="0"/>
        <v>0</v>
      </c>
      <c r="S18" s="49">
        <v>134674.71290624232</v>
      </c>
    </row>
    <row r="19" spans="1:19" ht="24.6" customHeight="1" thickBot="1" x14ac:dyDescent="0.35">
      <c r="A19" s="83"/>
      <c r="B19" s="2737" t="s">
        <v>285</v>
      </c>
      <c r="C19" s="2839">
        <v>103060</v>
      </c>
      <c r="D19" s="2839">
        <v>1000</v>
      </c>
      <c r="E19" s="2839">
        <v>10999.86</v>
      </c>
      <c r="F19" s="2839">
        <v>3000</v>
      </c>
      <c r="G19" s="2839">
        <v>1517636.5115210409</v>
      </c>
      <c r="H19" s="2839">
        <v>23935.57</v>
      </c>
      <c r="I19" s="2839">
        <v>1200</v>
      </c>
      <c r="J19" s="2839">
        <v>6800</v>
      </c>
      <c r="K19" s="2839">
        <f>SUM(C19:J19)</f>
        <v>1667631.9415210411</v>
      </c>
      <c r="L19" s="2469">
        <f t="shared" ref="L19:L23" ca="1" si="3">$L$17*K19/$K$17</f>
        <v>6.8148359939956805E-4</v>
      </c>
      <c r="N19" s="2469">
        <v>20316.028461438691</v>
      </c>
      <c r="O19" s="587">
        <f t="shared" si="0"/>
        <v>1537952.5399824795</v>
      </c>
    </row>
    <row r="20" spans="1:19" ht="24.6" customHeight="1" thickBot="1" x14ac:dyDescent="0.35">
      <c r="A20" s="83"/>
      <c r="B20" s="2737" t="s">
        <v>275</v>
      </c>
      <c r="C20" s="2839">
        <v>103060</v>
      </c>
      <c r="D20" s="2839">
        <v>700</v>
      </c>
      <c r="E20" s="2839">
        <v>9315.26</v>
      </c>
      <c r="F20" s="2839">
        <v>4000</v>
      </c>
      <c r="G20" s="2839">
        <v>952071.37042793876</v>
      </c>
      <c r="H20" s="2839">
        <v>26072.53</v>
      </c>
      <c r="I20" s="2839">
        <v>200</v>
      </c>
      <c r="J20" s="2839">
        <v>4000</v>
      </c>
      <c r="K20" s="2839">
        <f>SUM(C20:J20)</f>
        <v>1099419.1604279387</v>
      </c>
      <c r="L20" s="2469">
        <f t="shared" ca="1" si="3"/>
        <v>4.4928146795623696E-4</v>
      </c>
      <c r="N20" s="2469">
        <v>13393.741387522599</v>
      </c>
      <c r="O20" s="587">
        <f t="shared" si="0"/>
        <v>965465.11181546131</v>
      </c>
    </row>
    <row r="21" spans="1:19" ht="24.6" customHeight="1" thickBot="1" x14ac:dyDescent="0.35">
      <c r="A21" s="83"/>
      <c r="B21" s="2737" t="s">
        <v>744</v>
      </c>
      <c r="C21" s="2839">
        <v>58688</v>
      </c>
      <c r="D21" s="2839">
        <v>500</v>
      </c>
      <c r="E21" s="2839">
        <v>105834.54000000001</v>
      </c>
      <c r="F21" s="2839">
        <v>1000</v>
      </c>
      <c r="G21" s="2839">
        <v>315882.35363661259</v>
      </c>
      <c r="H21" s="2839">
        <v>10029.439999999999</v>
      </c>
      <c r="I21" s="2839">
        <v>100</v>
      </c>
      <c r="J21" s="2839">
        <v>1900</v>
      </c>
      <c r="K21" s="2839">
        <f>SUM(C21:J21)</f>
        <v>493934.33363661257</v>
      </c>
      <c r="L21" s="2469">
        <f t="shared" ca="1" si="3"/>
        <v>2.0184798526147612E-4</v>
      </c>
      <c r="N21" s="2469">
        <v>6017.3853296972029</v>
      </c>
      <c r="O21" s="587">
        <f t="shared" si="0"/>
        <v>321899.73896630981</v>
      </c>
    </row>
    <row r="22" spans="1:19" ht="24.6" customHeight="1" thickBot="1" x14ac:dyDescent="0.35">
      <c r="A22" s="84"/>
      <c r="B22" s="2739" t="s">
        <v>245</v>
      </c>
      <c r="C22" s="2839">
        <v>90770</v>
      </c>
      <c r="D22" s="2839">
        <v>200</v>
      </c>
      <c r="E22" s="2839">
        <f>36000+2855.23</f>
        <v>38855.230000000003</v>
      </c>
      <c r="F22" s="2839">
        <v>2500</v>
      </c>
      <c r="G22" s="2839">
        <v>164000.54218223732</v>
      </c>
      <c r="H22" s="2839">
        <v>4971.1399999999994</v>
      </c>
      <c r="I22" s="2839">
        <v>100</v>
      </c>
      <c r="J22" s="2839">
        <v>1900</v>
      </c>
      <c r="K22" s="2839">
        <f>SUM(C22:J22)</f>
        <v>303296.91218223737</v>
      </c>
      <c r="L22" s="2469">
        <f t="shared" ca="1" si="3"/>
        <v>1.2394333920721316E-4</v>
      </c>
      <c r="N22" s="2469">
        <v>3694.9332444068327</v>
      </c>
      <c r="O22" s="587">
        <f t="shared" si="0"/>
        <v>167695.47542664415</v>
      </c>
    </row>
    <row r="23" spans="1:19" ht="24.6" customHeight="1" thickBot="1" x14ac:dyDescent="0.35">
      <c r="A23" s="84"/>
      <c r="B23" s="2740" t="s">
        <v>745</v>
      </c>
      <c r="C23" s="2741">
        <f>SUM(C19:C22)</f>
        <v>355578</v>
      </c>
      <c r="D23" s="2741">
        <f t="shared" ref="D23:K23" si="4">SUM(D19:D22)</f>
        <v>2400</v>
      </c>
      <c r="E23" s="2741">
        <f t="shared" si="4"/>
        <v>165004.89000000001</v>
      </c>
      <c r="F23" s="2741">
        <f t="shared" si="4"/>
        <v>10500</v>
      </c>
      <c r="G23" s="2741">
        <f t="shared" si="4"/>
        <v>2949590.7777678296</v>
      </c>
      <c r="H23" s="2741">
        <f t="shared" si="4"/>
        <v>65008.679999999993</v>
      </c>
      <c r="I23" s="2741">
        <f t="shared" si="4"/>
        <v>1600</v>
      </c>
      <c r="J23" s="2741">
        <f t="shared" si="4"/>
        <v>14600</v>
      </c>
      <c r="K23" s="2741">
        <f t="shared" si="4"/>
        <v>3564282.3477678299</v>
      </c>
      <c r="L23" s="2469">
        <f t="shared" ca="1" si="3"/>
        <v>1.4565563918244944E-3</v>
      </c>
      <c r="N23" s="2469">
        <v>43422.088423065332</v>
      </c>
      <c r="O23" s="587">
        <f t="shared" si="0"/>
        <v>2993012.866190895</v>
      </c>
    </row>
    <row r="24" spans="1:19" ht="21" thickBot="1" x14ac:dyDescent="0.35">
      <c r="A24" s="84"/>
      <c r="B24" s="2947" t="s">
        <v>737</v>
      </c>
      <c r="C24" s="2948"/>
      <c r="D24" s="2948"/>
      <c r="E24" s="2948"/>
      <c r="F24" s="2948"/>
      <c r="G24" s="2948"/>
      <c r="H24" s="2948"/>
      <c r="I24" s="2948"/>
      <c r="J24" s="2948"/>
      <c r="K24" s="2948"/>
      <c r="M24" s="2469"/>
      <c r="N24" s="2469"/>
    </row>
    <row r="25" spans="1:19" ht="21" thickBot="1" x14ac:dyDescent="0.35">
      <c r="A25" s="84"/>
      <c r="B25" s="2737" t="s">
        <v>739</v>
      </c>
      <c r="C25" s="2839">
        <v>42884</v>
      </c>
      <c r="D25" s="2839"/>
      <c r="E25" s="2839">
        <f>1.05*74900</f>
        <v>78645</v>
      </c>
      <c r="F25" s="2839"/>
      <c r="G25" s="2839">
        <f>88750*1.05</f>
        <v>93187.5</v>
      </c>
      <c r="H25" s="2839"/>
      <c r="I25" s="2839"/>
      <c r="J25" s="2839"/>
      <c r="K25" s="2839">
        <f>SUM(C25:J25)</f>
        <v>214716.5</v>
      </c>
      <c r="M25" s="2469"/>
      <c r="N25" s="2469"/>
      <c r="O25" s="2469"/>
    </row>
    <row r="26" spans="1:19" ht="21" thickBot="1" x14ac:dyDescent="0.35">
      <c r="A26" s="84"/>
      <c r="B26" s="2739" t="s">
        <v>738</v>
      </c>
      <c r="C26" s="2839">
        <v>42884</v>
      </c>
      <c r="D26" s="2839"/>
      <c r="E26" s="2839">
        <f>102792*1.03^2</f>
        <v>109052.0328</v>
      </c>
      <c r="F26" s="2839"/>
      <c r="G26" s="2839">
        <f>50000*1.03^2</f>
        <v>53045</v>
      </c>
      <c r="H26" s="2839"/>
      <c r="I26" s="2839"/>
      <c r="J26" s="2839"/>
      <c r="K26" s="2839">
        <f>SUM(C26:J26)</f>
        <v>204981.03279999999</v>
      </c>
      <c r="M26" s="2469"/>
      <c r="N26" s="2469"/>
      <c r="O26" s="2469"/>
    </row>
    <row r="27" spans="1:19" ht="21" thickBot="1" x14ac:dyDescent="0.35">
      <c r="A27" s="84"/>
      <c r="B27" s="2740" t="s">
        <v>758</v>
      </c>
      <c r="C27" s="2741">
        <f t="shared" ref="C27:K27" si="5">SUM(C25:C26)</f>
        <v>85768</v>
      </c>
      <c r="D27" s="2741">
        <f t="shared" si="5"/>
        <v>0</v>
      </c>
      <c r="E27" s="2741">
        <f t="shared" si="5"/>
        <v>187697.03279999999</v>
      </c>
      <c r="F27" s="2741">
        <f t="shared" si="5"/>
        <v>0</v>
      </c>
      <c r="G27" s="2741">
        <f t="shared" si="5"/>
        <v>146232.5</v>
      </c>
      <c r="H27" s="2741">
        <f t="shared" si="5"/>
        <v>0</v>
      </c>
      <c r="I27" s="2741">
        <f t="shared" si="5"/>
        <v>0</v>
      </c>
      <c r="J27" s="2741">
        <f t="shared" si="5"/>
        <v>0</v>
      </c>
      <c r="K27" s="2741">
        <f t="shared" si="5"/>
        <v>419697.53279999999</v>
      </c>
      <c r="M27" s="2469"/>
      <c r="N27" s="2469"/>
      <c r="O27" s="2469"/>
    </row>
    <row r="28" spans="1:19" s="9" customFormat="1" ht="16.5" customHeight="1" thickBot="1" x14ac:dyDescent="0.3">
      <c r="A28" s="1145"/>
      <c r="B28" s="2947" t="s">
        <v>746</v>
      </c>
      <c r="C28" s="2948"/>
      <c r="D28" s="2948"/>
      <c r="E28" s="2948"/>
      <c r="F28" s="2948"/>
      <c r="G28" s="2948"/>
      <c r="H28" s="2948"/>
      <c r="I28" s="2948"/>
      <c r="J28" s="2948"/>
      <c r="K28" s="2948"/>
      <c r="L28" s="2596"/>
    </row>
    <row r="29" spans="1:19" s="9" customFormat="1" ht="16.5" customHeight="1" thickBot="1" x14ac:dyDescent="0.3">
      <c r="A29" s="1150"/>
      <c r="B29" s="2737" t="s">
        <v>763</v>
      </c>
      <c r="C29" s="2839">
        <v>10329</v>
      </c>
      <c r="D29" s="2839">
        <v>363.01291648920721</v>
      </c>
      <c r="E29" s="2839">
        <f>-938.51+54121.5504624295</f>
        <v>53183.040462429497</v>
      </c>
      <c r="F29" s="2839">
        <v>0</v>
      </c>
      <c r="G29" s="2839">
        <v>0</v>
      </c>
      <c r="H29" s="2839">
        <v>1814.7484963955119</v>
      </c>
      <c r="I29" s="2839">
        <v>8443.7430039617593</v>
      </c>
      <c r="J29" s="2839">
        <v>2533.122901188528</v>
      </c>
      <c r="K29" s="2839">
        <f>SUM(C29:J29)</f>
        <v>76666.667780464501</v>
      </c>
      <c r="L29" s="2596"/>
      <c r="M29" s="2597"/>
    </row>
    <row r="30" spans="1:19" s="9" customFormat="1" ht="16.5" customHeight="1" thickBot="1" x14ac:dyDescent="0.3">
      <c r="A30" s="1150"/>
      <c r="B30" s="2737" t="s">
        <v>764</v>
      </c>
      <c r="C30" s="2839">
        <v>0</v>
      </c>
      <c r="D30" s="2839">
        <v>0</v>
      </c>
      <c r="E30" s="2839">
        <v>82666.66</v>
      </c>
      <c r="F30" s="2839">
        <v>0</v>
      </c>
      <c r="G30" s="2839">
        <v>0</v>
      </c>
      <c r="H30" s="2839">
        <v>0</v>
      </c>
      <c r="I30" s="2839">
        <v>0</v>
      </c>
      <c r="J30" s="2839">
        <v>0</v>
      </c>
      <c r="K30" s="2839">
        <f>SUM(C30:J30)</f>
        <v>82666.66</v>
      </c>
      <c r="L30" s="2596"/>
    </row>
    <row r="31" spans="1:19" s="9" customFormat="1" ht="16.5" customHeight="1" thickBot="1" x14ac:dyDescent="0.3">
      <c r="A31" s="1150"/>
      <c r="B31" s="2739" t="s">
        <v>765</v>
      </c>
      <c r="C31" s="2839">
        <v>11195</v>
      </c>
      <c r="D31" s="2839">
        <v>389.77583742602167</v>
      </c>
      <c r="E31" s="2839">
        <f>-2531.02+63667.6710455326</f>
        <v>61136.651045532606</v>
      </c>
      <c r="F31" s="2839">
        <v>0</v>
      </c>
      <c r="G31" s="2839">
        <v>0</v>
      </c>
      <c r="H31" s="2839">
        <v>4195.8158694433623</v>
      </c>
      <c r="I31" s="2839">
        <v>2371.0979049099333</v>
      </c>
      <c r="J31" s="2839">
        <v>711.6504409252359</v>
      </c>
      <c r="K31" s="2839">
        <f>SUM(C31:J31)</f>
        <v>79999.991098237166</v>
      </c>
      <c r="L31" s="2596"/>
    </row>
    <row r="32" spans="1:19" s="9" customFormat="1" ht="16.5" customHeight="1" thickBot="1" x14ac:dyDescent="0.3">
      <c r="A32" s="1150"/>
      <c r="B32" s="2739" t="s">
        <v>766</v>
      </c>
      <c r="C32" s="2839">
        <v>3561</v>
      </c>
      <c r="D32" s="2839">
        <v>139.28580994904527</v>
      </c>
      <c r="E32" s="2839">
        <f>-573.72+43414.3155318101</f>
        <v>42840.595531810097</v>
      </c>
      <c r="F32" s="2839">
        <v>0</v>
      </c>
      <c r="G32" s="2839">
        <v>0</v>
      </c>
      <c r="H32" s="2839">
        <v>321.4287921901045</v>
      </c>
      <c r="I32" s="2839">
        <v>2413.8066028891503</v>
      </c>
      <c r="J32" s="2839">
        <v>723.8844257447978</v>
      </c>
      <c r="K32" s="2839">
        <f>SUM(C32:J32)</f>
        <v>50000.001162583198</v>
      </c>
      <c r="L32" s="2596"/>
    </row>
    <row r="33" spans="1:12" s="9" customFormat="1" ht="16.5" customHeight="1" thickBot="1" x14ac:dyDescent="0.3">
      <c r="A33" s="1150"/>
      <c r="B33" s="2740" t="s">
        <v>747</v>
      </c>
      <c r="C33" s="2741">
        <f t="shared" ref="C33:K33" si="6">SUM(C29:C32)</f>
        <v>25085</v>
      </c>
      <c r="D33" s="2741">
        <f t="shared" si="6"/>
        <v>892.07456386427418</v>
      </c>
      <c r="E33" s="2741">
        <f t="shared" si="6"/>
        <v>239826.9470397722</v>
      </c>
      <c r="F33" s="2741">
        <f t="shared" si="6"/>
        <v>0</v>
      </c>
      <c r="G33" s="2741">
        <f t="shared" si="6"/>
        <v>0</v>
      </c>
      <c r="H33" s="2741">
        <f t="shared" si="6"/>
        <v>6331.9931580289785</v>
      </c>
      <c r="I33" s="2741">
        <f t="shared" si="6"/>
        <v>13228.647511760842</v>
      </c>
      <c r="J33" s="2741">
        <f t="shared" si="6"/>
        <v>3968.6577678585613</v>
      </c>
      <c r="K33" s="2741">
        <f t="shared" si="6"/>
        <v>289333.32004128484</v>
      </c>
      <c r="L33" s="2596"/>
    </row>
    <row r="34" spans="1:12" s="1164" customFormat="1" ht="16.5" customHeight="1" thickBot="1" x14ac:dyDescent="0.3">
      <c r="A34" s="1150"/>
      <c r="B34" s="2947" t="s">
        <v>108</v>
      </c>
      <c r="C34" s="2948"/>
      <c r="D34" s="2948"/>
      <c r="E34" s="2948"/>
      <c r="F34" s="2948"/>
      <c r="G34" s="2948"/>
      <c r="H34" s="2948"/>
      <c r="I34" s="2948"/>
      <c r="J34" s="2948"/>
      <c r="K34" s="2948"/>
      <c r="L34" s="2646"/>
    </row>
    <row r="35" spans="1:12" s="9" customFormat="1" ht="16.5" customHeight="1" thickBot="1" x14ac:dyDescent="0.3">
      <c r="A35" s="1150"/>
      <c r="B35" s="2737" t="s">
        <v>605</v>
      </c>
      <c r="C35" s="2839">
        <v>0</v>
      </c>
      <c r="D35" s="2839">
        <v>0</v>
      </c>
      <c r="E35" s="2839">
        <v>0</v>
      </c>
      <c r="F35" s="2839">
        <v>0</v>
      </c>
      <c r="G35" s="2839">
        <v>0</v>
      </c>
      <c r="H35" s="2839">
        <v>0</v>
      </c>
      <c r="I35" s="2839">
        <f>186292-100000</f>
        <v>86292</v>
      </c>
      <c r="J35" s="2839">
        <v>0</v>
      </c>
      <c r="K35" s="2839">
        <f>SUM(C35:J35)</f>
        <v>86292</v>
      </c>
      <c r="L35" s="2596"/>
    </row>
    <row r="36" spans="1:12" s="9" customFormat="1" ht="16.5" customHeight="1" thickBot="1" x14ac:dyDescent="0.3">
      <c r="A36" s="1150"/>
      <c r="B36" s="2739" t="s">
        <v>606</v>
      </c>
      <c r="C36" s="2839">
        <v>0</v>
      </c>
      <c r="D36" s="2839">
        <v>0</v>
      </c>
      <c r="E36" s="2839">
        <v>0</v>
      </c>
      <c r="F36" s="2839">
        <v>0</v>
      </c>
      <c r="G36" s="2839">
        <v>0</v>
      </c>
      <c r="H36" s="2839">
        <v>0</v>
      </c>
      <c r="I36" s="2839">
        <v>75000</v>
      </c>
      <c r="J36" s="2839">
        <v>0</v>
      </c>
      <c r="K36" s="2839">
        <f>SUM(C36:J36)</f>
        <v>75000</v>
      </c>
      <c r="L36" s="2596"/>
    </row>
    <row r="37" spans="1:12" s="9" customFormat="1" ht="16.5" customHeight="1" thickBot="1" x14ac:dyDescent="0.3">
      <c r="A37" s="1150"/>
      <c r="B37" s="2739" t="s">
        <v>748</v>
      </c>
      <c r="C37" s="2839">
        <v>0</v>
      </c>
      <c r="D37" s="2839">
        <v>0</v>
      </c>
      <c r="E37" s="2839">
        <v>50000</v>
      </c>
      <c r="F37" s="2839">
        <v>0</v>
      </c>
      <c r="G37" s="2839">
        <v>0</v>
      </c>
      <c r="H37" s="2839">
        <v>0</v>
      </c>
      <c r="I37" s="2839">
        <v>0</v>
      </c>
      <c r="J37" s="2839">
        <v>0</v>
      </c>
      <c r="K37" s="2839">
        <f>SUM(C37:J37)</f>
        <v>50000</v>
      </c>
      <c r="L37" s="2596"/>
    </row>
    <row r="38" spans="1:12" s="1164" customFormat="1" ht="16.5" customHeight="1" thickBot="1" x14ac:dyDescent="0.3">
      <c r="A38" s="1150"/>
      <c r="B38" s="2740" t="s">
        <v>749</v>
      </c>
      <c r="C38" s="2741">
        <f t="shared" ref="C38:K38" si="7">SUM(C35:C37)</f>
        <v>0</v>
      </c>
      <c r="D38" s="2741">
        <f t="shared" si="7"/>
        <v>0</v>
      </c>
      <c r="E38" s="2741">
        <f t="shared" si="7"/>
        <v>50000</v>
      </c>
      <c r="F38" s="2741">
        <f t="shared" si="7"/>
        <v>0</v>
      </c>
      <c r="G38" s="2741">
        <f t="shared" si="7"/>
        <v>0</v>
      </c>
      <c r="H38" s="2741">
        <f t="shared" si="7"/>
        <v>0</v>
      </c>
      <c r="I38" s="2741">
        <f>SUM(I35:I37)</f>
        <v>161292</v>
      </c>
      <c r="J38" s="2741">
        <f t="shared" si="7"/>
        <v>0</v>
      </c>
      <c r="K38" s="2741">
        <f t="shared" si="7"/>
        <v>211292</v>
      </c>
      <c r="L38" s="2646"/>
    </row>
    <row r="39" spans="1:12" s="9" customFormat="1" ht="16.5" customHeight="1" thickBot="1" x14ac:dyDescent="0.3">
      <c r="A39" s="1150"/>
      <c r="B39" s="2947" t="s">
        <v>401</v>
      </c>
      <c r="C39" s="2948"/>
      <c r="D39" s="2948"/>
      <c r="E39" s="2948"/>
      <c r="F39" s="2948"/>
      <c r="G39" s="2948"/>
      <c r="H39" s="2948"/>
      <c r="I39" s="2948"/>
      <c r="J39" s="2948"/>
      <c r="K39" s="2948"/>
      <c r="L39" s="2596"/>
    </row>
    <row r="40" spans="1:12" s="9" customFormat="1" ht="16.5" customHeight="1" thickBot="1" x14ac:dyDescent="0.3">
      <c r="A40" s="1150"/>
      <c r="B40" s="2739" t="s">
        <v>330</v>
      </c>
      <c r="C40" s="2839">
        <v>178623</v>
      </c>
      <c r="D40" s="2839">
        <v>0</v>
      </c>
      <c r="E40" s="2839">
        <f>20675-11292+1</f>
        <v>9384</v>
      </c>
      <c r="F40" s="2839">
        <v>0</v>
      </c>
      <c r="G40" s="2839">
        <v>0</v>
      </c>
      <c r="H40" s="2839">
        <v>0</v>
      </c>
      <c r="I40" s="2839">
        <v>0</v>
      </c>
      <c r="J40" s="2839">
        <v>0</v>
      </c>
      <c r="K40" s="2839">
        <f>SUM(C40:J40)</f>
        <v>188007</v>
      </c>
      <c r="L40" s="2596"/>
    </row>
    <row r="41" spans="1:12" s="9" customFormat="1" ht="16.5" customHeight="1" thickBot="1" x14ac:dyDescent="0.3">
      <c r="A41" s="1150"/>
      <c r="B41" s="2739" t="s">
        <v>750</v>
      </c>
      <c r="C41" s="2839">
        <v>0</v>
      </c>
      <c r="D41" s="2839">
        <v>0</v>
      </c>
      <c r="E41" s="2839">
        <v>0</v>
      </c>
      <c r="F41" s="2839">
        <v>0</v>
      </c>
      <c r="G41" s="2839">
        <v>0</v>
      </c>
      <c r="H41" s="2839">
        <v>40100</v>
      </c>
      <c r="I41" s="2839">
        <v>0</v>
      </c>
      <c r="J41" s="2839">
        <v>0</v>
      </c>
      <c r="K41" s="2839">
        <f t="shared" ref="K41:K48" si="8">SUM(C41:J41)</f>
        <v>40100</v>
      </c>
      <c r="L41" s="2596"/>
    </row>
    <row r="42" spans="1:12" s="9" customFormat="1" ht="16.5" customHeight="1" thickBot="1" x14ac:dyDescent="0.3">
      <c r="A42" s="1150"/>
      <c r="B42" s="2739" t="s">
        <v>281</v>
      </c>
      <c r="C42" s="2839">
        <v>63502</v>
      </c>
      <c r="D42" s="2839">
        <v>0</v>
      </c>
      <c r="E42" s="2839">
        <v>0</v>
      </c>
      <c r="F42" s="2839">
        <v>0</v>
      </c>
      <c r="G42" s="2839">
        <v>0</v>
      </c>
      <c r="H42" s="2839">
        <v>0</v>
      </c>
      <c r="I42" s="2839">
        <v>0</v>
      </c>
      <c r="J42" s="2839">
        <v>0</v>
      </c>
      <c r="K42" s="2839">
        <f>SUM(C42:J42)</f>
        <v>63502</v>
      </c>
      <c r="L42" s="2596"/>
    </row>
    <row r="43" spans="1:12" s="1159" customFormat="1" ht="16.5" customHeight="1" thickBot="1" x14ac:dyDescent="0.3">
      <c r="A43" s="1145"/>
      <c r="B43" s="2739" t="s">
        <v>751</v>
      </c>
      <c r="C43" s="2839">
        <v>0</v>
      </c>
      <c r="D43" s="2839">
        <v>0</v>
      </c>
      <c r="E43" s="2839">
        <v>300000</v>
      </c>
      <c r="F43" s="2839">
        <v>0</v>
      </c>
      <c r="G43" s="2839">
        <v>0</v>
      </c>
      <c r="H43" s="2839">
        <v>0</v>
      </c>
      <c r="I43" s="2839">
        <v>0</v>
      </c>
      <c r="J43" s="2839">
        <v>0</v>
      </c>
      <c r="K43" s="2839">
        <f>SUM(C43:J43)</f>
        <v>300000</v>
      </c>
      <c r="L43" s="2596"/>
    </row>
    <row r="44" spans="1:12" s="9" customFormat="1" ht="16.5" customHeight="1" thickBot="1" x14ac:dyDescent="0.3">
      <c r="A44" s="1145"/>
      <c r="B44" s="2739" t="s">
        <v>752</v>
      </c>
      <c r="C44" s="2839">
        <v>0</v>
      </c>
      <c r="D44" s="2839">
        <v>0</v>
      </c>
      <c r="E44" s="2839">
        <v>29607</v>
      </c>
      <c r="F44" s="2839">
        <v>0</v>
      </c>
      <c r="G44" s="2839">
        <v>0</v>
      </c>
      <c r="H44" s="2839">
        <v>0</v>
      </c>
      <c r="I44" s="2839">
        <v>0</v>
      </c>
      <c r="J44" s="2839">
        <v>0</v>
      </c>
      <c r="K44" s="2839">
        <f>SUM(C44:J44)</f>
        <v>29607</v>
      </c>
      <c r="L44" s="2596"/>
    </row>
    <row r="45" spans="1:12" s="9" customFormat="1" ht="16.5" customHeight="1" thickBot="1" x14ac:dyDescent="0.3">
      <c r="A45" s="1150"/>
      <c r="B45" s="2739" t="s">
        <v>273</v>
      </c>
      <c r="C45" s="2839">
        <v>122151</v>
      </c>
      <c r="D45" s="2839">
        <v>0</v>
      </c>
      <c r="E45" s="2839">
        <f>120000+1357680-1390358+101000</f>
        <v>188322</v>
      </c>
      <c r="F45" s="2839">
        <v>0</v>
      </c>
      <c r="G45" s="2839">
        <v>0</v>
      </c>
      <c r="H45" s="2839">
        <v>0</v>
      </c>
      <c r="I45" s="2839">
        <v>0</v>
      </c>
      <c r="J45" s="2839">
        <v>0</v>
      </c>
      <c r="K45" s="2839">
        <f t="shared" si="8"/>
        <v>310473</v>
      </c>
      <c r="L45" s="2596"/>
    </row>
    <row r="46" spans="1:12" s="9" customFormat="1" ht="16.5" customHeight="1" thickBot="1" x14ac:dyDescent="0.3">
      <c r="A46" s="1145"/>
      <c r="B46" s="2739" t="s">
        <v>753</v>
      </c>
      <c r="C46" s="2839">
        <v>0</v>
      </c>
      <c r="D46" s="2839">
        <v>0</v>
      </c>
      <c r="E46" s="2839">
        <v>53333</v>
      </c>
      <c r="F46" s="2839">
        <v>0</v>
      </c>
      <c r="G46" s="2839">
        <v>0</v>
      </c>
      <c r="H46" s="2839">
        <v>0</v>
      </c>
      <c r="I46" s="2839">
        <v>0</v>
      </c>
      <c r="J46" s="2839">
        <v>0</v>
      </c>
      <c r="K46" s="2839">
        <f t="shared" si="8"/>
        <v>53333</v>
      </c>
      <c r="L46" s="2596"/>
    </row>
    <row r="47" spans="1:12" s="9" customFormat="1" ht="16.5" customHeight="1" thickBot="1" x14ac:dyDescent="0.3">
      <c r="A47" s="1145"/>
      <c r="B47" s="2739" t="s">
        <v>754</v>
      </c>
      <c r="C47" s="2839">
        <v>0</v>
      </c>
      <c r="D47" s="2839">
        <v>0</v>
      </c>
      <c r="E47" s="2839">
        <v>10000</v>
      </c>
      <c r="F47" s="2839">
        <v>0</v>
      </c>
      <c r="G47" s="2839">
        <v>0</v>
      </c>
      <c r="H47" s="2839">
        <v>0</v>
      </c>
      <c r="I47" s="2839">
        <v>0</v>
      </c>
      <c r="J47" s="2839">
        <v>0</v>
      </c>
      <c r="K47" s="2839">
        <f>SUM(C47:J47)</f>
        <v>10000</v>
      </c>
      <c r="L47" s="2596"/>
    </row>
    <row r="48" spans="1:12" s="9" customFormat="1" ht="16.5" customHeight="1" thickBot="1" x14ac:dyDescent="0.3">
      <c r="A48" s="1145"/>
      <c r="B48" s="2739" t="s">
        <v>755</v>
      </c>
      <c r="C48" s="2839">
        <v>0</v>
      </c>
      <c r="D48" s="2839">
        <v>0</v>
      </c>
      <c r="E48" s="2839">
        <v>0</v>
      </c>
      <c r="F48" s="2839">
        <v>0</v>
      </c>
      <c r="G48" s="2839">
        <v>0</v>
      </c>
      <c r="H48" s="2839">
        <v>0</v>
      </c>
      <c r="I48" s="2839">
        <f ca="1">'SCG Table A2'!H25</f>
        <v>713929.0174136057</v>
      </c>
      <c r="J48" s="2839">
        <v>0</v>
      </c>
      <c r="K48" s="2839">
        <f t="shared" ca="1" si="8"/>
        <v>713929.0174136057</v>
      </c>
      <c r="L48" s="2596"/>
    </row>
    <row r="49" spans="1:12" s="9" customFormat="1" ht="16.5" customHeight="1" thickBot="1" x14ac:dyDescent="0.3">
      <c r="A49" s="1145"/>
      <c r="B49" s="2740" t="s">
        <v>756</v>
      </c>
      <c r="C49" s="2741">
        <f t="shared" ref="C49:K49" si="9">SUM(C40:C48)</f>
        <v>364276</v>
      </c>
      <c r="D49" s="2741">
        <f t="shared" si="9"/>
        <v>0</v>
      </c>
      <c r="E49" s="2741">
        <f t="shared" si="9"/>
        <v>590646</v>
      </c>
      <c r="F49" s="2741">
        <f>SUM(F40:F48)</f>
        <v>0</v>
      </c>
      <c r="G49" s="2741">
        <f t="shared" si="9"/>
        <v>0</v>
      </c>
      <c r="H49" s="2741">
        <f t="shared" si="9"/>
        <v>40100</v>
      </c>
      <c r="I49" s="2741">
        <f ca="1">SUM(I40:I48)</f>
        <v>713929.0174136057</v>
      </c>
      <c r="J49" s="2741">
        <f t="shared" si="9"/>
        <v>0</v>
      </c>
      <c r="K49" s="2741">
        <f t="shared" ca="1" si="9"/>
        <v>1708951.0174136057</v>
      </c>
      <c r="L49" s="2596"/>
    </row>
    <row r="50" spans="1:12" ht="19.5" customHeight="1" thickBot="1" x14ac:dyDescent="0.35">
      <c r="A50" s="83"/>
      <c r="B50" s="2742"/>
      <c r="C50" s="2743"/>
      <c r="D50" s="2743"/>
      <c r="E50" s="2743"/>
      <c r="F50" s="2743"/>
      <c r="G50" s="2743"/>
      <c r="H50" s="2743"/>
      <c r="I50" s="2743"/>
      <c r="J50" s="2743"/>
      <c r="K50" s="2744"/>
    </row>
    <row r="51" spans="1:12" ht="21" thickBot="1" x14ac:dyDescent="0.35">
      <c r="A51" s="83"/>
      <c r="B51" s="2740" t="s">
        <v>58</v>
      </c>
      <c r="C51" s="2741">
        <f t="shared" ref="C51:K51" si="10">C17+C23+C33+C38+C49+C27</f>
        <v>1477663.2</v>
      </c>
      <c r="D51" s="2741">
        <f t="shared" si="10"/>
        <v>5592.0745638642738</v>
      </c>
      <c r="E51" s="2741">
        <f t="shared" si="10"/>
        <v>1635278.0915513809</v>
      </c>
      <c r="F51" s="2741">
        <f t="shared" si="10"/>
        <v>70400</v>
      </c>
      <c r="G51" s="2741">
        <f t="shared" si="10"/>
        <v>10644860.974623498</v>
      </c>
      <c r="H51" s="2741">
        <f t="shared" si="10"/>
        <v>241146.69865802897</v>
      </c>
      <c r="I51" s="2741">
        <f t="shared" ca="1" si="10"/>
        <v>892809.66492536652</v>
      </c>
      <c r="J51" s="2741">
        <f t="shared" si="10"/>
        <v>24758.65776785856</v>
      </c>
      <c r="K51" s="2741">
        <f t="shared" ca="1" si="10"/>
        <v>14992509.362089995</v>
      </c>
    </row>
    <row r="52" spans="1:12" ht="15.75" x14ac:dyDescent="0.25">
      <c r="B52" s="144"/>
    </row>
    <row r="53" spans="1:12" ht="15.75" x14ac:dyDescent="0.25">
      <c r="B53" s="144"/>
      <c r="C53" s="2482"/>
      <c r="K53" s="2501">
        <f>'SCG Table A2'!H16</f>
        <v>14992509.365685718</v>
      </c>
    </row>
    <row r="54" spans="1:12" ht="15.75" x14ac:dyDescent="0.25">
      <c r="B54" s="144"/>
      <c r="K54" s="2501"/>
    </row>
    <row r="55" spans="1:12" ht="15.75" x14ac:dyDescent="0.25">
      <c r="B55" s="144"/>
      <c r="K55" s="2470">
        <f ca="1">+K53-K51</f>
        <v>3.5957228392362595E-3</v>
      </c>
    </row>
    <row r="58" spans="1:12" x14ac:dyDescent="0.2">
      <c r="F58" s="134"/>
    </row>
    <row r="59" spans="1:12" x14ac:dyDescent="0.2">
      <c r="F59" s="134"/>
    </row>
    <row r="60" spans="1:12" x14ac:dyDescent="0.2">
      <c r="F60" s="134"/>
    </row>
    <row r="61" spans="1:12" x14ac:dyDescent="0.2">
      <c r="F61" s="134"/>
    </row>
    <row r="62" spans="1:12" x14ac:dyDescent="0.2">
      <c r="F62" s="134"/>
    </row>
    <row r="63" spans="1:12" x14ac:dyDescent="0.2">
      <c r="F63" s="134"/>
    </row>
  </sheetData>
  <mergeCells count="8">
    <mergeCell ref="B34:K34"/>
    <mergeCell ref="B39:K39"/>
    <mergeCell ref="B1:K1"/>
    <mergeCell ref="B2:K2"/>
    <mergeCell ref="B11:K11"/>
    <mergeCell ref="B18:K18"/>
    <mergeCell ref="B24:K24"/>
    <mergeCell ref="B28:K28"/>
  </mergeCells>
  <printOptions horizontalCentered="1" verticalCentered="1"/>
  <pageMargins left="0.5" right="0.06" top="0.2" bottom="0.18" header="0.2" footer="0.25"/>
  <pageSetup scale="40" orientation="landscape" r:id="rId1"/>
  <headerFooter alignWithMargins="0">
    <oddFooter>&amp;C&amp;"Arial"&amp;11&amp;K000000&amp;14
Totals may vary due to rounding&amp;12
_x000D_&amp;1#&amp;"Calibri"&amp;12&amp;K008000Internal Use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indexed="44"/>
    <pageSetUpPr fitToPage="1"/>
  </sheetPr>
  <dimension ref="A1:H148"/>
  <sheetViews>
    <sheetView topLeftCell="A13" zoomScale="80" zoomScaleNormal="80" zoomScaleSheetLayoutView="25" workbookViewId="0">
      <selection activeCell="V50" sqref="V50"/>
    </sheetView>
  </sheetViews>
  <sheetFormatPr defaultRowHeight="15" x14ac:dyDescent="0.2"/>
  <cols>
    <col min="1" max="1" width="46.5703125" bestFit="1" customWidth="1"/>
    <col min="2" max="2" width="5.7109375" hidden="1" customWidth="1"/>
    <col min="3" max="3" width="9.140625" hidden="1" customWidth="1"/>
    <col min="4" max="4" width="18.5703125" style="723" bestFit="1" customWidth="1"/>
    <col min="5" max="5" width="4.42578125" style="723" customWidth="1"/>
    <col min="6" max="7" width="18.5703125" style="723" customWidth="1"/>
    <col min="8" max="8" width="19.42578125" style="723" customWidth="1"/>
  </cols>
  <sheetData>
    <row r="1" spans="1:8" ht="15" customHeight="1" x14ac:dyDescent="0.2">
      <c r="A1" s="2859" t="s">
        <v>38</v>
      </c>
      <c r="B1" s="2859"/>
      <c r="C1" s="2859"/>
      <c r="D1" s="2859"/>
      <c r="E1" s="2859"/>
      <c r="F1" s="2859"/>
      <c r="G1" s="2859"/>
      <c r="H1" s="2859"/>
    </row>
    <row r="2" spans="1:8" ht="15" customHeight="1" x14ac:dyDescent="0.2">
      <c r="A2" s="2859" t="s">
        <v>260</v>
      </c>
      <c r="B2" s="2859"/>
      <c r="C2" s="2859"/>
      <c r="D2" s="2859"/>
      <c r="E2" s="2859"/>
      <c r="F2" s="2859"/>
      <c r="G2" s="2859"/>
      <c r="H2" s="2859"/>
    </row>
    <row r="3" spans="1:8" ht="15" customHeight="1" x14ac:dyDescent="0.2">
      <c r="A3" s="2859" t="s">
        <v>261</v>
      </c>
      <c r="B3" s="2859"/>
      <c r="C3" s="2859"/>
      <c r="D3" s="2859"/>
      <c r="E3" s="2859"/>
      <c r="F3" s="2859"/>
      <c r="G3" s="2859"/>
      <c r="H3" s="2859"/>
    </row>
    <row r="4" spans="1:8" ht="15" customHeight="1" x14ac:dyDescent="0.2">
      <c r="A4" s="2859"/>
      <c r="B4" s="2859"/>
      <c r="C4" s="2859"/>
      <c r="D4" s="2859"/>
      <c r="E4" s="2859"/>
      <c r="F4" s="2859"/>
      <c r="G4" s="2859"/>
      <c r="H4" s="2859"/>
    </row>
    <row r="5" spans="1:8" ht="15" customHeight="1" x14ac:dyDescent="0.2">
      <c r="A5" s="212"/>
      <c r="B5" s="212"/>
      <c r="C5" s="212"/>
      <c r="D5" s="212"/>
      <c r="E5" s="212"/>
      <c r="F5" s="212"/>
      <c r="G5" s="212"/>
      <c r="H5" s="212"/>
    </row>
    <row r="6" spans="1:8" ht="15" customHeight="1" x14ac:dyDescent="0.25">
      <c r="A6" s="2857" t="s">
        <v>305</v>
      </c>
      <c r="B6" s="2858"/>
      <c r="C6" s="2858"/>
      <c r="D6" s="2858"/>
      <c r="E6" s="2858"/>
      <c r="F6" s="2858"/>
      <c r="G6" s="2858"/>
      <c r="H6" s="2858"/>
    </row>
    <row r="7" spans="1:8" ht="15" customHeight="1" x14ac:dyDescent="0.25">
      <c r="A7" s="708"/>
      <c r="B7" s="708"/>
      <c r="C7" s="708"/>
      <c r="D7" s="709"/>
      <c r="E7" s="709"/>
      <c r="F7" s="709"/>
      <c r="G7" s="709"/>
      <c r="H7" s="709"/>
    </row>
    <row r="8" spans="1:8" ht="15" customHeight="1" x14ac:dyDescent="0.25">
      <c r="A8" s="707"/>
      <c r="B8" s="707"/>
      <c r="C8" s="707"/>
      <c r="D8" s="710"/>
      <c r="E8" s="710"/>
      <c r="F8" s="710"/>
      <c r="G8" s="710"/>
      <c r="H8" s="710"/>
    </row>
    <row r="9" spans="1:8" ht="15" customHeight="1" x14ac:dyDescent="0.25">
      <c r="A9" s="707"/>
      <c r="B9" s="707"/>
      <c r="C9" s="707"/>
      <c r="D9" s="711" t="s">
        <v>306</v>
      </c>
      <c r="E9" s="710"/>
      <c r="F9" s="710"/>
      <c r="G9" s="710"/>
      <c r="H9" s="711" t="s">
        <v>306</v>
      </c>
    </row>
    <row r="10" spans="1:8" ht="15" customHeight="1" x14ac:dyDescent="0.25">
      <c r="A10" s="707"/>
      <c r="B10" s="707"/>
      <c r="C10" s="707"/>
      <c r="D10" s="711" t="s">
        <v>262</v>
      </c>
      <c r="E10" s="711"/>
      <c r="F10" s="711"/>
      <c r="G10" s="711"/>
      <c r="H10" s="710" t="s">
        <v>263</v>
      </c>
    </row>
    <row r="11" spans="1:8" ht="15" customHeight="1" x14ac:dyDescent="0.25">
      <c r="B11" s="707"/>
      <c r="C11" s="707"/>
      <c r="D11" s="710" t="s">
        <v>186</v>
      </c>
      <c r="E11" s="710"/>
      <c r="F11" s="711" t="s">
        <v>306</v>
      </c>
      <c r="G11" s="711" t="s">
        <v>306</v>
      </c>
      <c r="H11" s="712" t="s">
        <v>264</v>
      </c>
    </row>
    <row r="12" spans="1:8" ht="14.25" customHeight="1" x14ac:dyDescent="0.25">
      <c r="A12" s="707"/>
      <c r="B12" s="707"/>
      <c r="C12" s="707"/>
      <c r="D12" s="710" t="s">
        <v>265</v>
      </c>
      <c r="E12" s="710"/>
      <c r="F12" s="710" t="s">
        <v>263</v>
      </c>
      <c r="G12" s="710" t="s">
        <v>1</v>
      </c>
      <c r="H12" s="709" t="s">
        <v>266</v>
      </c>
    </row>
    <row r="13" spans="1:8" ht="15" customHeight="1" thickBot="1" x14ac:dyDescent="0.3">
      <c r="A13" s="13"/>
      <c r="B13" s="713"/>
      <c r="C13" s="713"/>
      <c r="D13" s="714" t="s">
        <v>307</v>
      </c>
      <c r="E13" s="714"/>
      <c r="F13" s="715" t="s">
        <v>264</v>
      </c>
      <c r="G13" s="714" t="s">
        <v>344</v>
      </c>
      <c r="H13" s="715" t="s">
        <v>1</v>
      </c>
    </row>
    <row r="14" spans="1:8" ht="15" customHeight="1" x14ac:dyDescent="0.25">
      <c r="A14" s="716" t="s">
        <v>267</v>
      </c>
      <c r="B14" s="665"/>
      <c r="C14" s="665"/>
      <c r="D14" s="717"/>
      <c r="E14" s="717"/>
      <c r="F14" s="712"/>
      <c r="G14" s="717"/>
      <c r="H14" s="712"/>
    </row>
    <row r="15" spans="1:8" ht="15" customHeight="1" thickBot="1" x14ac:dyDescent="0.3">
      <c r="A15" s="718" t="s">
        <v>268</v>
      </c>
      <c r="B15" s="713"/>
      <c r="C15" s="713"/>
      <c r="D15" s="714"/>
      <c r="E15" s="714"/>
      <c r="F15" s="715"/>
      <c r="G15" s="714"/>
      <c r="H15" s="715"/>
    </row>
    <row r="16" spans="1:8" ht="15" customHeight="1" x14ac:dyDescent="0.2">
      <c r="A16" s="132" t="s">
        <v>283</v>
      </c>
      <c r="B16" s="180"/>
      <c r="C16" s="180"/>
      <c r="D16" s="719" t="e">
        <f>'SCG Income Eligible'!#REF!/1000</f>
        <v>#REF!</v>
      </c>
      <c r="E16" s="719"/>
      <c r="F16" s="719" t="e">
        <f>'SCG Income Eligible'!#REF!/1000</f>
        <v>#REF!</v>
      </c>
      <c r="G16" s="719">
        <v>2343</v>
      </c>
      <c r="H16" s="719" t="e">
        <f>F16-G16</f>
        <v>#REF!</v>
      </c>
    </row>
    <row r="17" spans="1:8" ht="15" customHeight="1" x14ac:dyDescent="0.2">
      <c r="A17" s="132" t="s">
        <v>160</v>
      </c>
      <c r="B17" s="180"/>
      <c r="C17" s="180"/>
      <c r="D17" s="720" t="e">
        <f>'SCG HES'!#REF!/1000</f>
        <v>#REF!</v>
      </c>
      <c r="E17" s="720"/>
      <c r="F17" s="720" t="e">
        <f>'SCG HES'!#REF!/1000</f>
        <v>#REF!</v>
      </c>
      <c r="G17" s="721">
        <v>3094</v>
      </c>
      <c r="H17" s="721" t="e">
        <f>F17-G17</f>
        <v>#REF!</v>
      </c>
    </row>
    <row r="18" spans="1:8" ht="15" customHeight="1" x14ac:dyDescent="0.2">
      <c r="A18" s="132" t="s">
        <v>230</v>
      </c>
      <c r="B18" s="180"/>
      <c r="C18" s="180"/>
      <c r="D18" s="720">
        <f>'SCG New Construction'!F15/1000</f>
        <v>595.73158999999998</v>
      </c>
      <c r="E18" s="720"/>
      <c r="F18" s="720" t="e">
        <f>'SCG New Construction'!#REF!/1000</f>
        <v>#REF!</v>
      </c>
      <c r="G18" s="721">
        <v>300</v>
      </c>
      <c r="H18" s="721" t="e">
        <f>F18-G18</f>
        <v>#REF!</v>
      </c>
    </row>
    <row r="19" spans="1:8" ht="15" customHeight="1" x14ac:dyDescent="0.2">
      <c r="A19" s="132" t="s">
        <v>197</v>
      </c>
      <c r="B19" s="665"/>
      <c r="C19" s="665"/>
      <c r="D19" s="720" t="e">
        <f>'SCG Water Heating'!#REF!/1000</f>
        <v>#REF!</v>
      </c>
      <c r="E19" s="720"/>
      <c r="F19" s="720" t="e">
        <f>'SCG Water Heating'!#REF!/1000</f>
        <v>#REF!</v>
      </c>
      <c r="G19" s="721">
        <v>46</v>
      </c>
      <c r="H19" s="721" t="e">
        <f>F19-G19</f>
        <v>#REF!</v>
      </c>
    </row>
    <row r="20" spans="1:8" s="7" customFormat="1" ht="15" customHeight="1" x14ac:dyDescent="0.2">
      <c r="A20" s="102" t="s">
        <v>269</v>
      </c>
      <c r="B20" s="186"/>
      <c r="C20" s="186"/>
      <c r="D20" s="722" t="e">
        <f>SUM(D16:D19)</f>
        <v>#REF!</v>
      </c>
      <c r="E20" s="722"/>
      <c r="F20" s="722" t="e">
        <f>SUM(F16:F19)</f>
        <v>#REF!</v>
      </c>
      <c r="G20" s="722">
        <f>SUM(G16:G19)</f>
        <v>5783</v>
      </c>
      <c r="H20" s="722" t="e">
        <f>SUM(H16:H19)</f>
        <v>#REF!</v>
      </c>
    </row>
    <row r="21" spans="1:8" ht="15" customHeight="1" x14ac:dyDescent="0.2">
      <c r="A21" s="180"/>
      <c r="B21" s="180"/>
      <c r="C21" s="180"/>
      <c r="D21" s="720"/>
      <c r="E21" s="720"/>
      <c r="F21" s="720"/>
      <c r="G21" s="721"/>
    </row>
    <row r="22" spans="1:8" ht="15" customHeight="1" thickBot="1" x14ac:dyDescent="0.25">
      <c r="A22" s="724" t="s">
        <v>270</v>
      </c>
      <c r="B22" s="713"/>
      <c r="C22" s="713"/>
      <c r="D22" s="725"/>
      <c r="E22" s="725"/>
      <c r="F22" s="725"/>
      <c r="G22" s="726"/>
      <c r="H22" s="726"/>
    </row>
    <row r="23" spans="1:8" ht="15" customHeight="1" x14ac:dyDescent="0.2">
      <c r="A23" s="180" t="s">
        <v>285</v>
      </c>
      <c r="B23" s="665"/>
      <c r="C23" s="665"/>
      <c r="D23" s="719" t="e">
        <f>'SCG ECB'!#REF!/1000</f>
        <v>#REF!</v>
      </c>
      <c r="E23" s="719"/>
      <c r="F23" s="719" t="e">
        <f>'SCG ECB'!#REF!/1000</f>
        <v>#REF!</v>
      </c>
      <c r="G23" s="727">
        <v>2080</v>
      </c>
      <c r="H23" s="719" t="e">
        <f>F23-G23</f>
        <v>#REF!</v>
      </c>
    </row>
    <row r="24" spans="1:8" ht="15" customHeight="1" x14ac:dyDescent="0.2">
      <c r="A24" s="180" t="s">
        <v>275</v>
      </c>
      <c r="B24" s="665"/>
      <c r="C24" s="665"/>
      <c r="D24" s="720" t="e">
        <f>'SCG ENOPP'!#REF!/1000</f>
        <v>#REF!</v>
      </c>
      <c r="E24" s="720"/>
      <c r="F24" s="720" t="e">
        <f>'SCG ENOPP'!#REF!/1000</f>
        <v>#REF!</v>
      </c>
      <c r="G24" s="721">
        <v>1457</v>
      </c>
      <c r="H24" s="721" t="e">
        <f>F24-G24</f>
        <v>#REF!</v>
      </c>
    </row>
    <row r="25" spans="1:8" ht="15" customHeight="1" x14ac:dyDescent="0.2">
      <c r="A25" s="132" t="s">
        <v>276</v>
      </c>
      <c r="B25" s="665"/>
      <c r="C25" s="665"/>
      <c r="D25" s="720" t="e">
        <f>'SCG O&amp;M'!#REF!/1000</f>
        <v>#REF!</v>
      </c>
      <c r="E25" s="720"/>
      <c r="F25" s="720" t="e">
        <f>'SCG O&amp;M'!#REF!/1000</f>
        <v>#REF!</v>
      </c>
      <c r="G25" s="721">
        <v>184</v>
      </c>
      <c r="H25" s="721" t="e">
        <f>F25-G25</f>
        <v>#REF!</v>
      </c>
    </row>
    <row r="26" spans="1:8" ht="15" customHeight="1" x14ac:dyDescent="0.2">
      <c r="A26" s="132" t="s">
        <v>245</v>
      </c>
      <c r="B26" s="665"/>
      <c r="C26" s="665"/>
      <c r="D26" s="720" t="e">
        <f>'SCG SBEA'!#REF!/1000</f>
        <v>#REF!</v>
      </c>
      <c r="E26" s="720"/>
      <c r="F26" s="720" t="e">
        <f>'SCG SBEA'!#REF!/1000</f>
        <v>#REF!</v>
      </c>
      <c r="G26" s="721">
        <v>187</v>
      </c>
      <c r="H26" s="721" t="e">
        <f>F26-G26</f>
        <v>#REF!</v>
      </c>
    </row>
    <row r="27" spans="1:8" s="7" customFormat="1" ht="15" customHeight="1" x14ac:dyDescent="0.25">
      <c r="A27" s="728" t="s">
        <v>271</v>
      </c>
      <c r="B27" s="729"/>
      <c r="C27" s="729"/>
      <c r="D27" s="722" t="e">
        <f>SUM(D23:D26)</f>
        <v>#REF!</v>
      </c>
      <c r="E27" s="722"/>
      <c r="F27" s="722" t="e">
        <f>SUM(F23:F26)</f>
        <v>#REF!</v>
      </c>
      <c r="G27" s="722">
        <f>SUM(G23:G26)</f>
        <v>3908</v>
      </c>
      <c r="H27" s="722" t="e">
        <f>SUM(H23:H26)</f>
        <v>#REF!</v>
      </c>
    </row>
    <row r="28" spans="1:8" ht="15" customHeight="1" x14ac:dyDescent="0.2">
      <c r="A28" s="730"/>
      <c r="B28" s="665"/>
      <c r="C28" s="665"/>
      <c r="D28" s="720"/>
      <c r="E28" s="720"/>
      <c r="F28" s="720"/>
      <c r="G28" s="721"/>
    </row>
    <row r="29" spans="1:8" ht="15" customHeight="1" thickBot="1" x14ac:dyDescent="0.25">
      <c r="A29" s="724" t="s">
        <v>277</v>
      </c>
      <c r="B29" s="713"/>
      <c r="C29" s="713"/>
      <c r="D29" s="731"/>
      <c r="E29" s="731"/>
      <c r="F29" s="731"/>
      <c r="G29" s="732"/>
      <c r="H29" s="732"/>
    </row>
    <row r="30" spans="1:8" ht="15" customHeight="1" x14ac:dyDescent="0.2">
      <c r="A30" s="13" t="s">
        <v>278</v>
      </c>
      <c r="B30" s="665"/>
      <c r="C30" s="665"/>
      <c r="D30" s="882">
        <v>0</v>
      </c>
      <c r="E30" s="727"/>
      <c r="F30" s="882">
        <v>75</v>
      </c>
      <c r="G30" s="727">
        <v>75</v>
      </c>
      <c r="H30" s="719">
        <f>F30-G30</f>
        <v>0</v>
      </c>
    </row>
    <row r="31" spans="1:8" ht="15" customHeight="1" x14ac:dyDescent="0.2">
      <c r="A31" s="132" t="s">
        <v>279</v>
      </c>
      <c r="B31" s="665"/>
      <c r="C31" s="665"/>
      <c r="D31" s="526">
        <v>0</v>
      </c>
      <c r="E31" s="721"/>
      <c r="F31" s="526">
        <v>50</v>
      </c>
      <c r="G31" s="721">
        <v>135</v>
      </c>
      <c r="H31" s="721">
        <f>F31-G31</f>
        <v>-85</v>
      </c>
    </row>
    <row r="32" spans="1:8" ht="15" customHeight="1" x14ac:dyDescent="0.2">
      <c r="A32" s="132" t="s">
        <v>280</v>
      </c>
      <c r="B32" s="665"/>
      <c r="C32" s="665"/>
      <c r="D32" s="526">
        <v>0</v>
      </c>
      <c r="E32" s="721"/>
      <c r="F32" s="526">
        <v>75</v>
      </c>
      <c r="G32" s="721">
        <v>75</v>
      </c>
      <c r="H32" s="721">
        <f>F32-G32</f>
        <v>0</v>
      </c>
    </row>
    <row r="33" spans="1:8" s="7" customFormat="1" ht="15" customHeight="1" x14ac:dyDescent="0.25">
      <c r="A33" s="728" t="s">
        <v>272</v>
      </c>
      <c r="B33" s="729"/>
      <c r="C33" s="729"/>
      <c r="D33" s="883">
        <f>SUM(D30:D32)</f>
        <v>0</v>
      </c>
      <c r="E33" s="722"/>
      <c r="F33" s="883">
        <f>SUM(F30:F32)</f>
        <v>200</v>
      </c>
      <c r="G33" s="733">
        <f>SUM(G30:G32)</f>
        <v>285</v>
      </c>
      <c r="H33" s="733">
        <f>SUM(H30:H32)</f>
        <v>-85</v>
      </c>
    </row>
    <row r="34" spans="1:8" ht="15" customHeight="1" x14ac:dyDescent="0.2">
      <c r="A34" s="734"/>
      <c r="B34" s="665"/>
      <c r="C34" s="665"/>
      <c r="D34" s="526"/>
      <c r="E34" s="721"/>
      <c r="F34" s="882"/>
      <c r="G34" s="721"/>
    </row>
    <row r="35" spans="1:8" ht="15" customHeight="1" thickBot="1" x14ac:dyDescent="0.25">
      <c r="A35" s="718" t="s">
        <v>24</v>
      </c>
      <c r="B35" s="713"/>
      <c r="C35" s="713"/>
      <c r="D35" s="948"/>
      <c r="E35" s="726"/>
      <c r="F35" s="887"/>
      <c r="G35" s="726"/>
      <c r="H35" s="726"/>
    </row>
    <row r="36" spans="1:8" ht="15" customHeight="1" x14ac:dyDescent="0.2">
      <c r="A36" s="34" t="s">
        <v>330</v>
      </c>
      <c r="B36" s="665"/>
      <c r="C36" s="665"/>
      <c r="D36" s="882">
        <v>86</v>
      </c>
      <c r="E36" s="727"/>
      <c r="F36" s="882">
        <v>150</v>
      </c>
      <c r="G36" s="727">
        <v>0</v>
      </c>
      <c r="H36" s="727">
        <f>F36-G36</f>
        <v>150</v>
      </c>
    </row>
    <row r="37" spans="1:8" ht="15" customHeight="1" x14ac:dyDescent="0.2">
      <c r="A37" s="180" t="s">
        <v>273</v>
      </c>
      <c r="B37" s="665"/>
      <c r="C37" s="665"/>
      <c r="D37" s="526">
        <v>0</v>
      </c>
      <c r="E37" s="721"/>
      <c r="F37" s="526">
        <v>45</v>
      </c>
      <c r="G37" s="721">
        <v>45</v>
      </c>
      <c r="H37" s="721">
        <f>F37-G37</f>
        <v>0</v>
      </c>
    </row>
    <row r="38" spans="1:8" ht="15" customHeight="1" x14ac:dyDescent="0.2">
      <c r="A38" s="180" t="s">
        <v>281</v>
      </c>
      <c r="B38" s="665"/>
      <c r="C38" s="665"/>
      <c r="D38" s="526">
        <v>12</v>
      </c>
      <c r="E38" s="721"/>
      <c r="F38" s="526">
        <v>77</v>
      </c>
      <c r="G38" s="721">
        <v>77</v>
      </c>
      <c r="H38" s="721">
        <f>F38-G38</f>
        <v>0</v>
      </c>
    </row>
    <row r="39" spans="1:8" ht="15" customHeight="1" x14ac:dyDescent="0.2">
      <c r="A39" s="180" t="s">
        <v>282</v>
      </c>
      <c r="B39" s="665"/>
      <c r="C39" s="665"/>
      <c r="D39" s="526">
        <v>14</v>
      </c>
      <c r="E39" s="721"/>
      <c r="F39" s="526">
        <v>200</v>
      </c>
      <c r="G39" s="721">
        <v>387</v>
      </c>
      <c r="H39" s="721">
        <f>F39-G39</f>
        <v>-187</v>
      </c>
    </row>
    <row r="40" spans="1:8" ht="15" customHeight="1" x14ac:dyDescent="0.2">
      <c r="A40" s="13" t="s">
        <v>284</v>
      </c>
      <c r="B40" s="665"/>
      <c r="C40" s="665"/>
      <c r="D40" s="526">
        <v>4</v>
      </c>
      <c r="E40" s="721"/>
      <c r="F40" s="526">
        <v>25</v>
      </c>
      <c r="G40" s="721">
        <v>25</v>
      </c>
      <c r="H40" s="721">
        <f>F40-G40</f>
        <v>0</v>
      </c>
    </row>
    <row r="41" spans="1:8" s="7" customFormat="1" ht="15" customHeight="1" x14ac:dyDescent="0.25">
      <c r="A41" s="728" t="s">
        <v>274</v>
      </c>
      <c r="B41" s="729"/>
      <c r="C41" s="729"/>
      <c r="D41" s="733">
        <f>SUM(D36:D40)</f>
        <v>116</v>
      </c>
      <c r="E41" s="733"/>
      <c r="F41" s="733">
        <f>SUM(F36:F40)</f>
        <v>497</v>
      </c>
      <c r="G41" s="733">
        <f>SUM(G36:G40)</f>
        <v>534</v>
      </c>
      <c r="H41" s="733">
        <f>SUM(H36:H40)</f>
        <v>-37</v>
      </c>
    </row>
    <row r="42" spans="1:8" ht="15" customHeight="1" thickBot="1" x14ac:dyDescent="0.25">
      <c r="A42" s="735"/>
      <c r="B42" s="713"/>
      <c r="C42" s="713"/>
      <c r="D42" s="731"/>
      <c r="E42" s="731"/>
      <c r="F42" s="731"/>
      <c r="G42" s="731"/>
      <c r="H42" s="725"/>
    </row>
    <row r="43" spans="1:8" s="7" customFormat="1" ht="18" customHeight="1" thickBot="1" x14ac:dyDescent="0.3">
      <c r="A43" s="718" t="s">
        <v>0</v>
      </c>
      <c r="B43" s="736"/>
      <c r="C43" s="736"/>
      <c r="D43" s="737" t="e">
        <f>D20+D27+D33+D41</f>
        <v>#REF!</v>
      </c>
      <c r="E43" s="737"/>
      <c r="F43" s="737" t="e">
        <f>F20+F27+F33+F41</f>
        <v>#REF!</v>
      </c>
      <c r="G43" s="737">
        <f>G20+G27+G33+G41</f>
        <v>10510</v>
      </c>
      <c r="H43" s="737" t="e">
        <f>H20+H27+H33+H41</f>
        <v>#REF!</v>
      </c>
    </row>
    <row r="44" spans="1:8" ht="15" customHeight="1" x14ac:dyDescent="0.2">
      <c r="A44" s="730"/>
      <c r="B44" s="665"/>
      <c r="C44" s="665"/>
      <c r="D44" s="720"/>
      <c r="E44" s="720"/>
      <c r="F44" s="720"/>
      <c r="G44" s="720"/>
      <c r="H44" s="720"/>
    </row>
    <row r="45" spans="1:8" ht="15" customHeight="1" x14ac:dyDescent="0.2">
      <c r="A45" s="730"/>
      <c r="B45" s="665"/>
      <c r="C45" s="665"/>
      <c r="D45" s="720"/>
      <c r="E45" s="720"/>
      <c r="F45" s="720"/>
      <c r="G45" s="720"/>
      <c r="H45" s="720"/>
    </row>
    <row r="46" spans="1:8" x14ac:dyDescent="0.2">
      <c r="A46" s="13"/>
      <c r="B46" s="13"/>
      <c r="C46" s="13"/>
      <c r="D46" s="738"/>
      <c r="E46" s="738"/>
      <c r="F46" s="738"/>
      <c r="G46" s="738"/>
      <c r="H46" s="738"/>
    </row>
    <row r="47" spans="1:8" x14ac:dyDescent="0.2">
      <c r="A47" s="739"/>
      <c r="B47" s="13"/>
      <c r="C47" s="13"/>
      <c r="D47" s="738"/>
      <c r="E47" s="738"/>
      <c r="F47" s="738"/>
      <c r="G47" s="738"/>
      <c r="H47" s="738"/>
    </row>
    <row r="48" spans="1:8" x14ac:dyDescent="0.2">
      <c r="A48" s="13"/>
      <c r="B48" s="13"/>
      <c r="C48" s="13"/>
      <c r="D48" s="738"/>
      <c r="E48" s="738"/>
      <c r="F48" s="738"/>
      <c r="G48" s="738"/>
      <c r="H48" s="738"/>
    </row>
    <row r="49" spans="1:8" x14ac:dyDescent="0.2">
      <c r="A49" s="244"/>
      <c r="B49" s="13"/>
      <c r="C49" s="13"/>
      <c r="D49" s="738"/>
      <c r="E49" s="738"/>
      <c r="F49" s="738"/>
      <c r="G49" s="738"/>
      <c r="H49" s="738"/>
    </row>
    <row r="50" spans="1:8" x14ac:dyDescent="0.2">
      <c r="A50" s="244"/>
      <c r="B50" s="13"/>
      <c r="C50" s="13"/>
      <c r="D50" s="738"/>
      <c r="E50" s="738"/>
      <c r="F50" s="738"/>
      <c r="G50" s="738"/>
      <c r="H50" s="738"/>
    </row>
    <row r="51" spans="1:8" x14ac:dyDescent="0.2">
      <c r="A51" s="13"/>
      <c r="B51" s="13"/>
      <c r="C51" s="13"/>
      <c r="D51" s="738"/>
      <c r="E51" s="738"/>
      <c r="F51" s="738"/>
      <c r="G51" s="738"/>
      <c r="H51" s="738"/>
    </row>
    <row r="52" spans="1:8" x14ac:dyDescent="0.2">
      <c r="A52" s="13"/>
      <c r="B52" s="13"/>
      <c r="C52" s="13"/>
      <c r="D52" s="738"/>
      <c r="E52" s="738"/>
      <c r="F52" s="738"/>
      <c r="G52" s="738"/>
      <c r="H52" s="738"/>
    </row>
    <row r="53" spans="1:8" x14ac:dyDescent="0.2">
      <c r="A53" s="13"/>
      <c r="B53" s="13"/>
      <c r="C53" s="13"/>
      <c r="D53" s="738"/>
      <c r="E53" s="738"/>
      <c r="F53" s="738"/>
      <c r="G53" s="738"/>
      <c r="H53" s="738"/>
    </row>
    <row r="54" spans="1:8" x14ac:dyDescent="0.2">
      <c r="A54" s="13"/>
      <c r="B54" s="13"/>
      <c r="C54" s="13"/>
      <c r="D54" s="738"/>
      <c r="E54" s="738"/>
      <c r="F54" s="738"/>
      <c r="G54" s="738"/>
      <c r="H54" s="738"/>
    </row>
    <row r="55" spans="1:8" x14ac:dyDescent="0.2">
      <c r="A55" s="13"/>
      <c r="B55" s="13"/>
      <c r="C55" s="13"/>
      <c r="D55" s="738"/>
      <c r="E55" s="738"/>
      <c r="F55" s="738"/>
      <c r="G55" s="738"/>
      <c r="H55" s="738"/>
    </row>
    <row r="56" spans="1:8" x14ac:dyDescent="0.2">
      <c r="A56" s="13"/>
      <c r="B56" s="13"/>
      <c r="C56" s="13"/>
      <c r="D56" s="738"/>
      <c r="E56" s="738"/>
      <c r="F56" s="738"/>
      <c r="G56" s="738"/>
      <c r="H56" s="738"/>
    </row>
    <row r="57" spans="1:8" x14ac:dyDescent="0.2">
      <c r="A57" s="13"/>
      <c r="B57" s="13"/>
      <c r="C57" s="13"/>
      <c r="D57" s="738"/>
      <c r="E57" s="738"/>
      <c r="F57" s="738"/>
      <c r="G57" s="738"/>
      <c r="H57" s="738"/>
    </row>
    <row r="58" spans="1:8" x14ac:dyDescent="0.2">
      <c r="A58" s="13"/>
      <c r="B58" s="13"/>
      <c r="C58" s="13"/>
      <c r="D58" s="738"/>
      <c r="E58" s="738"/>
      <c r="F58" s="738"/>
      <c r="G58" s="738"/>
      <c r="H58" s="738"/>
    </row>
    <row r="59" spans="1:8" x14ac:dyDescent="0.2">
      <c r="A59" s="13"/>
      <c r="B59" s="13"/>
      <c r="C59" s="13"/>
      <c r="D59" s="738"/>
      <c r="E59" s="738"/>
      <c r="F59" s="738"/>
      <c r="G59" s="738"/>
      <c r="H59" s="738"/>
    </row>
    <row r="60" spans="1:8" x14ac:dyDescent="0.2">
      <c r="A60" s="13"/>
      <c r="B60" s="13"/>
      <c r="C60" s="13"/>
      <c r="D60" s="738"/>
      <c r="E60" s="738"/>
      <c r="F60" s="738"/>
      <c r="G60" s="738"/>
      <c r="H60" s="738"/>
    </row>
    <row r="61" spans="1:8" x14ac:dyDescent="0.2">
      <c r="A61" s="13"/>
      <c r="B61" s="13"/>
      <c r="C61" s="13"/>
      <c r="D61" s="738"/>
      <c r="E61" s="738"/>
      <c r="F61" s="738"/>
      <c r="G61" s="738"/>
      <c r="H61" s="738"/>
    </row>
    <row r="62" spans="1:8" x14ac:dyDescent="0.2">
      <c r="A62" s="13"/>
      <c r="B62" s="13"/>
      <c r="C62" s="13"/>
      <c r="D62" s="738"/>
      <c r="E62" s="738"/>
      <c r="F62" s="738"/>
      <c r="G62" s="738"/>
      <c r="H62" s="738"/>
    </row>
    <row r="63" spans="1:8" x14ac:dyDescent="0.2">
      <c r="A63" s="13"/>
      <c r="B63" s="13"/>
      <c r="C63" s="13"/>
      <c r="D63" s="738"/>
      <c r="E63" s="738"/>
      <c r="F63" s="738"/>
      <c r="G63" s="738"/>
      <c r="H63" s="738"/>
    </row>
    <row r="64" spans="1:8" x14ac:dyDescent="0.2">
      <c r="A64" s="13"/>
      <c r="B64" s="13"/>
      <c r="C64" s="13"/>
      <c r="D64" s="738"/>
      <c r="E64" s="738"/>
      <c r="F64" s="738"/>
      <c r="G64" s="738"/>
      <c r="H64" s="738"/>
    </row>
    <row r="65" spans="1:8" x14ac:dyDescent="0.2">
      <c r="A65" s="13"/>
      <c r="B65" s="13"/>
      <c r="C65" s="13"/>
      <c r="D65" s="738"/>
      <c r="E65" s="738"/>
      <c r="F65" s="738"/>
      <c r="G65" s="738"/>
      <c r="H65" s="738"/>
    </row>
    <row r="66" spans="1:8" x14ac:dyDescent="0.2">
      <c r="A66" s="13"/>
      <c r="B66" s="13"/>
      <c r="C66" s="13"/>
      <c r="D66" s="738"/>
      <c r="E66" s="738"/>
      <c r="F66" s="738"/>
      <c r="G66" s="738"/>
      <c r="H66" s="738"/>
    </row>
    <row r="67" spans="1:8" x14ac:dyDescent="0.2">
      <c r="A67" s="13"/>
      <c r="B67" s="13"/>
      <c r="C67" s="13"/>
      <c r="D67" s="738"/>
      <c r="E67" s="738"/>
      <c r="F67" s="738"/>
      <c r="G67" s="738"/>
      <c r="H67" s="738"/>
    </row>
    <row r="68" spans="1:8" x14ac:dyDescent="0.2">
      <c r="A68" s="13"/>
      <c r="B68" s="13"/>
      <c r="C68" s="13"/>
      <c r="D68" s="738"/>
      <c r="E68" s="738"/>
      <c r="F68" s="738"/>
      <c r="G68" s="738"/>
      <c r="H68" s="738"/>
    </row>
    <row r="69" spans="1:8" x14ac:dyDescent="0.2">
      <c r="A69" s="13"/>
      <c r="B69" s="13"/>
      <c r="C69" s="13"/>
      <c r="D69" s="738"/>
      <c r="E69" s="738"/>
      <c r="F69" s="738"/>
      <c r="G69" s="738"/>
      <c r="H69" s="738"/>
    </row>
    <row r="70" spans="1:8" x14ac:dyDescent="0.2">
      <c r="A70" s="13"/>
      <c r="B70" s="13"/>
      <c r="C70" s="13"/>
      <c r="D70" s="738"/>
      <c r="E70" s="738"/>
      <c r="F70" s="738"/>
      <c r="G70" s="738"/>
      <c r="H70" s="738"/>
    </row>
    <row r="71" spans="1:8" x14ac:dyDescent="0.2">
      <c r="A71" s="13"/>
      <c r="B71" s="13"/>
      <c r="C71" s="13"/>
      <c r="D71" s="738"/>
      <c r="E71" s="738"/>
      <c r="F71" s="738"/>
      <c r="G71" s="738"/>
      <c r="H71" s="738"/>
    </row>
    <row r="72" spans="1:8" x14ac:dyDescent="0.2">
      <c r="A72" s="13"/>
      <c r="B72" s="13"/>
      <c r="C72" s="13"/>
      <c r="D72" s="738"/>
      <c r="E72" s="738"/>
      <c r="F72" s="738"/>
      <c r="G72" s="738"/>
      <c r="H72" s="738"/>
    </row>
    <row r="73" spans="1:8" x14ac:dyDescent="0.2">
      <c r="A73" s="13"/>
      <c r="B73" s="13"/>
      <c r="C73" s="13"/>
      <c r="D73" s="738"/>
      <c r="E73" s="738"/>
      <c r="F73" s="738"/>
      <c r="G73" s="738"/>
      <c r="H73" s="738"/>
    </row>
    <row r="74" spans="1:8" x14ac:dyDescent="0.2">
      <c r="A74" s="13"/>
      <c r="B74" s="13"/>
      <c r="C74" s="13"/>
      <c r="D74" s="738"/>
      <c r="E74" s="738"/>
      <c r="F74" s="738"/>
      <c r="G74" s="738"/>
      <c r="H74" s="738"/>
    </row>
    <row r="75" spans="1:8" x14ac:dyDescent="0.2">
      <c r="A75" s="13"/>
      <c r="B75" s="13"/>
      <c r="C75" s="13"/>
      <c r="D75" s="738"/>
      <c r="E75" s="738"/>
      <c r="F75" s="738"/>
      <c r="G75" s="738"/>
      <c r="H75" s="738"/>
    </row>
    <row r="76" spans="1:8" x14ac:dyDescent="0.2">
      <c r="A76" s="13"/>
      <c r="B76" s="13"/>
      <c r="C76" s="13"/>
      <c r="D76" s="738"/>
      <c r="E76" s="738"/>
      <c r="F76" s="738"/>
      <c r="G76" s="738"/>
      <c r="H76" s="738"/>
    </row>
    <row r="77" spans="1:8" x14ac:dyDescent="0.2">
      <c r="A77" s="13"/>
      <c r="B77" s="13"/>
      <c r="C77" s="13"/>
      <c r="D77" s="738"/>
      <c r="E77" s="738"/>
      <c r="F77" s="738"/>
      <c r="G77" s="738"/>
      <c r="H77" s="738"/>
    </row>
    <row r="78" spans="1:8" x14ac:dyDescent="0.2">
      <c r="A78" s="13"/>
      <c r="B78" s="13"/>
      <c r="C78" s="13"/>
      <c r="D78" s="738"/>
      <c r="E78" s="738"/>
      <c r="F78" s="738"/>
      <c r="G78" s="738"/>
      <c r="H78" s="738"/>
    </row>
    <row r="79" spans="1:8" x14ac:dyDescent="0.2">
      <c r="A79" s="13"/>
      <c r="B79" s="13"/>
      <c r="C79" s="13"/>
      <c r="D79" s="738"/>
      <c r="E79" s="738"/>
      <c r="F79" s="738"/>
      <c r="G79" s="738"/>
      <c r="H79" s="738"/>
    </row>
    <row r="80" spans="1:8" x14ac:dyDescent="0.2">
      <c r="A80" s="13"/>
      <c r="B80" s="13"/>
      <c r="C80" s="13"/>
      <c r="D80" s="738"/>
      <c r="E80" s="738"/>
      <c r="F80" s="738"/>
      <c r="G80" s="738"/>
      <c r="H80" s="738"/>
    </row>
    <row r="81" spans="1:8" x14ac:dyDescent="0.2">
      <c r="A81" s="13"/>
      <c r="B81" s="13"/>
      <c r="C81" s="13"/>
      <c r="D81" s="738"/>
      <c r="E81" s="738"/>
      <c r="F81" s="738"/>
      <c r="G81" s="738"/>
      <c r="H81" s="738"/>
    </row>
    <row r="82" spans="1:8" x14ac:dyDescent="0.2">
      <c r="A82" s="13"/>
      <c r="B82" s="13"/>
      <c r="C82" s="13"/>
      <c r="D82" s="738"/>
      <c r="E82" s="738"/>
      <c r="F82" s="738"/>
      <c r="G82" s="738"/>
      <c r="H82" s="738"/>
    </row>
    <row r="83" spans="1:8" x14ac:dyDescent="0.2">
      <c r="A83" s="13"/>
      <c r="B83" s="13"/>
      <c r="C83" s="13"/>
      <c r="D83" s="738"/>
      <c r="E83" s="738"/>
      <c r="F83" s="738"/>
      <c r="G83" s="738"/>
      <c r="H83" s="738"/>
    </row>
    <row r="84" spans="1:8" x14ac:dyDescent="0.2">
      <c r="A84" s="13"/>
      <c r="B84" s="13"/>
      <c r="C84" s="13"/>
      <c r="D84" s="738"/>
      <c r="E84" s="738"/>
      <c r="F84" s="738"/>
      <c r="G84" s="738"/>
      <c r="H84" s="738"/>
    </row>
    <row r="85" spans="1:8" x14ac:dyDescent="0.2">
      <c r="A85" s="13"/>
      <c r="B85" s="13"/>
      <c r="C85" s="13"/>
      <c r="D85" s="738"/>
      <c r="E85" s="738"/>
      <c r="F85" s="738"/>
      <c r="G85" s="738"/>
      <c r="H85" s="738"/>
    </row>
    <row r="86" spans="1:8" x14ac:dyDescent="0.2">
      <c r="A86" s="13"/>
      <c r="B86" s="13"/>
      <c r="C86" s="13"/>
      <c r="D86" s="738"/>
      <c r="E86" s="738"/>
      <c r="F86" s="738"/>
      <c r="G86" s="738"/>
      <c r="H86" s="738"/>
    </row>
    <row r="87" spans="1:8" x14ac:dyDescent="0.2">
      <c r="A87" s="13"/>
      <c r="B87" s="13"/>
      <c r="C87" s="13"/>
      <c r="D87" s="738"/>
      <c r="E87" s="738"/>
      <c r="F87" s="738"/>
      <c r="G87" s="738"/>
      <c r="H87" s="738"/>
    </row>
    <row r="88" spans="1:8" x14ac:dyDescent="0.2">
      <c r="A88" s="13"/>
      <c r="B88" s="13"/>
      <c r="C88" s="13"/>
      <c r="D88" s="738"/>
      <c r="E88" s="738"/>
      <c r="F88" s="738"/>
      <c r="G88" s="738"/>
      <c r="H88" s="738"/>
    </row>
    <row r="89" spans="1:8" x14ac:dyDescent="0.2">
      <c r="A89" s="13"/>
      <c r="B89" s="13"/>
      <c r="C89" s="13"/>
      <c r="D89" s="738"/>
      <c r="E89" s="738"/>
      <c r="F89" s="738"/>
      <c r="G89" s="738"/>
      <c r="H89" s="738"/>
    </row>
    <row r="90" spans="1:8" x14ac:dyDescent="0.2">
      <c r="A90" s="13"/>
      <c r="B90" s="13"/>
      <c r="C90" s="13"/>
      <c r="D90" s="738"/>
      <c r="E90" s="738"/>
      <c r="F90" s="738"/>
      <c r="G90" s="738"/>
      <c r="H90" s="738"/>
    </row>
    <row r="91" spans="1:8" x14ac:dyDescent="0.2">
      <c r="A91" s="13"/>
      <c r="B91" s="13"/>
      <c r="C91" s="13"/>
      <c r="D91" s="738"/>
      <c r="E91" s="738"/>
      <c r="F91" s="738"/>
      <c r="G91" s="738"/>
      <c r="H91" s="738"/>
    </row>
    <row r="92" spans="1:8" x14ac:dyDescent="0.2">
      <c r="A92" s="13"/>
      <c r="B92" s="13"/>
      <c r="C92" s="13"/>
      <c r="D92" s="738"/>
      <c r="E92" s="738"/>
      <c r="F92" s="738"/>
      <c r="G92" s="738"/>
      <c r="H92" s="738"/>
    </row>
    <row r="93" spans="1:8" x14ac:dyDescent="0.2">
      <c r="A93" s="13"/>
      <c r="B93" s="13"/>
      <c r="C93" s="13"/>
      <c r="D93" s="738"/>
      <c r="E93" s="738"/>
      <c r="F93" s="738"/>
      <c r="G93" s="738"/>
      <c r="H93" s="738"/>
    </row>
    <row r="94" spans="1:8" x14ac:dyDescent="0.2">
      <c r="A94" s="13"/>
      <c r="B94" s="13"/>
      <c r="C94" s="13"/>
      <c r="D94" s="738"/>
      <c r="E94" s="738"/>
      <c r="F94" s="738"/>
      <c r="G94" s="738"/>
      <c r="H94" s="738"/>
    </row>
    <row r="95" spans="1:8" x14ac:dyDescent="0.2">
      <c r="A95" s="13"/>
      <c r="B95" s="13"/>
      <c r="C95" s="13"/>
      <c r="D95" s="738"/>
      <c r="E95" s="738"/>
      <c r="F95" s="738"/>
      <c r="G95" s="738"/>
      <c r="H95" s="738"/>
    </row>
    <row r="96" spans="1:8" x14ac:dyDescent="0.2">
      <c r="A96" s="13"/>
      <c r="B96" s="13"/>
      <c r="C96" s="13"/>
      <c r="D96" s="738"/>
      <c r="E96" s="738"/>
      <c r="F96" s="738"/>
      <c r="G96" s="738"/>
      <c r="H96" s="738"/>
    </row>
    <row r="97" spans="1:8" x14ac:dyDescent="0.2">
      <c r="A97" s="13"/>
      <c r="B97" s="13"/>
      <c r="C97" s="13"/>
      <c r="D97" s="738"/>
      <c r="E97" s="738"/>
      <c r="F97" s="738"/>
      <c r="G97" s="738"/>
      <c r="H97" s="738"/>
    </row>
    <row r="98" spans="1:8" x14ac:dyDescent="0.2">
      <c r="A98" s="13"/>
      <c r="B98" s="13"/>
      <c r="C98" s="13"/>
      <c r="D98" s="738"/>
      <c r="E98" s="738"/>
      <c r="F98" s="738"/>
      <c r="G98" s="738"/>
      <c r="H98" s="738"/>
    </row>
    <row r="99" spans="1:8" x14ac:dyDescent="0.2">
      <c r="A99" s="13"/>
      <c r="B99" s="13"/>
      <c r="C99" s="13"/>
      <c r="D99" s="738"/>
      <c r="E99" s="738"/>
      <c r="F99" s="738"/>
      <c r="G99" s="738"/>
      <c r="H99" s="738"/>
    </row>
    <row r="100" spans="1:8" x14ac:dyDescent="0.2">
      <c r="A100" s="13"/>
      <c r="B100" s="13"/>
      <c r="C100" s="13"/>
      <c r="D100" s="738"/>
      <c r="E100" s="738"/>
      <c r="F100" s="738"/>
      <c r="G100" s="738"/>
      <c r="H100" s="738"/>
    </row>
    <row r="101" spans="1:8" x14ac:dyDescent="0.2">
      <c r="A101" s="13"/>
      <c r="B101" s="13"/>
      <c r="C101" s="13"/>
      <c r="D101" s="738"/>
      <c r="E101" s="738"/>
      <c r="F101" s="738"/>
      <c r="G101" s="738"/>
      <c r="H101" s="738"/>
    </row>
    <row r="102" spans="1:8" x14ac:dyDescent="0.2">
      <c r="A102" s="13"/>
      <c r="B102" s="13"/>
      <c r="C102" s="13"/>
      <c r="D102" s="738"/>
      <c r="E102" s="738"/>
      <c r="F102" s="738"/>
      <c r="G102" s="738"/>
      <c r="H102" s="738"/>
    </row>
    <row r="103" spans="1:8" x14ac:dyDescent="0.2">
      <c r="A103" s="13"/>
      <c r="B103" s="13"/>
      <c r="C103" s="13"/>
      <c r="D103" s="738"/>
      <c r="E103" s="738"/>
      <c r="F103" s="738"/>
      <c r="G103" s="738"/>
      <c r="H103" s="738"/>
    </row>
    <row r="104" spans="1:8" x14ac:dyDescent="0.2">
      <c r="A104" s="13"/>
      <c r="B104" s="13"/>
      <c r="C104" s="13"/>
      <c r="D104" s="738"/>
      <c r="E104" s="738"/>
      <c r="F104" s="738"/>
      <c r="G104" s="738"/>
      <c r="H104" s="738"/>
    </row>
    <row r="105" spans="1:8" x14ac:dyDescent="0.2">
      <c r="A105" s="13"/>
      <c r="B105" s="13"/>
      <c r="C105" s="13"/>
      <c r="D105" s="738"/>
      <c r="E105" s="738"/>
      <c r="F105" s="738"/>
      <c r="G105" s="738"/>
      <c r="H105" s="738"/>
    </row>
    <row r="106" spans="1:8" x14ac:dyDescent="0.2">
      <c r="A106" s="13"/>
      <c r="B106" s="13"/>
      <c r="C106" s="13"/>
      <c r="D106" s="738"/>
      <c r="E106" s="738"/>
      <c r="F106" s="738"/>
      <c r="G106" s="738"/>
      <c r="H106" s="738"/>
    </row>
    <row r="107" spans="1:8" x14ac:dyDescent="0.2">
      <c r="A107" s="13"/>
      <c r="B107" s="13"/>
      <c r="C107" s="13"/>
      <c r="D107" s="738"/>
      <c r="E107" s="738"/>
      <c r="F107" s="738"/>
      <c r="G107" s="738"/>
      <c r="H107" s="738"/>
    </row>
    <row r="108" spans="1:8" x14ac:dyDescent="0.2">
      <c r="A108" s="13"/>
      <c r="B108" s="13"/>
      <c r="C108" s="13"/>
      <c r="D108" s="738"/>
      <c r="E108" s="738"/>
      <c r="F108" s="738"/>
      <c r="G108" s="738"/>
      <c r="H108" s="738"/>
    </row>
    <row r="109" spans="1:8" x14ac:dyDescent="0.2">
      <c r="A109" s="13"/>
      <c r="B109" s="13"/>
      <c r="C109" s="13"/>
      <c r="D109" s="738"/>
      <c r="E109" s="738"/>
      <c r="F109" s="738"/>
      <c r="G109" s="738"/>
      <c r="H109" s="738"/>
    </row>
    <row r="110" spans="1:8" x14ac:dyDescent="0.2">
      <c r="A110" s="13"/>
      <c r="B110" s="13"/>
      <c r="C110" s="13"/>
      <c r="D110" s="738"/>
      <c r="E110" s="738"/>
      <c r="F110" s="738"/>
      <c r="G110" s="738"/>
      <c r="H110" s="738"/>
    </row>
    <row r="111" spans="1:8" x14ac:dyDescent="0.2">
      <c r="A111" s="13"/>
      <c r="B111" s="13"/>
      <c r="C111" s="13"/>
      <c r="D111" s="738"/>
      <c r="E111" s="738"/>
      <c r="F111" s="738"/>
      <c r="G111" s="738"/>
      <c r="H111" s="738"/>
    </row>
    <row r="112" spans="1:8" x14ac:dyDescent="0.2">
      <c r="A112" s="13"/>
      <c r="B112" s="13"/>
      <c r="C112" s="13"/>
      <c r="D112" s="738"/>
      <c r="E112" s="738"/>
      <c r="F112" s="738"/>
      <c r="G112" s="738"/>
      <c r="H112" s="738"/>
    </row>
    <row r="113" spans="1:8" x14ac:dyDescent="0.2">
      <c r="A113" s="13"/>
      <c r="B113" s="13"/>
      <c r="C113" s="13"/>
      <c r="D113" s="738"/>
      <c r="E113" s="738"/>
      <c r="F113" s="738"/>
      <c r="G113" s="738"/>
      <c r="H113" s="738"/>
    </row>
    <row r="114" spans="1:8" x14ac:dyDescent="0.2">
      <c r="A114" s="13"/>
      <c r="B114" s="13"/>
      <c r="C114" s="13"/>
      <c r="D114" s="738"/>
      <c r="E114" s="738"/>
      <c r="F114" s="738"/>
      <c r="G114" s="738"/>
      <c r="H114" s="738"/>
    </row>
    <row r="115" spans="1:8" x14ac:dyDescent="0.2">
      <c r="A115" s="13"/>
      <c r="B115" s="13"/>
      <c r="C115" s="13"/>
      <c r="D115" s="738"/>
      <c r="E115" s="738"/>
      <c r="F115" s="738"/>
      <c r="G115" s="738"/>
      <c r="H115" s="738"/>
    </row>
    <row r="116" spans="1:8" x14ac:dyDescent="0.2">
      <c r="A116" s="13"/>
      <c r="B116" s="13"/>
      <c r="C116" s="13"/>
      <c r="D116" s="738"/>
      <c r="E116" s="738"/>
      <c r="F116" s="738"/>
      <c r="G116" s="738"/>
      <c r="H116" s="738"/>
    </row>
    <row r="117" spans="1:8" x14ac:dyDescent="0.2">
      <c r="A117" s="13"/>
      <c r="B117" s="13"/>
      <c r="C117" s="13"/>
      <c r="D117" s="738"/>
      <c r="E117" s="738"/>
      <c r="F117" s="738"/>
      <c r="G117" s="738"/>
      <c r="H117" s="738"/>
    </row>
    <row r="118" spans="1:8" x14ac:dyDescent="0.2">
      <c r="A118" s="13"/>
      <c r="B118" s="13"/>
      <c r="C118" s="13"/>
      <c r="D118" s="738"/>
      <c r="E118" s="738"/>
      <c r="F118" s="738"/>
      <c r="G118" s="738"/>
      <c r="H118" s="738"/>
    </row>
    <row r="119" spans="1:8" x14ac:dyDescent="0.2">
      <c r="A119" s="13"/>
      <c r="B119" s="13"/>
      <c r="C119" s="13"/>
      <c r="D119" s="738"/>
      <c r="E119" s="738"/>
      <c r="F119" s="738"/>
      <c r="G119" s="738"/>
      <c r="H119" s="738"/>
    </row>
    <row r="120" spans="1:8" x14ac:dyDescent="0.2">
      <c r="A120" s="13"/>
      <c r="B120" s="13"/>
      <c r="C120" s="13"/>
      <c r="D120" s="738"/>
      <c r="E120" s="738"/>
      <c r="F120" s="738"/>
      <c r="G120" s="738"/>
      <c r="H120" s="738"/>
    </row>
    <row r="121" spans="1:8" x14ac:dyDescent="0.2">
      <c r="A121" s="13"/>
      <c r="B121" s="13"/>
      <c r="C121" s="13"/>
      <c r="D121" s="738"/>
      <c r="E121" s="738"/>
      <c r="F121" s="738"/>
      <c r="G121" s="738"/>
      <c r="H121" s="738"/>
    </row>
    <row r="122" spans="1:8" x14ac:dyDescent="0.2">
      <c r="A122" s="13"/>
      <c r="B122" s="13"/>
      <c r="C122" s="13"/>
      <c r="D122" s="738"/>
      <c r="E122" s="738"/>
      <c r="F122" s="738"/>
      <c r="G122" s="738"/>
      <c r="H122" s="738"/>
    </row>
    <row r="123" spans="1:8" x14ac:dyDescent="0.2">
      <c r="A123" s="13"/>
      <c r="B123" s="13"/>
      <c r="C123" s="13"/>
      <c r="D123" s="738"/>
      <c r="E123" s="738"/>
      <c r="F123" s="738"/>
      <c r="G123" s="738"/>
      <c r="H123" s="738"/>
    </row>
    <row r="124" spans="1:8" x14ac:dyDescent="0.2">
      <c r="A124" s="13"/>
      <c r="B124" s="13"/>
      <c r="C124" s="13"/>
      <c r="D124" s="738"/>
      <c r="E124" s="738"/>
      <c r="F124" s="738"/>
      <c r="G124" s="738"/>
      <c r="H124" s="738"/>
    </row>
    <row r="125" spans="1:8" x14ac:dyDescent="0.2">
      <c r="A125" s="13"/>
      <c r="B125" s="13"/>
      <c r="C125" s="13"/>
      <c r="D125" s="738"/>
      <c r="E125" s="738"/>
      <c r="F125" s="738"/>
      <c r="G125" s="738"/>
      <c r="H125" s="738"/>
    </row>
    <row r="126" spans="1:8" x14ac:dyDescent="0.2">
      <c r="A126" s="13"/>
      <c r="B126" s="13"/>
      <c r="C126" s="13"/>
      <c r="D126" s="738"/>
      <c r="E126" s="738"/>
      <c r="F126" s="738"/>
      <c r="G126" s="738"/>
      <c r="H126" s="738"/>
    </row>
    <row r="127" spans="1:8" x14ac:dyDescent="0.2">
      <c r="A127" s="13"/>
      <c r="B127" s="13"/>
      <c r="C127" s="13"/>
      <c r="D127" s="738"/>
      <c r="E127" s="738"/>
      <c r="F127" s="738"/>
      <c r="G127" s="738"/>
      <c r="H127" s="738"/>
    </row>
    <row r="128" spans="1:8" x14ac:dyDescent="0.2">
      <c r="A128" s="13"/>
      <c r="B128" s="13"/>
      <c r="C128" s="13"/>
      <c r="D128" s="738"/>
      <c r="E128" s="738"/>
      <c r="F128" s="738"/>
      <c r="G128" s="738"/>
      <c r="H128" s="738"/>
    </row>
    <row r="129" spans="1:8" x14ac:dyDescent="0.2">
      <c r="A129" s="13"/>
      <c r="B129" s="13"/>
      <c r="C129" s="13"/>
      <c r="D129" s="738"/>
      <c r="E129" s="738"/>
      <c r="F129" s="738"/>
      <c r="G129" s="738"/>
      <c r="H129" s="738"/>
    </row>
    <row r="130" spans="1:8" x14ac:dyDescent="0.2">
      <c r="A130" s="13"/>
      <c r="B130" s="13"/>
      <c r="C130" s="13"/>
      <c r="D130" s="738"/>
      <c r="E130" s="738"/>
      <c r="F130" s="738"/>
      <c r="G130" s="738"/>
      <c r="H130" s="738"/>
    </row>
    <row r="131" spans="1:8" x14ac:dyDescent="0.2">
      <c r="A131" s="13"/>
      <c r="B131" s="13"/>
      <c r="C131" s="13"/>
      <c r="D131" s="738"/>
      <c r="E131" s="738"/>
      <c r="F131" s="738"/>
      <c r="G131" s="738"/>
      <c r="H131" s="738"/>
    </row>
    <row r="132" spans="1:8" x14ac:dyDescent="0.2">
      <c r="A132" s="13"/>
      <c r="B132" s="13"/>
      <c r="C132" s="13"/>
      <c r="D132" s="738"/>
      <c r="E132" s="738"/>
      <c r="F132" s="738"/>
      <c r="G132" s="738"/>
      <c r="H132" s="738"/>
    </row>
    <row r="133" spans="1:8" x14ac:dyDescent="0.2">
      <c r="A133" s="13"/>
      <c r="B133" s="13"/>
      <c r="C133" s="13"/>
      <c r="D133" s="738"/>
      <c r="E133" s="738"/>
      <c r="F133" s="738"/>
      <c r="G133" s="738"/>
      <c r="H133" s="738"/>
    </row>
    <row r="134" spans="1:8" x14ac:dyDescent="0.2">
      <c r="A134" s="13"/>
      <c r="B134" s="13"/>
      <c r="C134" s="13"/>
      <c r="D134" s="738"/>
      <c r="E134" s="738"/>
      <c r="F134" s="738"/>
      <c r="G134" s="738"/>
      <c r="H134" s="738"/>
    </row>
    <row r="135" spans="1:8" x14ac:dyDescent="0.2">
      <c r="A135" s="13"/>
      <c r="B135" s="13"/>
      <c r="C135" s="13"/>
      <c r="D135" s="738"/>
      <c r="E135" s="738"/>
      <c r="F135" s="738"/>
      <c r="G135" s="738"/>
      <c r="H135" s="738"/>
    </row>
    <row r="136" spans="1:8" x14ac:dyDescent="0.2">
      <c r="A136" s="13"/>
      <c r="B136" s="13"/>
      <c r="C136" s="13"/>
      <c r="D136" s="738"/>
      <c r="E136" s="738"/>
      <c r="F136" s="738"/>
      <c r="G136" s="738"/>
      <c r="H136" s="738"/>
    </row>
    <row r="137" spans="1:8" x14ac:dyDescent="0.2">
      <c r="A137" s="13"/>
      <c r="B137" s="13"/>
      <c r="C137" s="13"/>
      <c r="D137" s="738"/>
      <c r="E137" s="738"/>
      <c r="F137" s="738"/>
      <c r="G137" s="738"/>
      <c r="H137" s="738"/>
    </row>
    <row r="138" spans="1:8" x14ac:dyDescent="0.2">
      <c r="A138" s="13"/>
      <c r="B138" s="13"/>
      <c r="C138" s="13"/>
      <c r="D138" s="738"/>
      <c r="E138" s="738"/>
      <c r="F138" s="738"/>
      <c r="G138" s="738"/>
      <c r="H138" s="738"/>
    </row>
    <row r="139" spans="1:8" x14ac:dyDescent="0.2">
      <c r="A139" s="13"/>
      <c r="B139" s="13"/>
      <c r="C139" s="13"/>
      <c r="D139" s="738"/>
      <c r="E139" s="738"/>
      <c r="F139" s="738"/>
      <c r="G139" s="738"/>
      <c r="H139" s="738"/>
    </row>
    <row r="140" spans="1:8" x14ac:dyDescent="0.2">
      <c r="A140" s="13"/>
      <c r="B140" s="13"/>
      <c r="C140" s="13"/>
      <c r="D140" s="738"/>
      <c r="E140" s="738"/>
      <c r="F140" s="738"/>
      <c r="G140" s="738"/>
      <c r="H140" s="738"/>
    </row>
    <row r="141" spans="1:8" x14ac:dyDescent="0.2">
      <c r="A141" s="13"/>
      <c r="B141" s="13"/>
      <c r="C141" s="13"/>
      <c r="D141" s="738"/>
      <c r="E141" s="738"/>
      <c r="F141" s="738"/>
      <c r="G141" s="738"/>
      <c r="H141" s="738"/>
    </row>
    <row r="142" spans="1:8" x14ac:dyDescent="0.2">
      <c r="A142" s="13"/>
      <c r="B142" s="13"/>
      <c r="C142" s="13"/>
      <c r="D142" s="738"/>
      <c r="E142" s="738"/>
      <c r="F142" s="738"/>
      <c r="G142" s="738"/>
      <c r="H142" s="738"/>
    </row>
    <row r="143" spans="1:8" x14ac:dyDescent="0.2">
      <c r="A143" s="13"/>
      <c r="B143" s="13"/>
      <c r="C143" s="13"/>
      <c r="D143" s="738"/>
      <c r="E143" s="738"/>
      <c r="F143" s="738"/>
      <c r="G143" s="738"/>
      <c r="H143" s="738"/>
    </row>
    <row r="144" spans="1:8" x14ac:dyDescent="0.2">
      <c r="A144" s="13"/>
      <c r="B144" s="13"/>
      <c r="C144" s="13"/>
      <c r="D144" s="738"/>
      <c r="E144" s="738"/>
      <c r="F144" s="738"/>
      <c r="G144" s="738"/>
      <c r="H144" s="738"/>
    </row>
    <row r="145" spans="1:8" x14ac:dyDescent="0.2">
      <c r="A145" s="13"/>
      <c r="B145" s="13"/>
      <c r="C145" s="13"/>
      <c r="D145" s="738"/>
      <c r="E145" s="738"/>
      <c r="F145" s="738"/>
      <c r="G145" s="738"/>
      <c r="H145" s="738"/>
    </row>
    <row r="146" spans="1:8" x14ac:dyDescent="0.2">
      <c r="A146" s="13"/>
      <c r="B146" s="13"/>
      <c r="C146" s="13"/>
      <c r="D146" s="738"/>
      <c r="E146" s="738"/>
      <c r="F146" s="738"/>
      <c r="G146" s="738"/>
      <c r="H146" s="738"/>
    </row>
    <row r="147" spans="1:8" x14ac:dyDescent="0.2">
      <c r="A147" s="13"/>
      <c r="B147" s="13"/>
      <c r="C147" s="13"/>
      <c r="D147" s="738"/>
      <c r="E147" s="738"/>
      <c r="F147" s="738"/>
      <c r="G147" s="738"/>
      <c r="H147" s="738"/>
    </row>
    <row r="148" spans="1:8" x14ac:dyDescent="0.2">
      <c r="A148" s="13"/>
      <c r="B148" s="13"/>
      <c r="C148" s="13"/>
      <c r="D148" s="738"/>
      <c r="E148" s="738"/>
      <c r="F148" s="738"/>
      <c r="G148" s="738"/>
      <c r="H148" s="738"/>
    </row>
  </sheetData>
  <mergeCells count="5">
    <mergeCell ref="A6:H6"/>
    <mergeCell ref="A1:H1"/>
    <mergeCell ref="A2:H2"/>
    <mergeCell ref="A3:H3"/>
    <mergeCell ref="A4:H4"/>
  </mergeCells>
  <phoneticPr fontId="10" type="noConversion"/>
  <printOptions horizontalCentered="1"/>
  <pageMargins left="0.5" right="0.5" top="0.75" bottom="0.45" header="0.5" footer="0.45"/>
  <pageSetup scale="77" orientation="portrait" horizontalDpi="300" r:id="rId1"/>
  <headerFooter alignWithMargins="0">
    <oddFooter>&amp;C&amp;1#&amp;"Calibri"&amp;12&amp;K008000Internal Use</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tabColor indexed="44"/>
  </sheetPr>
  <dimension ref="A1:F43"/>
  <sheetViews>
    <sheetView zoomScaleNormal="100" workbookViewId="0">
      <selection activeCell="H15" sqref="H15"/>
    </sheetView>
  </sheetViews>
  <sheetFormatPr defaultRowHeight="12.75" x14ac:dyDescent="0.2"/>
  <cols>
    <col min="1" max="1" width="22.7109375" customWidth="1"/>
    <col min="2" max="2" width="14.85546875" customWidth="1"/>
    <col min="3" max="3" width="11.7109375" bestFit="1"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720</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TRANSPOSE('SCG Table C 2022'!C51:J51)</f>
        <v>1477663</v>
      </c>
      <c r="C34" s="2749">
        <f ca="1">SUM(B34/B$43)</f>
        <v>0.1213095616076332</v>
      </c>
    </row>
    <row r="35" spans="1:3" x14ac:dyDescent="0.2">
      <c r="A35" s="2747" t="s">
        <v>13</v>
      </c>
      <c r="B35" s="2748">
        <v>5792.0745638642738</v>
      </c>
      <c r="C35" s="2749">
        <f t="shared" ref="C35:C41" ca="1" si="0">SUM(B35/B$43)</f>
        <v>4.7550356619953155E-4</v>
      </c>
    </row>
    <row r="36" spans="1:3" x14ac:dyDescent="0.2">
      <c r="A36" s="2747" t="s">
        <v>4</v>
      </c>
      <c r="B36" s="2748">
        <v>1854124.2119819759</v>
      </c>
      <c r="C36" s="2749">
        <f t="shared" ca="1" si="0"/>
        <v>0.15221535310935708</v>
      </c>
    </row>
    <row r="37" spans="1:3" x14ac:dyDescent="0.2">
      <c r="A37" s="2747" t="s">
        <v>721</v>
      </c>
      <c r="B37" s="2748">
        <v>74000</v>
      </c>
      <c r="C37" s="2749">
        <f t="shared" ca="1" si="0"/>
        <v>6.0750709457872715E-3</v>
      </c>
    </row>
    <row r="38" spans="1:3" x14ac:dyDescent="0.2">
      <c r="A38" s="2747" t="s">
        <v>2</v>
      </c>
      <c r="B38" s="2748">
        <v>7712986.8090203367</v>
      </c>
      <c r="C38" s="2749">
        <f t="shared" ca="1" si="0"/>
        <v>0.63320191984756657</v>
      </c>
    </row>
    <row r="39" spans="1:3" x14ac:dyDescent="0.2">
      <c r="A39" s="2747" t="s">
        <v>14</v>
      </c>
      <c r="B39" s="2748">
        <v>274553.84315802896</v>
      </c>
      <c r="C39" s="2749">
        <f t="shared" ca="1" si="0"/>
        <v>2.2539649670588881E-2</v>
      </c>
    </row>
    <row r="40" spans="1:3" x14ac:dyDescent="0.2">
      <c r="A40" s="2747" t="s">
        <v>684</v>
      </c>
      <c r="B40" s="2748">
        <f ca="1"/>
        <v>755639.10959751613</v>
      </c>
      <c r="C40" s="2749">
        <f t="shared" ca="1" si="0"/>
        <v>6.2034610813735597E-2</v>
      </c>
    </row>
    <row r="41" spans="1:3" x14ac:dyDescent="0.2">
      <c r="A41" s="2747" t="s">
        <v>15</v>
      </c>
      <c r="B41" s="2750">
        <v>26168.65776785856</v>
      </c>
      <c r="C41" s="2751">
        <f t="shared" ca="1" si="0"/>
        <v>2.1483304391319994E-3</v>
      </c>
    </row>
    <row r="42" spans="1:3" x14ac:dyDescent="0.2">
      <c r="A42" s="2954"/>
      <c r="B42" s="2955"/>
      <c r="C42" s="2956"/>
    </row>
    <row r="43" spans="1:3" x14ac:dyDescent="0.2">
      <c r="A43" s="2747" t="s">
        <v>0</v>
      </c>
      <c r="B43" s="2748">
        <f ca="1">SUM(B34:B41)</f>
        <v>12180927.706089579</v>
      </c>
      <c r="C43" s="2749">
        <f ca="1">SUM(C34:C41)</f>
        <v>1.0000000000000002</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4">
    <tabColor rgb="FF66FF66"/>
    <pageSetUpPr fitToPage="1"/>
  </sheetPr>
  <dimension ref="A1:H102"/>
  <sheetViews>
    <sheetView topLeftCell="A31" zoomScaleNormal="100" workbookViewId="0">
      <selection activeCell="D39" sqref="D39"/>
    </sheetView>
  </sheetViews>
  <sheetFormatPr defaultRowHeight="12.75" x14ac:dyDescent="0.2"/>
  <cols>
    <col min="1" max="1" width="29.85546875" style="1039" customWidth="1"/>
    <col min="2" max="2" width="17.85546875" style="1039" customWidth="1"/>
    <col min="3" max="3" width="51.7109375" style="1039" customWidth="1"/>
    <col min="4" max="4" width="21.7109375"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419</v>
      </c>
      <c r="B1" s="1096"/>
    </row>
    <row r="2" spans="1:8" ht="18.75" x14ac:dyDescent="0.3">
      <c r="A2" s="1096" t="s">
        <v>381</v>
      </c>
      <c r="B2" s="1096"/>
    </row>
    <row r="3" spans="1:8" ht="12.75" customHeight="1" x14ac:dyDescent="0.2">
      <c r="A3" s="1095"/>
      <c r="B3" s="1095"/>
    </row>
    <row r="4" spans="1:8" ht="12.75" customHeight="1" x14ac:dyDescent="0.2">
      <c r="A4" s="1095"/>
      <c r="B4" s="1095"/>
    </row>
    <row r="5" spans="1:8" s="1089" customFormat="1" ht="12.75" customHeight="1" x14ac:dyDescent="0.25">
      <c r="A5" s="1093" t="s">
        <v>380</v>
      </c>
      <c r="B5" s="1093"/>
      <c r="C5" s="1093"/>
      <c r="D5" s="1093"/>
      <c r="E5" s="1093"/>
      <c r="F5" s="1093"/>
      <c r="G5" s="1093"/>
      <c r="H5" s="1093"/>
    </row>
    <row r="6" spans="1:8" s="1089" customFormat="1" ht="12.75" customHeight="1" x14ac:dyDescent="0.25">
      <c r="A6" s="1093" t="s">
        <v>379</v>
      </c>
      <c r="B6" s="1094">
        <f>C16</f>
        <v>599325</v>
      </c>
      <c r="C6" s="1093"/>
      <c r="D6" s="1093"/>
      <c r="E6" s="1093"/>
      <c r="F6" s="1093"/>
      <c r="H6" s="1093"/>
    </row>
    <row r="7" spans="1:8" s="1089" customFormat="1" ht="12.75" customHeight="1" x14ac:dyDescent="0.25">
      <c r="A7" s="1093" t="s">
        <v>420</v>
      </c>
      <c r="B7" s="1093"/>
      <c r="C7" s="1093"/>
      <c r="D7" s="1093"/>
      <c r="E7" s="1093"/>
      <c r="F7" s="1093"/>
      <c r="G7" s="1092"/>
      <c r="H7" s="1092"/>
    </row>
    <row r="8" spans="1:8" s="1089" customFormat="1" ht="12.75" customHeight="1" x14ac:dyDescent="0.25">
      <c r="A8" s="1093" t="s">
        <v>421</v>
      </c>
      <c r="B8" s="1093"/>
      <c r="C8" s="1093"/>
      <c r="D8" s="1093"/>
      <c r="E8" s="1093"/>
      <c r="F8" s="1093"/>
      <c r="G8" s="1092"/>
      <c r="H8" s="1092"/>
    </row>
    <row r="9" spans="1:8" s="1089" customFormat="1" ht="12.75" customHeight="1" x14ac:dyDescent="0.25">
      <c r="A9" s="1093" t="s">
        <v>422</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70</v>
      </c>
      <c r="B13" s="1083">
        <v>0.02</v>
      </c>
      <c r="C13" s="1085">
        <f t="shared" ref="C13:C19" si="0">$B$21*B13</f>
        <v>239730</v>
      </c>
      <c r="D13" s="1077"/>
    </row>
    <row r="14" spans="1:8" ht="15.75" x14ac:dyDescent="0.25">
      <c r="A14" s="1084">
        <v>80</v>
      </c>
      <c r="B14" s="1083">
        <v>0.03</v>
      </c>
      <c r="C14" s="1085">
        <f t="shared" si="0"/>
        <v>359595</v>
      </c>
      <c r="D14" s="1077"/>
    </row>
    <row r="15" spans="1:8" ht="15.75" x14ac:dyDescent="0.25">
      <c r="A15" s="1084">
        <v>90</v>
      </c>
      <c r="B15" s="1083">
        <v>0.04</v>
      </c>
      <c r="C15" s="1085">
        <f t="shared" si="0"/>
        <v>479460</v>
      </c>
      <c r="D15" s="1077"/>
    </row>
    <row r="16" spans="1:8" ht="15.75" x14ac:dyDescent="0.25">
      <c r="A16" s="1084">
        <v>100</v>
      </c>
      <c r="B16" s="1083">
        <v>0.05</v>
      </c>
      <c r="C16" s="1085">
        <f t="shared" si="0"/>
        <v>599325</v>
      </c>
      <c r="D16" s="1077"/>
    </row>
    <row r="17" spans="1:8" ht="15.75" x14ac:dyDescent="0.25">
      <c r="A17" s="1084">
        <v>110</v>
      </c>
      <c r="B17" s="1083">
        <v>0.06</v>
      </c>
      <c r="C17" s="1085">
        <f t="shared" si="0"/>
        <v>719190</v>
      </c>
      <c r="D17" s="1077"/>
    </row>
    <row r="18" spans="1:8" ht="15.75" x14ac:dyDescent="0.25">
      <c r="A18" s="1084">
        <v>120</v>
      </c>
      <c r="B18" s="1083">
        <v>7.0000000000000007E-2</v>
      </c>
      <c r="C18" s="1085">
        <f t="shared" si="0"/>
        <v>839055.00000000012</v>
      </c>
      <c r="D18" s="1077"/>
    </row>
    <row r="19" spans="1:8" ht="15.75" customHeight="1" x14ac:dyDescent="0.25">
      <c r="A19" s="1084">
        <v>130</v>
      </c>
      <c r="B19" s="1083">
        <v>0.08</v>
      </c>
      <c r="C19" s="1085">
        <f t="shared" si="0"/>
        <v>958920</v>
      </c>
      <c r="D19" s="1077"/>
    </row>
    <row r="20" spans="1:8" ht="19.5" customHeight="1" x14ac:dyDescent="0.2">
      <c r="A20" s="1084"/>
      <c r="B20" s="1083"/>
      <c r="C20" s="1080"/>
      <c r="D20" s="1077"/>
    </row>
    <row r="21" spans="1:8" ht="19.5" customHeight="1" x14ac:dyDescent="0.25">
      <c r="A21" s="1082" t="s">
        <v>372</v>
      </c>
      <c r="B21" s="1081">
        <f>'YGS Table A '!C57-'YGS Table A '!C50-'YGS Table A '!C51</f>
        <v>11986500</v>
      </c>
      <c r="C21" s="1080"/>
      <c r="D21" s="1077"/>
    </row>
    <row r="22" spans="1:8" ht="19.5" customHeight="1" x14ac:dyDescent="0.25">
      <c r="A22" s="1082"/>
      <c r="B22" s="1081"/>
      <c r="C22" s="1080"/>
      <c r="D22" s="1077"/>
    </row>
    <row r="23" spans="1:8" ht="19.5" customHeight="1" thickBot="1" x14ac:dyDescent="0.25">
      <c r="A23" s="1079" t="s">
        <v>423</v>
      </c>
      <c r="C23" s="1078"/>
      <c r="D23" s="1077"/>
    </row>
    <row r="24" spans="1:8" ht="19.5" customHeight="1" thickBot="1" x14ac:dyDescent="0.25">
      <c r="A24" s="1179"/>
      <c r="B24" s="1179"/>
      <c r="C24" s="1180" t="s">
        <v>370</v>
      </c>
      <c r="D24" s="1181"/>
      <c r="E24" s="1184" t="s">
        <v>369</v>
      </c>
      <c r="F24" s="1184"/>
      <c r="G24" s="1184"/>
      <c r="H24" s="1185"/>
    </row>
    <row r="25" spans="1:8" ht="31.5" customHeight="1" thickBot="1" x14ac:dyDescent="0.25">
      <c r="A25" s="1179"/>
      <c r="B25" s="1179"/>
      <c r="C25" s="1182"/>
      <c r="D25" s="1183"/>
      <c r="E25" s="1076" t="s">
        <v>368</v>
      </c>
      <c r="F25" s="1076" t="s">
        <v>367</v>
      </c>
      <c r="G25" s="1076" t="s">
        <v>366</v>
      </c>
      <c r="H25" s="1076" t="s">
        <v>365</v>
      </c>
    </row>
    <row r="26" spans="1:8" ht="30" customHeight="1" thickBot="1" x14ac:dyDescent="0.25">
      <c r="A26" s="1050" t="s">
        <v>364</v>
      </c>
      <c r="B26" s="1075">
        <f>'YGS Table A '!C16+'YGS Table A '!C27</f>
        <v>10675000</v>
      </c>
      <c r="C26" s="1098" t="s">
        <v>383</v>
      </c>
      <c r="D26" s="1066"/>
      <c r="E26" s="1068" t="s">
        <v>363</v>
      </c>
      <c r="F26" s="1068" t="s">
        <v>362</v>
      </c>
      <c r="G26" s="1067">
        <v>0.5</v>
      </c>
      <c r="H26" s="1057">
        <f>+$C$16*G26</f>
        <v>299662.5</v>
      </c>
    </row>
    <row r="27" spans="1:8" ht="29.25" customHeight="1" x14ac:dyDescent="0.2">
      <c r="A27" s="1058"/>
      <c r="B27" s="1072"/>
      <c r="C27" s="1099" t="s">
        <v>283</v>
      </c>
      <c r="D27" s="1066">
        <f>'2013 Summary Table B '!N6</f>
        <v>4414099.6755117718</v>
      </c>
      <c r="E27" s="1068"/>
      <c r="F27" s="1074" t="s">
        <v>361</v>
      </c>
      <c r="G27" s="1067"/>
      <c r="H27" s="1057"/>
    </row>
    <row r="28" spans="1:8" ht="30" customHeight="1" x14ac:dyDescent="0.2">
      <c r="A28" s="1058"/>
      <c r="B28" s="1059"/>
      <c r="C28" s="1099" t="s">
        <v>160</v>
      </c>
      <c r="D28" s="1066">
        <f>'2013 Summary Table B '!N10</f>
        <v>6291880.4614982344</v>
      </c>
      <c r="E28" s="1068"/>
      <c r="F28" s="1072">
        <f>D39</f>
        <v>10353380.518748123</v>
      </c>
      <c r="G28" s="1067"/>
      <c r="H28" s="1057"/>
    </row>
    <row r="29" spans="1:8" ht="30" customHeight="1" x14ac:dyDescent="0.2">
      <c r="A29" s="1058"/>
      <c r="B29" s="1059"/>
      <c r="C29" s="1099" t="s">
        <v>384</v>
      </c>
      <c r="D29" s="1066">
        <f>'2013 Summary Table B '!N14</f>
        <v>1290431.7165584415</v>
      </c>
      <c r="E29" s="1068"/>
      <c r="F29" s="1059"/>
      <c r="G29" s="1067"/>
      <c r="H29" s="1057"/>
    </row>
    <row r="30" spans="1:8" ht="30" customHeight="1" x14ac:dyDescent="0.2">
      <c r="A30" s="1058"/>
      <c r="B30" s="1059"/>
      <c r="C30" s="1099" t="s">
        <v>198</v>
      </c>
      <c r="D30" s="1066">
        <f>'2013 Summary Table B '!N18</f>
        <v>177362.47227906965</v>
      </c>
      <c r="E30" s="1068"/>
      <c r="F30" s="1059"/>
      <c r="G30" s="1067"/>
      <c r="H30" s="1057"/>
    </row>
    <row r="31" spans="1:8" ht="30" customHeight="1" x14ac:dyDescent="0.2">
      <c r="A31" s="1058"/>
      <c r="B31" s="1059"/>
      <c r="C31" s="1099" t="s">
        <v>199</v>
      </c>
      <c r="D31" s="1066">
        <f>'2013 Summary Table B '!N25</f>
        <v>3641926.8190821717</v>
      </c>
      <c r="E31" s="1068"/>
      <c r="F31" s="1070"/>
      <c r="G31" s="1067"/>
      <c r="H31" s="1057"/>
    </row>
    <row r="32" spans="1:8" ht="30" customHeight="1" x14ac:dyDescent="0.2">
      <c r="A32" s="1058"/>
      <c r="B32" s="1059"/>
      <c r="C32" s="1099" t="s">
        <v>200</v>
      </c>
      <c r="D32" s="1066">
        <f>'2013 Summary Table B '!N30</f>
        <v>3400929.7190521373</v>
      </c>
      <c r="E32" s="1068"/>
      <c r="F32" s="1070"/>
      <c r="G32" s="1067"/>
      <c r="H32" s="1057"/>
    </row>
    <row r="33" spans="1:8" ht="30" customHeight="1" x14ac:dyDescent="0.2">
      <c r="A33" s="1058"/>
      <c r="B33" s="1059"/>
      <c r="C33" s="1099" t="s">
        <v>385</v>
      </c>
      <c r="D33" s="1066">
        <f>'2013 Summary Table B '!N34</f>
        <v>274694.4980919502</v>
      </c>
      <c r="E33" s="1068"/>
      <c r="F33" s="1070"/>
      <c r="G33" s="1067"/>
      <c r="H33" s="1057"/>
    </row>
    <row r="34" spans="1:8" ht="30" customHeight="1" x14ac:dyDescent="0.2">
      <c r="A34" s="1058"/>
      <c r="B34" s="1059"/>
      <c r="C34" s="1099" t="s">
        <v>245</v>
      </c>
      <c r="D34" s="1066">
        <f>'2013 Summary Table B '!N38</f>
        <v>294277.46180369542</v>
      </c>
      <c r="E34" s="1068"/>
      <c r="F34" s="1070"/>
      <c r="G34" s="1067"/>
      <c r="H34" s="1057"/>
    </row>
    <row r="35" spans="1:8" ht="30" customHeight="1" x14ac:dyDescent="0.25">
      <c r="A35" s="1058"/>
      <c r="B35" s="1069"/>
      <c r="C35" s="1098" t="s">
        <v>386</v>
      </c>
      <c r="D35" s="1066">
        <f>SUM(D27:D34)</f>
        <v>19785602.823877472</v>
      </c>
      <c r="E35" s="1068"/>
      <c r="F35" s="1044"/>
      <c r="G35" s="1067"/>
      <c r="H35" s="1057"/>
    </row>
    <row r="36" spans="1:8" ht="11.25" customHeight="1" x14ac:dyDescent="0.25">
      <c r="A36" s="1058"/>
      <c r="B36" s="1069"/>
      <c r="C36" s="1097"/>
      <c r="D36" s="1066"/>
      <c r="E36" s="1068"/>
      <c r="F36" s="1044"/>
      <c r="G36" s="1067"/>
      <c r="H36" s="1057"/>
    </row>
    <row r="37" spans="1:8" ht="30" customHeight="1" x14ac:dyDescent="0.25">
      <c r="A37" s="1062"/>
      <c r="B37" s="1059"/>
      <c r="C37" s="1098" t="s">
        <v>387</v>
      </c>
      <c r="D37" s="1065">
        <f>D39/D35</f>
        <v>0.52327849754739619</v>
      </c>
      <c r="E37" s="1059"/>
      <c r="F37" s="1044"/>
      <c r="G37" s="1058"/>
      <c r="H37" s="1057"/>
    </row>
    <row r="38" spans="1:8" ht="12" customHeight="1" x14ac:dyDescent="0.25">
      <c r="A38" s="1062"/>
      <c r="B38" s="1059"/>
      <c r="C38" s="1061"/>
      <c r="D38" s="1064"/>
      <c r="E38" s="1063"/>
      <c r="F38" s="1044"/>
      <c r="G38" s="1058"/>
      <c r="H38" s="1057"/>
    </row>
    <row r="39" spans="1:8" ht="30" customHeight="1" thickBot="1" x14ac:dyDescent="0.3">
      <c r="A39" s="1062"/>
      <c r="B39" s="1059"/>
      <c r="C39" s="1061" t="s">
        <v>361</v>
      </c>
      <c r="D39" s="1890">
        <f>'2013 Summary Table B '!F69</f>
        <v>10353380.518748123</v>
      </c>
      <c r="E39" s="1059"/>
      <c r="F39" s="1044"/>
      <c r="G39" s="1058"/>
      <c r="H39" s="1057"/>
    </row>
    <row r="40" spans="1:8" ht="31.5" customHeight="1" thickBot="1" x14ac:dyDescent="0.3">
      <c r="A40" s="1051"/>
      <c r="B40" s="1056"/>
      <c r="C40" s="1101" t="s">
        <v>360</v>
      </c>
      <c r="D40" s="1406">
        <f>D39-B26</f>
        <v>-321619.4812518768</v>
      </c>
      <c r="E40" s="1055"/>
      <c r="F40" s="1054">
        <f>D40</f>
        <v>-321619.4812518768</v>
      </c>
      <c r="G40" s="1053">
        <v>0.5</v>
      </c>
      <c r="H40" s="1052">
        <f>+$C$16*G40</f>
        <v>299662.5</v>
      </c>
    </row>
    <row r="41" spans="1:8" ht="15.75" thickBot="1" x14ac:dyDescent="0.3">
      <c r="A41" s="1050" t="s">
        <v>359</v>
      </c>
      <c r="B41" s="1056"/>
      <c r="C41" s="1103"/>
      <c r="D41" s="1104"/>
      <c r="E41" s="1100"/>
      <c r="F41" s="1049"/>
      <c r="G41" s="1048">
        <f>SUM(G26:G40)</f>
        <v>1</v>
      </c>
      <c r="H41" s="1047">
        <f>SUM(H26:H40)</f>
        <v>599325</v>
      </c>
    </row>
    <row r="42" spans="1:8" ht="12.75" customHeight="1" x14ac:dyDescent="0.25">
      <c r="A42" s="1044"/>
      <c r="B42" s="1044"/>
      <c r="C42" s="1044"/>
      <c r="D42" s="1044"/>
      <c r="E42" s="1044"/>
      <c r="F42" s="1044"/>
      <c r="G42" s="1046" t="s">
        <v>3</v>
      </c>
      <c r="H42" s="1043"/>
    </row>
    <row r="43" spans="1:8" ht="15" x14ac:dyDescent="0.25">
      <c r="A43" s="1044"/>
      <c r="B43" s="1044"/>
      <c r="C43" s="1044"/>
      <c r="D43" s="1044"/>
      <c r="E43" s="1044"/>
      <c r="F43" s="1044"/>
      <c r="G43" s="1043"/>
      <c r="H43" s="1043"/>
    </row>
    <row r="44" spans="1:8" ht="84" customHeight="1" x14ac:dyDescent="0.25">
      <c r="A44" s="1044"/>
      <c r="B44" s="1044"/>
      <c r="C44" s="1044"/>
      <c r="D44" s="1044"/>
      <c r="E44" s="1044"/>
      <c r="F44" s="1044"/>
      <c r="G44" s="1045"/>
      <c r="H44" s="1043"/>
    </row>
    <row r="45" spans="1:8" ht="34.5" customHeight="1" x14ac:dyDescent="0.25">
      <c r="A45" s="1044"/>
      <c r="B45" s="1044"/>
      <c r="C45" s="1044"/>
      <c r="D45" s="1044"/>
      <c r="E45" s="1044"/>
      <c r="F45" s="1044"/>
      <c r="G45" s="1043"/>
      <c r="H45" s="1043"/>
    </row>
    <row r="46" spans="1:8" ht="15" x14ac:dyDescent="0.25">
      <c r="A46" s="1044"/>
      <c r="B46" s="1044"/>
      <c r="C46" s="1044"/>
      <c r="D46" s="1044"/>
      <c r="E46" s="1044"/>
      <c r="F46" s="1044"/>
      <c r="G46" s="1043"/>
      <c r="H46" s="1043"/>
    </row>
    <row r="47" spans="1:8" ht="15" x14ac:dyDescent="0.25">
      <c r="A47" s="1044"/>
      <c r="B47" s="1044"/>
      <c r="C47" s="1044"/>
      <c r="D47" s="1044"/>
      <c r="E47" s="1044"/>
      <c r="F47" s="1044"/>
      <c r="G47" s="1043"/>
      <c r="H47" s="1043"/>
    </row>
    <row r="48" spans="1:8" ht="15" x14ac:dyDescent="0.25">
      <c r="A48" s="1044"/>
      <c r="B48" s="1044"/>
      <c r="C48" s="1044"/>
      <c r="D48" s="1044"/>
      <c r="E48" s="1044"/>
      <c r="F48" s="1044"/>
      <c r="G48" s="1043"/>
      <c r="H48" s="1043"/>
    </row>
    <row r="49" spans="1:8" ht="15" x14ac:dyDescent="0.25">
      <c r="A49" s="1044"/>
      <c r="B49" s="1044"/>
      <c r="C49" s="1044"/>
      <c r="D49" s="1044"/>
      <c r="E49" s="1044"/>
      <c r="F49" s="1044"/>
      <c r="G49" s="1043"/>
      <c r="H49" s="1043"/>
    </row>
    <row r="50" spans="1:8" ht="15" x14ac:dyDescent="0.25">
      <c r="A50" s="1044"/>
      <c r="B50" s="1044"/>
      <c r="C50" s="1044"/>
      <c r="D50" s="1044"/>
      <c r="E50" s="1044"/>
      <c r="F50" s="1044"/>
      <c r="G50" s="1043"/>
      <c r="H50" s="1043"/>
    </row>
    <row r="51" spans="1:8" ht="15" x14ac:dyDescent="0.25">
      <c r="A51" s="1044"/>
      <c r="B51" s="1044"/>
      <c r="C51" s="1044"/>
      <c r="D51" s="1044"/>
      <c r="E51" s="1044"/>
      <c r="F51" s="1044"/>
      <c r="G51" s="1043"/>
      <c r="H51" s="1043"/>
    </row>
    <row r="52" spans="1:8" ht="15" x14ac:dyDescent="0.25">
      <c r="A52" s="1044"/>
      <c r="B52" s="1044"/>
      <c r="C52" s="1044"/>
      <c r="D52" s="1044"/>
      <c r="E52" s="1044"/>
      <c r="F52" s="1044"/>
      <c r="G52" s="1043"/>
      <c r="H52" s="1043"/>
    </row>
    <row r="53" spans="1:8" ht="15" x14ac:dyDescent="0.25">
      <c r="A53" s="1044"/>
      <c r="B53" s="1044"/>
      <c r="C53" s="1044"/>
      <c r="D53" s="1044"/>
      <c r="E53" s="1044"/>
      <c r="F53" s="1044"/>
      <c r="G53" s="1043"/>
      <c r="H53" s="1043"/>
    </row>
    <row r="54" spans="1:8" ht="15" x14ac:dyDescent="0.25">
      <c r="A54" s="1044"/>
      <c r="B54" s="1044"/>
      <c r="C54" s="1044"/>
      <c r="D54" s="1044"/>
      <c r="E54" s="1044"/>
      <c r="F54" s="1044"/>
      <c r="G54" s="1043"/>
      <c r="H54" s="1043"/>
    </row>
    <row r="55" spans="1:8" ht="15" x14ac:dyDescent="0.25">
      <c r="A55" s="1044"/>
      <c r="B55" s="1044"/>
      <c r="C55" s="1044"/>
      <c r="D55" s="1044"/>
      <c r="E55" s="1044"/>
      <c r="F55" s="1044"/>
      <c r="G55" s="1043"/>
      <c r="H55" s="1043"/>
    </row>
    <row r="56" spans="1:8" ht="15" x14ac:dyDescent="0.25">
      <c r="A56" s="1044"/>
      <c r="B56" s="1044"/>
      <c r="C56" s="1044"/>
      <c r="D56" s="1044"/>
      <c r="E56" s="1044"/>
      <c r="F56" s="1044"/>
      <c r="G56" s="1043"/>
      <c r="H56" s="1043"/>
    </row>
    <row r="57" spans="1:8" ht="15" x14ac:dyDescent="0.25">
      <c r="A57" s="1044"/>
      <c r="B57" s="1044"/>
      <c r="C57" s="1044"/>
      <c r="D57" s="1044"/>
      <c r="E57" s="1044"/>
      <c r="F57" s="1044"/>
      <c r="G57" s="1043"/>
      <c r="H57" s="1043"/>
    </row>
    <row r="58" spans="1:8" ht="15" x14ac:dyDescent="0.25">
      <c r="A58" s="1044"/>
      <c r="B58" s="1044"/>
      <c r="C58" s="1044"/>
      <c r="D58" s="1044"/>
      <c r="E58" s="1044"/>
      <c r="F58" s="1044"/>
      <c r="G58" s="1043"/>
      <c r="H58" s="1043"/>
    </row>
    <row r="59" spans="1:8" ht="15" x14ac:dyDescent="0.25">
      <c r="A59" s="1044"/>
      <c r="B59" s="1044"/>
      <c r="C59" s="1044"/>
      <c r="D59" s="1044"/>
      <c r="E59" s="1044"/>
      <c r="F59" s="1044"/>
      <c r="G59" s="1043"/>
      <c r="H59" s="1043"/>
    </row>
    <row r="60" spans="1:8" ht="15" x14ac:dyDescent="0.25">
      <c r="A60" s="1044"/>
      <c r="B60" s="1044"/>
      <c r="C60" s="1044"/>
      <c r="D60" s="1044"/>
      <c r="E60" s="1044"/>
      <c r="F60" s="1044"/>
      <c r="G60" s="1043"/>
      <c r="H60" s="1043"/>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row r="94" spans="1:8" ht="14.25" x14ac:dyDescent="0.2">
      <c r="A94" s="1042"/>
      <c r="B94" s="1042"/>
      <c r="C94" s="1042"/>
      <c r="D94" s="1042"/>
      <c r="E94" s="1042"/>
      <c r="F94" s="1042"/>
      <c r="G94" s="1041"/>
      <c r="H94" s="1041"/>
    </row>
    <row r="95" spans="1:8" ht="14.25" x14ac:dyDescent="0.2">
      <c r="A95" s="1042"/>
      <c r="B95" s="1042"/>
      <c r="C95" s="1042"/>
      <c r="D95" s="1042"/>
      <c r="E95" s="1042"/>
      <c r="F95" s="1042"/>
      <c r="G95" s="1041"/>
      <c r="H95" s="1041"/>
    </row>
    <row r="96" spans="1:8" ht="14.25" x14ac:dyDescent="0.2">
      <c r="A96" s="1042"/>
      <c r="B96" s="1042"/>
      <c r="C96" s="1042"/>
      <c r="D96" s="1042"/>
      <c r="E96" s="1042"/>
      <c r="F96" s="1042"/>
      <c r="G96" s="1041"/>
      <c r="H96" s="1041"/>
    </row>
    <row r="97" spans="1:8" ht="14.25" x14ac:dyDescent="0.2">
      <c r="A97" s="1042"/>
      <c r="B97" s="1042"/>
      <c r="C97" s="1042"/>
      <c r="D97" s="1042"/>
      <c r="E97" s="1042"/>
      <c r="F97" s="1042"/>
      <c r="G97" s="1041"/>
      <c r="H97" s="1041"/>
    </row>
    <row r="98" spans="1:8" ht="14.25" x14ac:dyDescent="0.2">
      <c r="A98" s="1042"/>
      <c r="B98" s="1042"/>
      <c r="C98" s="1042"/>
      <c r="D98" s="1042"/>
      <c r="E98" s="1042"/>
      <c r="F98" s="1042"/>
      <c r="G98" s="1041"/>
      <c r="H98" s="1041"/>
    </row>
    <row r="99" spans="1:8" ht="14.25" x14ac:dyDescent="0.2">
      <c r="A99" s="1042"/>
      <c r="B99" s="1042"/>
      <c r="C99" s="1042"/>
      <c r="D99" s="1042"/>
      <c r="E99" s="1042"/>
      <c r="F99" s="1042"/>
      <c r="G99" s="1041"/>
      <c r="H99" s="1041"/>
    </row>
    <row r="100" spans="1:8" ht="14.25" x14ac:dyDescent="0.2">
      <c r="A100" s="1042"/>
      <c r="B100" s="1042"/>
      <c r="C100" s="1042"/>
      <c r="D100" s="1042"/>
      <c r="E100" s="1042"/>
      <c r="F100" s="1042"/>
      <c r="G100" s="1041"/>
      <c r="H100" s="1041"/>
    </row>
    <row r="101" spans="1:8" ht="14.25" x14ac:dyDescent="0.2">
      <c r="A101" s="1042"/>
      <c r="B101" s="1042"/>
      <c r="C101" s="1042"/>
      <c r="D101" s="1042"/>
      <c r="E101" s="1042"/>
      <c r="F101" s="1042"/>
      <c r="G101" s="1041"/>
      <c r="H101" s="1041"/>
    </row>
    <row r="102" spans="1:8" ht="14.25" x14ac:dyDescent="0.2">
      <c r="A102" s="1042"/>
      <c r="B102" s="1042"/>
      <c r="C102" s="1042"/>
      <c r="D102" s="1042"/>
      <c r="E102" s="1042"/>
      <c r="F102" s="1042"/>
      <c r="G102" s="1041"/>
      <c r="H102" s="1041"/>
    </row>
  </sheetData>
  <printOptions horizontalCentered="1"/>
  <pageMargins left="0.5" right="0.25" top="0.5" bottom="0.5" header="0.5" footer="0.25"/>
  <pageSetup scale="61" orientation="landscape" r:id="rId1"/>
  <headerFooter alignWithMargins="0">
    <oddFooter>&amp;C&amp;1#&amp;"Calibri"&amp;12&amp;K008000Internal Use</oddFooter>
  </headerFooter>
  <rowBreaks count="1" manualBreakCount="1">
    <brk id="23" max="7"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5">
    <tabColor rgb="FF66FF66"/>
    <pageSetUpPr fitToPage="1"/>
  </sheetPr>
  <dimension ref="A1:H102"/>
  <sheetViews>
    <sheetView topLeftCell="A33" workbookViewId="0">
      <selection activeCell="D39" sqref="D39"/>
    </sheetView>
  </sheetViews>
  <sheetFormatPr defaultRowHeight="12.75" x14ac:dyDescent="0.2"/>
  <cols>
    <col min="1" max="1" width="32.5703125" style="1039" customWidth="1"/>
    <col min="2" max="2" width="17.85546875" style="1039" customWidth="1"/>
    <col min="3" max="3" width="51.7109375" style="1039" customWidth="1"/>
    <col min="4" max="4" width="21.7109375"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419</v>
      </c>
      <c r="B1" s="1096"/>
    </row>
    <row r="2" spans="1:8" ht="18.75" x14ac:dyDescent="0.3">
      <c r="A2" s="1096" t="s">
        <v>424</v>
      </c>
      <c r="B2" s="1096"/>
    </row>
    <row r="3" spans="1:8" ht="12.75" customHeight="1" x14ac:dyDescent="0.2">
      <c r="A3" s="1095"/>
      <c r="B3" s="1095"/>
    </row>
    <row r="4" spans="1:8" ht="12.75" customHeight="1" x14ac:dyDescent="0.2">
      <c r="A4" s="1095"/>
      <c r="B4" s="1095"/>
    </row>
    <row r="5" spans="1:8" s="1089" customFormat="1" ht="12.75" customHeight="1" x14ac:dyDescent="0.25">
      <c r="A5" s="2960" t="s">
        <v>389</v>
      </c>
      <c r="B5" s="2960"/>
      <c r="C5" s="2960"/>
      <c r="D5" s="2960"/>
      <c r="E5" s="2960"/>
      <c r="F5" s="2960"/>
      <c r="G5" s="2960"/>
      <c r="H5" s="2960"/>
    </row>
    <row r="6" spans="1:8" s="1089" customFormat="1" ht="12.75" customHeight="1" x14ac:dyDescent="0.25">
      <c r="A6" s="1093" t="s">
        <v>379</v>
      </c>
      <c r="B6" s="1094">
        <f>C16</f>
        <v>676175</v>
      </c>
      <c r="C6" s="1093"/>
      <c r="D6" s="1093"/>
      <c r="E6" s="1093"/>
      <c r="F6" s="1093"/>
      <c r="H6" s="1093"/>
    </row>
    <row r="7" spans="1:8" s="1089" customFormat="1" ht="12.75" customHeight="1" x14ac:dyDescent="0.25">
      <c r="A7" s="1093" t="s">
        <v>420</v>
      </c>
      <c r="B7" s="1093"/>
      <c r="C7" s="1093"/>
      <c r="D7" s="1093"/>
      <c r="E7" s="1093"/>
      <c r="F7" s="1093"/>
      <c r="G7" s="1092"/>
      <c r="H7" s="1092"/>
    </row>
    <row r="8" spans="1:8" s="1089" customFormat="1" ht="12.75" customHeight="1" x14ac:dyDescent="0.25">
      <c r="A8" s="1093" t="s">
        <v>421</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70</v>
      </c>
      <c r="B13" s="1083">
        <v>0.02</v>
      </c>
      <c r="C13" s="1085">
        <f t="shared" ref="C13:C19" si="0">$B$21*B13</f>
        <v>270470</v>
      </c>
      <c r="D13" s="1077"/>
    </row>
    <row r="14" spans="1:8" ht="15.75" x14ac:dyDescent="0.25">
      <c r="A14" s="1084">
        <v>80</v>
      </c>
      <c r="B14" s="1083">
        <v>0.03</v>
      </c>
      <c r="C14" s="1085">
        <f t="shared" si="0"/>
        <v>405705</v>
      </c>
      <c r="D14" s="1077"/>
    </row>
    <row r="15" spans="1:8" ht="15.75" x14ac:dyDescent="0.25">
      <c r="A15" s="1084">
        <v>90</v>
      </c>
      <c r="B15" s="1083">
        <v>0.04</v>
      </c>
      <c r="C15" s="1085">
        <f t="shared" si="0"/>
        <v>540940</v>
      </c>
      <c r="D15" s="1077"/>
    </row>
    <row r="16" spans="1:8" ht="15.75" x14ac:dyDescent="0.25">
      <c r="A16" s="1084">
        <v>100</v>
      </c>
      <c r="B16" s="1083">
        <v>0.05</v>
      </c>
      <c r="C16" s="1085">
        <f t="shared" si="0"/>
        <v>676175</v>
      </c>
      <c r="D16" s="1077"/>
    </row>
    <row r="17" spans="1:8" ht="15.75" x14ac:dyDescent="0.25">
      <c r="A17" s="1084">
        <v>110</v>
      </c>
      <c r="B17" s="1083">
        <v>0.06</v>
      </c>
      <c r="C17" s="1085">
        <f t="shared" si="0"/>
        <v>811410</v>
      </c>
      <c r="D17" s="1077"/>
    </row>
    <row r="18" spans="1:8" ht="15.75" x14ac:dyDescent="0.25">
      <c r="A18" s="1084">
        <v>120</v>
      </c>
      <c r="B18" s="1083">
        <v>7.0000000000000007E-2</v>
      </c>
      <c r="C18" s="1085">
        <f t="shared" si="0"/>
        <v>946645.00000000012</v>
      </c>
      <c r="D18" s="1077"/>
    </row>
    <row r="19" spans="1:8" ht="15.75" customHeight="1" x14ac:dyDescent="0.25">
      <c r="A19" s="1084">
        <v>130</v>
      </c>
      <c r="B19" s="1083">
        <v>0.08</v>
      </c>
      <c r="C19" s="1085">
        <f t="shared" si="0"/>
        <v>1081880</v>
      </c>
      <c r="D19" s="1077"/>
    </row>
    <row r="20" spans="1:8" ht="19.5" customHeight="1" x14ac:dyDescent="0.2">
      <c r="A20" s="1084"/>
      <c r="B20" s="1083"/>
      <c r="C20" s="1080"/>
      <c r="D20" s="1077"/>
    </row>
    <row r="21" spans="1:8" ht="19.5" customHeight="1" x14ac:dyDescent="0.25">
      <c r="A21" s="1082" t="s">
        <v>372</v>
      </c>
      <c r="B21" s="1081">
        <f>'YGS Table A '!D57-'YGS Table A '!D50-'YGS Table A '!D51</f>
        <v>13523500</v>
      </c>
      <c r="C21" s="1080"/>
      <c r="D21" s="1077"/>
    </row>
    <row r="22" spans="1:8" ht="19.5" customHeight="1" x14ac:dyDescent="0.25">
      <c r="A22" s="1082"/>
      <c r="B22" s="1081"/>
      <c r="C22" s="1080"/>
      <c r="D22" s="1077"/>
    </row>
    <row r="23" spans="1:8" ht="19.5" customHeight="1" thickBot="1" x14ac:dyDescent="0.25">
      <c r="A23" s="1079" t="s">
        <v>423</v>
      </c>
      <c r="C23" s="1078"/>
      <c r="D23" s="1077"/>
    </row>
    <row r="24" spans="1:8" ht="19.5" customHeight="1" thickBot="1" x14ac:dyDescent="0.25">
      <c r="A24" s="2961"/>
      <c r="B24" s="2961"/>
      <c r="C24" s="2962" t="s">
        <v>370</v>
      </c>
      <c r="D24" s="2963"/>
      <c r="E24" s="2966" t="s">
        <v>369</v>
      </c>
      <c r="F24" s="2966"/>
      <c r="G24" s="2966"/>
      <c r="H24" s="2967"/>
    </row>
    <row r="25" spans="1:8" ht="31.5" customHeight="1" thickBot="1" x14ac:dyDescent="0.25">
      <c r="A25" s="2961"/>
      <c r="B25" s="2961"/>
      <c r="C25" s="2964"/>
      <c r="D25" s="2965"/>
      <c r="E25" s="1076" t="s">
        <v>368</v>
      </c>
      <c r="F25" s="1076" t="s">
        <v>367</v>
      </c>
      <c r="G25" s="1076" t="s">
        <v>366</v>
      </c>
      <c r="H25" s="1076" t="s">
        <v>365</v>
      </c>
    </row>
    <row r="26" spans="1:8" ht="30" customHeight="1" thickBot="1" x14ac:dyDescent="0.25">
      <c r="A26" s="1050" t="s">
        <v>364</v>
      </c>
      <c r="B26" s="1075">
        <f>'YGS Table A '!D16+'YGS Table A '!D27</f>
        <v>12127500</v>
      </c>
      <c r="C26" s="1098" t="s">
        <v>383</v>
      </c>
      <c r="D26" s="1066"/>
      <c r="E26" s="2957" t="s">
        <v>363</v>
      </c>
      <c r="F26" s="1068" t="s">
        <v>362</v>
      </c>
      <c r="G26" s="2958">
        <v>0.5</v>
      </c>
      <c r="H26" s="2959">
        <f>+$C$16*G26</f>
        <v>338087.5</v>
      </c>
    </row>
    <row r="27" spans="1:8" ht="29.25" customHeight="1" x14ac:dyDescent="0.2">
      <c r="A27" s="1058"/>
      <c r="B27" s="1072"/>
      <c r="C27" s="1099" t="s">
        <v>283</v>
      </c>
      <c r="D27" s="1066">
        <f>'2014 Summary Table B '!N7</f>
        <v>0</v>
      </c>
      <c r="E27" s="2957"/>
      <c r="F27" s="1074" t="s">
        <v>361</v>
      </c>
      <c r="G27" s="2958"/>
      <c r="H27" s="2959"/>
    </row>
    <row r="28" spans="1:8" ht="30" customHeight="1" x14ac:dyDescent="0.2">
      <c r="A28" s="1058"/>
      <c r="B28" s="1059"/>
      <c r="C28" s="1099" t="s">
        <v>160</v>
      </c>
      <c r="D28" s="1066">
        <f>'2014 Summary Table B '!N11</f>
        <v>0</v>
      </c>
      <c r="E28" s="2957"/>
      <c r="F28" s="1072">
        <f>D39</f>
        <v>0</v>
      </c>
      <c r="G28" s="2958"/>
      <c r="H28" s="2959"/>
    </row>
    <row r="29" spans="1:8" ht="30" customHeight="1" x14ac:dyDescent="0.2">
      <c r="A29" s="1058"/>
      <c r="B29" s="1059"/>
      <c r="C29" s="1099" t="s">
        <v>384</v>
      </c>
      <c r="D29" s="1066">
        <f>'2014 Summary Table B '!N15</f>
        <v>0</v>
      </c>
      <c r="E29" s="2957"/>
      <c r="F29" s="1059"/>
      <c r="G29" s="2958"/>
      <c r="H29" s="2959"/>
    </row>
    <row r="30" spans="1:8" ht="30" customHeight="1" x14ac:dyDescent="0.2">
      <c r="A30" s="1058"/>
      <c r="B30" s="1059"/>
      <c r="C30" s="1099" t="s">
        <v>198</v>
      </c>
      <c r="D30" s="1066">
        <f>'2014 Summary Table B '!N20</f>
        <v>0</v>
      </c>
      <c r="E30" s="2957"/>
      <c r="F30" s="1059"/>
      <c r="G30" s="2958"/>
      <c r="H30" s="2959"/>
    </row>
    <row r="31" spans="1:8" ht="30" customHeight="1" x14ac:dyDescent="0.2">
      <c r="A31" s="1058"/>
      <c r="B31" s="1059"/>
      <c r="C31" s="1099" t="s">
        <v>199</v>
      </c>
      <c r="D31" s="1066">
        <f>'2014 Summary Table B '!N27</f>
        <v>0</v>
      </c>
      <c r="E31" s="2957"/>
      <c r="F31" s="1070"/>
      <c r="G31" s="2958"/>
      <c r="H31" s="2959"/>
    </row>
    <row r="32" spans="1:8" ht="30" customHeight="1" x14ac:dyDescent="0.2">
      <c r="A32" s="1058"/>
      <c r="B32" s="1059"/>
      <c r="C32" s="1099" t="s">
        <v>200</v>
      </c>
      <c r="D32" s="1066">
        <f>'2014 Summary Table B '!N32</f>
        <v>0</v>
      </c>
      <c r="E32" s="2957"/>
      <c r="F32" s="1070"/>
      <c r="G32" s="2958"/>
      <c r="H32" s="2959"/>
    </row>
    <row r="33" spans="1:8" ht="30" customHeight="1" x14ac:dyDescent="0.2">
      <c r="A33" s="1058"/>
      <c r="B33" s="1059"/>
      <c r="C33" s="1099" t="s">
        <v>385</v>
      </c>
      <c r="D33" s="1066">
        <f>'2014 Summary Table B '!N36</f>
        <v>0</v>
      </c>
      <c r="E33" s="2957"/>
      <c r="F33" s="1070"/>
      <c r="G33" s="2958"/>
      <c r="H33" s="2959"/>
    </row>
    <row r="34" spans="1:8" ht="30" customHeight="1" x14ac:dyDescent="0.2">
      <c r="A34" s="1058"/>
      <c r="B34" s="1059"/>
      <c r="C34" s="1099" t="s">
        <v>245</v>
      </c>
      <c r="D34" s="1066">
        <f>'2014 Summary Table B '!N40</f>
        <v>0</v>
      </c>
      <c r="E34" s="2957"/>
      <c r="F34" s="1070"/>
      <c r="G34" s="2958"/>
      <c r="H34" s="2959"/>
    </row>
    <row r="35" spans="1:8" ht="30" customHeight="1" x14ac:dyDescent="0.25">
      <c r="A35" s="1058"/>
      <c r="B35" s="1069"/>
      <c r="C35" s="1098" t="s">
        <v>386</v>
      </c>
      <c r="D35" s="1066">
        <f>SUM(D27:D34)</f>
        <v>0</v>
      </c>
      <c r="E35" s="2957"/>
      <c r="F35" s="1044"/>
      <c r="G35" s="2958"/>
      <c r="H35" s="2959"/>
    </row>
    <row r="36" spans="1:8" ht="11.25" customHeight="1" x14ac:dyDescent="0.25">
      <c r="A36" s="1058"/>
      <c r="B36" s="1069"/>
      <c r="C36" s="1097"/>
      <c r="D36" s="1066"/>
      <c r="E36" s="1068"/>
      <c r="F36" s="1044"/>
      <c r="G36" s="1067"/>
      <c r="H36" s="1057"/>
    </row>
    <row r="37" spans="1:8" ht="30" customHeight="1" x14ac:dyDescent="0.25">
      <c r="A37" s="1062"/>
      <c r="B37" s="1059"/>
      <c r="C37" s="1098" t="s">
        <v>387</v>
      </c>
      <c r="D37" s="1065" t="e">
        <f>D39/D35</f>
        <v>#DIV/0!</v>
      </c>
      <c r="E37" s="1059"/>
      <c r="F37" s="1044"/>
      <c r="G37" s="1058"/>
      <c r="H37" s="1057"/>
    </row>
    <row r="38" spans="1:8" ht="12" customHeight="1" x14ac:dyDescent="0.25">
      <c r="A38" s="1062"/>
      <c r="B38" s="1059"/>
      <c r="C38" s="1061"/>
      <c r="D38" s="1064"/>
      <c r="E38" s="1063"/>
      <c r="F38" s="1044"/>
      <c r="G38" s="1058"/>
      <c r="H38" s="1057"/>
    </row>
    <row r="39" spans="1:8" ht="30" customHeight="1" thickBot="1" x14ac:dyDescent="0.3">
      <c r="A39" s="1062"/>
      <c r="B39" s="1059"/>
      <c r="C39" s="1407" t="s">
        <v>361</v>
      </c>
      <c r="D39" s="1066">
        <f>'2014 Summary Table B '!F70</f>
        <v>0</v>
      </c>
      <c r="E39" s="1059"/>
      <c r="F39" s="1044"/>
      <c r="G39" s="1058"/>
      <c r="H39" s="1057"/>
    </row>
    <row r="40" spans="1:8" ht="31.5" customHeight="1" thickBot="1" x14ac:dyDescent="0.3">
      <c r="A40" s="1051"/>
      <c r="B40" s="1056"/>
      <c r="C40" s="1408" t="s">
        <v>360</v>
      </c>
      <c r="D40" s="1409">
        <f>D39-B26</f>
        <v>-12127500</v>
      </c>
      <c r="E40" s="1055"/>
      <c r="F40" s="1054">
        <f>D40</f>
        <v>-12127500</v>
      </c>
      <c r="G40" s="1053">
        <v>0.5</v>
      </c>
      <c r="H40" s="1052">
        <f>+$C$16*G40</f>
        <v>338087.5</v>
      </c>
    </row>
    <row r="41" spans="1:8" ht="15.75" thickBot="1" x14ac:dyDescent="0.3">
      <c r="A41" s="1050" t="s">
        <v>359</v>
      </c>
      <c r="B41" s="1056"/>
      <c r="C41" s="1410"/>
      <c r="D41" s="1409"/>
      <c r="E41" s="1100"/>
      <c r="F41" s="1049"/>
      <c r="G41" s="1048">
        <f>SUM(G26:G40)</f>
        <v>1</v>
      </c>
      <c r="H41" s="1047">
        <f>SUM(H26:H40)</f>
        <v>676175</v>
      </c>
    </row>
    <row r="42" spans="1:8" ht="12.75" customHeight="1" x14ac:dyDescent="0.25">
      <c r="A42" s="1044"/>
      <c r="B42" s="1044"/>
      <c r="C42" s="1044"/>
      <c r="D42" s="1044"/>
      <c r="E42" s="1044"/>
      <c r="F42" s="1044"/>
      <c r="G42" s="1046" t="s">
        <v>3</v>
      </c>
      <c r="H42" s="1043"/>
    </row>
    <row r="43" spans="1:8" ht="15" x14ac:dyDescent="0.25">
      <c r="A43" s="1044"/>
      <c r="B43" s="1044"/>
      <c r="C43" s="1044"/>
      <c r="D43" s="1044"/>
      <c r="E43" s="1044"/>
      <c r="F43" s="1044"/>
      <c r="G43" s="1043"/>
      <c r="H43" s="1043"/>
    </row>
    <row r="44" spans="1:8" ht="84" customHeight="1" x14ac:dyDescent="0.25">
      <c r="A44" s="1044"/>
      <c r="B44" s="1044"/>
      <c r="C44" s="1044"/>
      <c r="D44" s="1044"/>
      <c r="E44" s="1044"/>
      <c r="F44" s="1044"/>
      <c r="G44" s="1045"/>
      <c r="H44" s="1043"/>
    </row>
    <row r="45" spans="1:8" ht="34.5" customHeight="1" x14ac:dyDescent="0.25">
      <c r="A45" s="1044"/>
      <c r="B45" s="1044"/>
      <c r="C45" s="1044"/>
      <c r="D45" s="1044"/>
      <c r="E45" s="1044"/>
      <c r="F45" s="1044"/>
      <c r="G45" s="1043"/>
      <c r="H45" s="1043"/>
    </row>
    <row r="46" spans="1:8" ht="15" x14ac:dyDescent="0.25">
      <c r="A46" s="1044"/>
      <c r="B46" s="1044"/>
      <c r="C46" s="1044"/>
      <c r="D46" s="1044"/>
      <c r="E46" s="1044"/>
      <c r="F46" s="1044"/>
      <c r="G46" s="1043"/>
      <c r="H46" s="1043"/>
    </row>
    <row r="47" spans="1:8" ht="15" x14ac:dyDescent="0.25">
      <c r="A47" s="1044"/>
      <c r="B47" s="1044"/>
      <c r="C47" s="1044"/>
      <c r="D47" s="1044"/>
      <c r="E47" s="1044"/>
      <c r="F47" s="1044"/>
      <c r="G47" s="1043"/>
      <c r="H47" s="1043"/>
    </row>
    <row r="48" spans="1:8" ht="15" x14ac:dyDescent="0.25">
      <c r="A48" s="1044"/>
      <c r="B48" s="1044"/>
      <c r="C48" s="1044"/>
      <c r="D48" s="1044"/>
      <c r="E48" s="1044"/>
      <c r="F48" s="1044"/>
      <c r="G48" s="1043"/>
      <c r="H48" s="1043"/>
    </row>
    <row r="49" spans="1:8" ht="15" x14ac:dyDescent="0.25">
      <c r="A49" s="1044"/>
      <c r="B49" s="1044"/>
      <c r="C49" s="1044"/>
      <c r="D49" s="1044"/>
      <c r="E49" s="1044"/>
      <c r="F49" s="1044"/>
      <c r="G49" s="1043"/>
      <c r="H49" s="1043"/>
    </row>
    <row r="50" spans="1:8" ht="15" x14ac:dyDescent="0.25">
      <c r="A50" s="1044"/>
      <c r="B50" s="1044"/>
      <c r="C50" s="1044"/>
      <c r="D50" s="1044"/>
      <c r="E50" s="1044"/>
      <c r="F50" s="1044"/>
      <c r="G50" s="1043"/>
      <c r="H50" s="1043"/>
    </row>
    <row r="51" spans="1:8" ht="15" x14ac:dyDescent="0.25">
      <c r="A51" s="1044"/>
      <c r="B51" s="1044"/>
      <c r="C51" s="1044"/>
      <c r="D51" s="1044"/>
      <c r="E51" s="1044"/>
      <c r="F51" s="1044"/>
      <c r="G51" s="1043"/>
      <c r="H51" s="1043"/>
    </row>
    <row r="52" spans="1:8" ht="15" x14ac:dyDescent="0.25">
      <c r="A52" s="1044"/>
      <c r="B52" s="1044"/>
      <c r="C52" s="1044"/>
      <c r="D52" s="1044"/>
      <c r="E52" s="1044"/>
      <c r="F52" s="1044"/>
      <c r="G52" s="1043"/>
      <c r="H52" s="1043"/>
    </row>
    <row r="53" spans="1:8" ht="15" x14ac:dyDescent="0.25">
      <c r="A53" s="1044"/>
      <c r="B53" s="1044"/>
      <c r="C53" s="1044"/>
      <c r="D53" s="1044"/>
      <c r="E53" s="1044"/>
      <c r="F53" s="1044"/>
      <c r="G53" s="1043"/>
      <c r="H53" s="1043"/>
    </row>
    <row r="54" spans="1:8" ht="15" x14ac:dyDescent="0.25">
      <c r="A54" s="1044"/>
      <c r="B54" s="1044"/>
      <c r="C54" s="1044"/>
      <c r="D54" s="1044"/>
      <c r="E54" s="1044"/>
      <c r="F54" s="1044"/>
      <c r="G54" s="1043"/>
      <c r="H54" s="1043"/>
    </row>
    <row r="55" spans="1:8" ht="15" x14ac:dyDescent="0.25">
      <c r="A55" s="1044"/>
      <c r="B55" s="1044"/>
      <c r="C55" s="1044"/>
      <c r="D55" s="1044"/>
      <c r="E55" s="1044"/>
      <c r="F55" s="1044"/>
      <c r="G55" s="1043"/>
      <c r="H55" s="1043"/>
    </row>
    <row r="56" spans="1:8" ht="15" x14ac:dyDescent="0.25">
      <c r="A56" s="1044"/>
      <c r="B56" s="1044"/>
      <c r="C56" s="1044"/>
      <c r="D56" s="1044"/>
      <c r="E56" s="1044"/>
      <c r="F56" s="1044"/>
      <c r="G56" s="1043"/>
      <c r="H56" s="1043"/>
    </row>
    <row r="57" spans="1:8" ht="15" x14ac:dyDescent="0.25">
      <c r="A57" s="1044"/>
      <c r="B57" s="1044"/>
      <c r="C57" s="1044"/>
      <c r="D57" s="1044"/>
      <c r="E57" s="1044"/>
      <c r="F57" s="1044"/>
      <c r="G57" s="1043"/>
      <c r="H57" s="1043"/>
    </row>
    <row r="58" spans="1:8" ht="15" x14ac:dyDescent="0.25">
      <c r="A58" s="1044"/>
      <c r="B58" s="1044"/>
      <c r="C58" s="1044"/>
      <c r="D58" s="1044"/>
      <c r="E58" s="1044"/>
      <c r="F58" s="1044"/>
      <c r="G58" s="1043"/>
      <c r="H58" s="1043"/>
    </row>
    <row r="59" spans="1:8" ht="15" x14ac:dyDescent="0.25">
      <c r="A59" s="1044"/>
      <c r="B59" s="1044"/>
      <c r="C59" s="1044"/>
      <c r="D59" s="1044"/>
      <c r="E59" s="1044"/>
      <c r="F59" s="1044"/>
      <c r="G59" s="1043"/>
      <c r="H59" s="1043"/>
    </row>
    <row r="60" spans="1:8" ht="15" x14ac:dyDescent="0.25">
      <c r="A60" s="1044"/>
      <c r="B60" s="1044"/>
      <c r="C60" s="1044"/>
      <c r="D60" s="1044"/>
      <c r="E60" s="1044"/>
      <c r="F60" s="1044"/>
      <c r="G60" s="1043"/>
      <c r="H60" s="1043"/>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row r="94" spans="1:8" ht="14.25" x14ac:dyDescent="0.2">
      <c r="A94" s="1042"/>
      <c r="B94" s="1042"/>
      <c r="C94" s="1042"/>
      <c r="D94" s="1042"/>
      <c r="E94" s="1042"/>
      <c r="F94" s="1042"/>
      <c r="G94" s="1041"/>
      <c r="H94" s="1041"/>
    </row>
    <row r="95" spans="1:8" ht="14.25" x14ac:dyDescent="0.2">
      <c r="A95" s="1042"/>
      <c r="B95" s="1042"/>
      <c r="C95" s="1042"/>
      <c r="D95" s="1042"/>
      <c r="E95" s="1042"/>
      <c r="F95" s="1042"/>
      <c r="G95" s="1041"/>
      <c r="H95" s="1041"/>
    </row>
    <row r="96" spans="1:8" ht="14.25" x14ac:dyDescent="0.2">
      <c r="A96" s="1042"/>
      <c r="B96" s="1042"/>
      <c r="C96" s="1042"/>
      <c r="D96" s="1042"/>
      <c r="E96" s="1042"/>
      <c r="F96" s="1042"/>
      <c r="G96" s="1041"/>
      <c r="H96" s="1041"/>
    </row>
    <row r="97" spans="1:8" ht="14.25" x14ac:dyDescent="0.2">
      <c r="A97" s="1042"/>
      <c r="B97" s="1042"/>
      <c r="C97" s="1042"/>
      <c r="D97" s="1042"/>
      <c r="E97" s="1042"/>
      <c r="F97" s="1042"/>
      <c r="G97" s="1041"/>
      <c r="H97" s="1041"/>
    </row>
    <row r="98" spans="1:8" ht="14.25" x14ac:dyDescent="0.2">
      <c r="A98" s="1042"/>
      <c r="B98" s="1042"/>
      <c r="C98" s="1042"/>
      <c r="D98" s="1042"/>
      <c r="E98" s="1042"/>
      <c r="F98" s="1042"/>
      <c r="G98" s="1041"/>
      <c r="H98" s="1041"/>
    </row>
    <row r="99" spans="1:8" ht="14.25" x14ac:dyDescent="0.2">
      <c r="A99" s="1042"/>
      <c r="B99" s="1042"/>
      <c r="C99" s="1042"/>
      <c r="D99" s="1042"/>
      <c r="E99" s="1042"/>
      <c r="F99" s="1042"/>
      <c r="G99" s="1041"/>
      <c r="H99" s="1041"/>
    </row>
    <row r="100" spans="1:8" ht="14.25" x14ac:dyDescent="0.2">
      <c r="A100" s="1042"/>
      <c r="B100" s="1042"/>
      <c r="C100" s="1042"/>
      <c r="D100" s="1042"/>
      <c r="E100" s="1042"/>
      <c r="F100" s="1042"/>
      <c r="G100" s="1041"/>
      <c r="H100" s="1041"/>
    </row>
    <row r="101" spans="1:8" ht="14.25" x14ac:dyDescent="0.2">
      <c r="A101" s="1042"/>
      <c r="B101" s="1042"/>
      <c r="C101" s="1042"/>
      <c r="D101" s="1042"/>
      <c r="E101" s="1042"/>
      <c r="F101" s="1042"/>
      <c r="G101" s="1041"/>
      <c r="H101" s="1041"/>
    </row>
    <row r="102" spans="1:8" ht="14.25" x14ac:dyDescent="0.2">
      <c r="A102" s="1042"/>
      <c r="B102" s="1042"/>
      <c r="C102" s="1042"/>
      <c r="D102" s="1042"/>
      <c r="E102" s="1042"/>
      <c r="F102" s="1042"/>
      <c r="G102" s="1041"/>
      <c r="H102" s="1041"/>
    </row>
  </sheetData>
  <mergeCells count="8">
    <mergeCell ref="E26:E35"/>
    <mergeCell ref="G26:G35"/>
    <mergeCell ref="H26:H35"/>
    <mergeCell ref="A5:H5"/>
    <mergeCell ref="A24:B24"/>
    <mergeCell ref="C24:D25"/>
    <mergeCell ref="E24:H24"/>
    <mergeCell ref="A25:B25"/>
  </mergeCells>
  <pageMargins left="0.7" right="0.7" top="0.75" bottom="0.75" header="0.3" footer="0.3"/>
  <pageSetup scale="60" orientation="landscape" r:id="rId1"/>
  <headerFooter>
    <oddFooter>&amp;C&amp;1#&amp;"Calibri"&amp;12&amp;K008000Internal Use</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6">
    <tabColor rgb="FF66FF66"/>
    <pageSetUpPr fitToPage="1"/>
  </sheetPr>
  <dimension ref="A1:H102"/>
  <sheetViews>
    <sheetView topLeftCell="A34" workbookViewId="0">
      <selection activeCell="D39" sqref="D39"/>
    </sheetView>
  </sheetViews>
  <sheetFormatPr defaultRowHeight="12.75" x14ac:dyDescent="0.2"/>
  <cols>
    <col min="1" max="1" width="31.42578125" style="1039" customWidth="1"/>
    <col min="2" max="2" width="17.85546875" style="1039" customWidth="1"/>
    <col min="3" max="3" width="51.7109375" style="1039" customWidth="1"/>
    <col min="4" max="4" width="21.7109375"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419</v>
      </c>
      <c r="B1" s="1096"/>
    </row>
    <row r="2" spans="1:8" ht="18.75" x14ac:dyDescent="0.3">
      <c r="A2" s="1096" t="s">
        <v>390</v>
      </c>
      <c r="B2" s="1096"/>
    </row>
    <row r="3" spans="1:8" ht="12.75" customHeight="1" x14ac:dyDescent="0.2">
      <c r="A3" s="1095"/>
      <c r="B3" s="1095"/>
    </row>
    <row r="4" spans="1:8" ht="12.75" customHeight="1" x14ac:dyDescent="0.2">
      <c r="A4" s="1095"/>
      <c r="B4" s="1095"/>
    </row>
    <row r="5" spans="1:8" s="1089" customFormat="1" ht="12.75" customHeight="1" x14ac:dyDescent="0.25">
      <c r="A5" s="2960" t="s">
        <v>391</v>
      </c>
      <c r="B5" s="2960"/>
      <c r="C5" s="2960"/>
      <c r="D5" s="2960"/>
      <c r="E5" s="2960"/>
      <c r="F5" s="2960"/>
      <c r="G5" s="2960"/>
      <c r="H5" s="2960"/>
    </row>
    <row r="6" spans="1:8" s="1089" customFormat="1" ht="12.75" customHeight="1" x14ac:dyDescent="0.25">
      <c r="A6" s="1093" t="s">
        <v>379</v>
      </c>
      <c r="B6" s="1094">
        <f>C16</f>
        <v>775300</v>
      </c>
      <c r="C6" s="1093"/>
      <c r="D6" s="1093"/>
      <c r="E6" s="1093"/>
      <c r="F6" s="1093"/>
      <c r="H6" s="1093"/>
    </row>
    <row r="7" spans="1:8" s="1089" customFormat="1" ht="12.75" customHeight="1" x14ac:dyDescent="0.25">
      <c r="A7" s="1093" t="s">
        <v>420</v>
      </c>
      <c r="B7" s="1093"/>
      <c r="C7" s="1093"/>
      <c r="D7" s="1093"/>
      <c r="E7" s="1093"/>
      <c r="F7" s="1093"/>
      <c r="G7" s="1092"/>
      <c r="H7" s="1092"/>
    </row>
    <row r="8" spans="1:8" s="1089" customFormat="1" ht="12.75" customHeight="1" x14ac:dyDescent="0.25">
      <c r="A8" s="1093" t="s">
        <v>421</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70</v>
      </c>
      <c r="B13" s="1083">
        <v>0.02</v>
      </c>
      <c r="C13" s="1085">
        <f t="shared" ref="C13:C19" si="0">$B$21*B13</f>
        <v>310120</v>
      </c>
      <c r="D13" s="1077"/>
    </row>
    <row r="14" spans="1:8" ht="15.75" x14ac:dyDescent="0.25">
      <c r="A14" s="1084">
        <v>80</v>
      </c>
      <c r="B14" s="1083">
        <v>0.03</v>
      </c>
      <c r="C14" s="1085">
        <f t="shared" si="0"/>
        <v>465180</v>
      </c>
      <c r="D14" s="1077"/>
    </row>
    <row r="15" spans="1:8" ht="15.75" x14ac:dyDescent="0.25">
      <c r="A15" s="1084">
        <v>90</v>
      </c>
      <c r="B15" s="1083">
        <v>0.04</v>
      </c>
      <c r="C15" s="1085">
        <f t="shared" si="0"/>
        <v>620240</v>
      </c>
      <c r="D15" s="1077"/>
    </row>
    <row r="16" spans="1:8" ht="15.75" x14ac:dyDescent="0.25">
      <c r="A16" s="1084">
        <v>100</v>
      </c>
      <c r="B16" s="1083">
        <v>0.05</v>
      </c>
      <c r="C16" s="1085">
        <f t="shared" si="0"/>
        <v>775300</v>
      </c>
      <c r="D16" s="1077"/>
    </row>
    <row r="17" spans="1:8" ht="15.75" x14ac:dyDescent="0.25">
      <c r="A17" s="1084">
        <v>110</v>
      </c>
      <c r="B17" s="1083">
        <v>0.06</v>
      </c>
      <c r="C17" s="1085">
        <f t="shared" si="0"/>
        <v>930360</v>
      </c>
      <c r="D17" s="1077"/>
    </row>
    <row r="18" spans="1:8" ht="15.75" x14ac:dyDescent="0.25">
      <c r="A18" s="1084">
        <v>120</v>
      </c>
      <c r="B18" s="1083">
        <v>7.0000000000000007E-2</v>
      </c>
      <c r="C18" s="1085">
        <f t="shared" si="0"/>
        <v>1085420</v>
      </c>
      <c r="D18" s="1077"/>
    </row>
    <row r="19" spans="1:8" ht="15.75" customHeight="1" x14ac:dyDescent="0.25">
      <c r="A19" s="1084">
        <v>130</v>
      </c>
      <c r="B19" s="1083">
        <v>0.08</v>
      </c>
      <c r="C19" s="1085">
        <f t="shared" si="0"/>
        <v>1240480</v>
      </c>
      <c r="D19" s="1077"/>
    </row>
    <row r="20" spans="1:8" ht="19.5" customHeight="1" x14ac:dyDescent="0.2">
      <c r="A20" s="1084"/>
      <c r="B20" s="1083"/>
      <c r="C20" s="1080"/>
      <c r="D20" s="1077"/>
    </row>
    <row r="21" spans="1:8" ht="19.5" customHeight="1" x14ac:dyDescent="0.25">
      <c r="A21" s="1082" t="s">
        <v>372</v>
      </c>
      <c r="B21" s="1081">
        <f>'YGS Table A '!E57-'YGS Table A '!E50-'YGS Table A '!E51</f>
        <v>15506000</v>
      </c>
      <c r="C21" s="1080"/>
      <c r="D21" s="1077"/>
    </row>
    <row r="22" spans="1:8" ht="19.5" customHeight="1" x14ac:dyDescent="0.25">
      <c r="A22" s="1082"/>
      <c r="B22" s="1081"/>
      <c r="C22" s="1080"/>
      <c r="D22" s="1077"/>
    </row>
    <row r="23" spans="1:8" ht="19.5" customHeight="1" thickBot="1" x14ac:dyDescent="0.25">
      <c r="A23" s="1079" t="s">
        <v>423</v>
      </c>
      <c r="C23" s="1078"/>
      <c r="D23" s="1077"/>
    </row>
    <row r="24" spans="1:8" ht="19.5" customHeight="1" thickBot="1" x14ac:dyDescent="0.25">
      <c r="A24" s="2961"/>
      <c r="B24" s="2961"/>
      <c r="C24" s="2962" t="s">
        <v>370</v>
      </c>
      <c r="D24" s="2963"/>
      <c r="E24" s="2966" t="s">
        <v>369</v>
      </c>
      <c r="F24" s="2966"/>
      <c r="G24" s="2966"/>
      <c r="H24" s="2967"/>
    </row>
    <row r="25" spans="1:8" ht="31.5" customHeight="1" thickBot="1" x14ac:dyDescent="0.25">
      <c r="A25" s="2961"/>
      <c r="B25" s="2961"/>
      <c r="C25" s="2964"/>
      <c r="D25" s="2965"/>
      <c r="E25" s="1076" t="s">
        <v>368</v>
      </c>
      <c r="F25" s="1076" t="s">
        <v>367</v>
      </c>
      <c r="G25" s="1076" t="s">
        <v>366</v>
      </c>
      <c r="H25" s="1076" t="s">
        <v>365</v>
      </c>
    </row>
    <row r="26" spans="1:8" ht="30" customHeight="1" thickBot="1" x14ac:dyDescent="0.25">
      <c r="A26" s="1050" t="s">
        <v>364</v>
      </c>
      <c r="B26" s="1075">
        <f>'YGS Table A '!E16+'YGS Table A '!E27</f>
        <v>14021000</v>
      </c>
      <c r="C26" s="1098" t="s">
        <v>383</v>
      </c>
      <c r="D26" s="1066"/>
      <c r="E26" s="2957" t="s">
        <v>363</v>
      </c>
      <c r="F26" s="1068" t="s">
        <v>362</v>
      </c>
      <c r="G26" s="2958">
        <v>0.5</v>
      </c>
      <c r="H26" s="2959">
        <f>+$C$16*G26</f>
        <v>387650</v>
      </c>
    </row>
    <row r="27" spans="1:8" ht="29.25" customHeight="1" x14ac:dyDescent="0.2">
      <c r="A27" s="1058"/>
      <c r="B27" s="1072"/>
      <c r="C27" s="1099" t="s">
        <v>283</v>
      </c>
      <c r="D27" s="1066">
        <f>'2016 Summary Table B'!N6</f>
        <v>0</v>
      </c>
      <c r="E27" s="2957"/>
      <c r="F27" s="1411" t="s">
        <v>361</v>
      </c>
      <c r="G27" s="2958"/>
      <c r="H27" s="2959"/>
    </row>
    <row r="28" spans="1:8" ht="30" customHeight="1" x14ac:dyDescent="0.2">
      <c r="A28" s="1058"/>
      <c r="B28" s="1059"/>
      <c r="C28" s="1099" t="s">
        <v>160</v>
      </c>
      <c r="D28" s="1066">
        <f>'2016 Summary Table B'!N10</f>
        <v>0</v>
      </c>
      <c r="E28" s="2957"/>
      <c r="F28" s="1072">
        <f>D39</f>
        <v>0</v>
      </c>
      <c r="G28" s="2958"/>
      <c r="H28" s="2959"/>
    </row>
    <row r="29" spans="1:8" ht="30" customHeight="1" x14ac:dyDescent="0.2">
      <c r="A29" s="1058"/>
      <c r="B29" s="1059"/>
      <c r="C29" s="1099" t="s">
        <v>384</v>
      </c>
      <c r="D29" s="1066">
        <f>'2016 Summary Table B'!N14</f>
        <v>0</v>
      </c>
      <c r="E29" s="2957"/>
      <c r="F29" s="1059"/>
      <c r="G29" s="2958"/>
      <c r="H29" s="2959"/>
    </row>
    <row r="30" spans="1:8" ht="30" customHeight="1" x14ac:dyDescent="0.2">
      <c r="A30" s="1058"/>
      <c r="B30" s="1059"/>
      <c r="C30" s="1099" t="s">
        <v>198</v>
      </c>
      <c r="D30" s="1066">
        <f>'2016 Summary Table B'!N24</f>
        <v>0</v>
      </c>
      <c r="E30" s="2957"/>
      <c r="F30" s="1059"/>
      <c r="G30" s="2958"/>
      <c r="H30" s="2959"/>
    </row>
    <row r="31" spans="1:8" ht="30" customHeight="1" x14ac:dyDescent="0.2">
      <c r="A31" s="1058"/>
      <c r="B31" s="1059"/>
      <c r="C31" s="1099" t="s">
        <v>199</v>
      </c>
      <c r="D31" s="1066">
        <f>'2016 Summary Table B'!N31</f>
        <v>0</v>
      </c>
      <c r="E31" s="2957"/>
      <c r="F31" s="1070"/>
      <c r="G31" s="2958"/>
      <c r="H31" s="2959"/>
    </row>
    <row r="32" spans="1:8" ht="30" customHeight="1" x14ac:dyDescent="0.2">
      <c r="A32" s="1058"/>
      <c r="B32" s="1059"/>
      <c r="C32" s="1099" t="s">
        <v>200</v>
      </c>
      <c r="D32" s="1066">
        <f>'2016 Summary Table B'!N36</f>
        <v>0</v>
      </c>
      <c r="E32" s="2957"/>
      <c r="F32" s="1070"/>
      <c r="G32" s="2958"/>
      <c r="H32" s="2959"/>
    </row>
    <row r="33" spans="1:8" ht="30" customHeight="1" x14ac:dyDescent="0.2">
      <c r="A33" s="1058"/>
      <c r="B33" s="1059"/>
      <c r="C33" s="1099" t="s">
        <v>385</v>
      </c>
      <c r="D33" s="1066">
        <f>'2016 Summary Table B'!N40</f>
        <v>0</v>
      </c>
      <c r="E33" s="2957"/>
      <c r="F33" s="1070"/>
      <c r="G33" s="2958"/>
      <c r="H33" s="2959"/>
    </row>
    <row r="34" spans="1:8" ht="30" customHeight="1" x14ac:dyDescent="0.2">
      <c r="A34" s="1058"/>
      <c r="B34" s="1059"/>
      <c r="C34" s="1099" t="s">
        <v>245</v>
      </c>
      <c r="D34" s="1066">
        <f>'2016 Summary Table B'!N44</f>
        <v>0</v>
      </c>
      <c r="E34" s="2957"/>
      <c r="F34" s="1070"/>
      <c r="G34" s="2958"/>
      <c r="H34" s="2959"/>
    </row>
    <row r="35" spans="1:8" ht="30" customHeight="1" x14ac:dyDescent="0.25">
      <c r="A35" s="1058"/>
      <c r="B35" s="1069"/>
      <c r="C35" s="1098" t="s">
        <v>386</v>
      </c>
      <c r="D35" s="1066">
        <f>SUM(D27:D34)</f>
        <v>0</v>
      </c>
      <c r="E35" s="2957"/>
      <c r="F35" s="1412"/>
      <c r="G35" s="2958"/>
      <c r="H35" s="2959"/>
    </row>
    <row r="36" spans="1:8" ht="11.25" customHeight="1" x14ac:dyDescent="0.25">
      <c r="A36" s="1058"/>
      <c r="B36" s="1069"/>
      <c r="C36" s="1097"/>
      <c r="D36" s="1066"/>
      <c r="E36" s="1068"/>
      <c r="F36" s="1412"/>
      <c r="G36" s="1067"/>
      <c r="H36" s="1057"/>
    </row>
    <row r="37" spans="1:8" ht="30" customHeight="1" x14ac:dyDescent="0.25">
      <c r="A37" s="1062"/>
      <c r="B37" s="1059"/>
      <c r="C37" s="1098" t="s">
        <v>387</v>
      </c>
      <c r="D37" s="1065" t="e">
        <f>D39/D35</f>
        <v>#DIV/0!</v>
      </c>
      <c r="E37" s="1059"/>
      <c r="F37" s="1412"/>
      <c r="G37" s="1058"/>
      <c r="H37" s="1057"/>
    </row>
    <row r="38" spans="1:8" ht="12" customHeight="1" x14ac:dyDescent="0.25">
      <c r="A38" s="1062"/>
      <c r="B38" s="1059"/>
      <c r="C38" s="1061"/>
      <c r="D38" s="1064"/>
      <c r="E38" s="1063"/>
      <c r="F38" s="1412"/>
      <c r="G38" s="1058"/>
      <c r="H38" s="1057"/>
    </row>
    <row r="39" spans="1:8" ht="30" customHeight="1" thickBot="1" x14ac:dyDescent="0.3">
      <c r="A39" s="1062"/>
      <c r="B39" s="1059"/>
      <c r="C39" s="1061" t="s">
        <v>361</v>
      </c>
      <c r="D39" s="1066">
        <f>'2016 Summary Table B'!F74</f>
        <v>0</v>
      </c>
      <c r="E39" s="1059"/>
      <c r="F39" s="1412"/>
      <c r="G39" s="1058"/>
      <c r="H39" s="1057"/>
    </row>
    <row r="40" spans="1:8" ht="31.5" customHeight="1" thickBot="1" x14ac:dyDescent="0.3">
      <c r="A40" s="1051"/>
      <c r="B40" s="1056"/>
      <c r="C40" s="1101" t="s">
        <v>360</v>
      </c>
      <c r="D40" s="1406">
        <f>D39-B26</f>
        <v>-14021000</v>
      </c>
      <c r="E40" s="1055"/>
      <c r="F40" s="1054">
        <f>D40</f>
        <v>-14021000</v>
      </c>
      <c r="G40" s="1053">
        <v>0.5</v>
      </c>
      <c r="H40" s="1052">
        <f>+$C$16*G40</f>
        <v>387650</v>
      </c>
    </row>
    <row r="41" spans="1:8" ht="15.75" thickBot="1" x14ac:dyDescent="0.3">
      <c r="A41" s="1050" t="s">
        <v>359</v>
      </c>
      <c r="B41" s="1056"/>
      <c r="C41" s="1103"/>
      <c r="D41" s="1104"/>
      <c r="E41" s="1100"/>
      <c r="F41" s="1049"/>
      <c r="G41" s="1048">
        <f>SUM(G26:G40)</f>
        <v>1</v>
      </c>
      <c r="H41" s="1047">
        <f>SUM(H26:H40)</f>
        <v>775300</v>
      </c>
    </row>
    <row r="42" spans="1:8" ht="12.75" customHeight="1" x14ac:dyDescent="0.25">
      <c r="A42" s="1044"/>
      <c r="B42" s="1044"/>
      <c r="C42" s="1044"/>
      <c r="D42" s="1044"/>
      <c r="E42" s="1044"/>
      <c r="F42" s="1044"/>
      <c r="G42" s="1046" t="s">
        <v>3</v>
      </c>
      <c r="H42" s="1043"/>
    </row>
    <row r="43" spans="1:8" ht="15" x14ac:dyDescent="0.25">
      <c r="A43" s="1044"/>
      <c r="B43" s="1044"/>
      <c r="C43" s="1044"/>
      <c r="D43" s="1044"/>
      <c r="E43" s="1044"/>
      <c r="F43" s="1044"/>
      <c r="G43" s="1043"/>
      <c r="H43" s="1043"/>
    </row>
    <row r="44" spans="1:8" ht="84" customHeight="1" x14ac:dyDescent="0.25">
      <c r="A44" s="1044"/>
      <c r="B44" s="1044"/>
      <c r="C44" s="1044"/>
      <c r="D44" s="1044"/>
      <c r="E44" s="1044"/>
      <c r="F44" s="1044"/>
      <c r="G44" s="1045"/>
      <c r="H44" s="1043"/>
    </row>
    <row r="45" spans="1:8" ht="34.5" customHeight="1" x14ac:dyDescent="0.25">
      <c r="A45" s="1044"/>
      <c r="B45" s="1044"/>
      <c r="C45" s="1044"/>
      <c r="D45" s="1044"/>
      <c r="E45" s="1044"/>
      <c r="F45" s="1044"/>
      <c r="G45" s="1043"/>
      <c r="H45" s="1043"/>
    </row>
    <row r="46" spans="1:8" ht="15" x14ac:dyDescent="0.25">
      <c r="A46" s="1044"/>
      <c r="B46" s="1044"/>
      <c r="C46" s="1044"/>
      <c r="D46" s="1044"/>
      <c r="E46" s="1044"/>
      <c r="F46" s="1044"/>
      <c r="G46" s="1043"/>
      <c r="H46" s="1043"/>
    </row>
    <row r="47" spans="1:8" ht="15" x14ac:dyDescent="0.25">
      <c r="A47" s="1044"/>
      <c r="B47" s="1044"/>
      <c r="C47" s="1044"/>
      <c r="D47" s="1044"/>
      <c r="E47" s="1044"/>
      <c r="F47" s="1044"/>
      <c r="G47" s="1043"/>
      <c r="H47" s="1043"/>
    </row>
    <row r="48" spans="1:8" ht="15" x14ac:dyDescent="0.25">
      <c r="A48" s="1044"/>
      <c r="B48" s="1044"/>
      <c r="C48" s="1044"/>
      <c r="D48" s="1044"/>
      <c r="E48" s="1044"/>
      <c r="F48" s="1044"/>
      <c r="G48" s="1043"/>
      <c r="H48" s="1043"/>
    </row>
    <row r="49" spans="1:8" ht="15" x14ac:dyDescent="0.25">
      <c r="A49" s="1044"/>
      <c r="B49" s="1044"/>
      <c r="C49" s="1044"/>
      <c r="D49" s="1044"/>
      <c r="E49" s="1044"/>
      <c r="F49" s="1044"/>
      <c r="G49" s="1043"/>
      <c r="H49" s="1043"/>
    </row>
    <row r="50" spans="1:8" ht="15" x14ac:dyDescent="0.25">
      <c r="A50" s="1044"/>
      <c r="B50" s="1044"/>
      <c r="C50" s="1044"/>
      <c r="D50" s="1044"/>
      <c r="E50" s="1044"/>
      <c r="F50" s="1044"/>
      <c r="G50" s="1043"/>
      <c r="H50" s="1043"/>
    </row>
    <row r="51" spans="1:8" ht="15" x14ac:dyDescent="0.25">
      <c r="A51" s="1044"/>
      <c r="B51" s="1044"/>
      <c r="C51" s="1044"/>
      <c r="D51" s="1044"/>
      <c r="E51" s="1044"/>
      <c r="F51" s="1044"/>
      <c r="G51" s="1043"/>
      <c r="H51" s="1043"/>
    </row>
    <row r="52" spans="1:8" ht="15" x14ac:dyDescent="0.25">
      <c r="A52" s="1044"/>
      <c r="B52" s="1044"/>
      <c r="C52" s="1044"/>
      <c r="D52" s="1044"/>
      <c r="E52" s="1044"/>
      <c r="F52" s="1044"/>
      <c r="G52" s="1043"/>
      <c r="H52" s="1043"/>
    </row>
    <row r="53" spans="1:8" ht="15" x14ac:dyDescent="0.25">
      <c r="A53" s="1044"/>
      <c r="B53" s="1044"/>
      <c r="C53" s="1044"/>
      <c r="D53" s="1044"/>
      <c r="E53" s="1044"/>
      <c r="F53" s="1044"/>
      <c r="G53" s="1043"/>
      <c r="H53" s="1043"/>
    </row>
    <row r="54" spans="1:8" ht="15" x14ac:dyDescent="0.25">
      <c r="A54" s="1044"/>
      <c r="B54" s="1044"/>
      <c r="C54" s="1044"/>
      <c r="D54" s="1044"/>
      <c r="E54" s="1044"/>
      <c r="F54" s="1044"/>
      <c r="G54" s="1043"/>
      <c r="H54" s="1043"/>
    </row>
    <row r="55" spans="1:8" ht="15" x14ac:dyDescent="0.25">
      <c r="A55" s="1044"/>
      <c r="B55" s="1044"/>
      <c r="C55" s="1044"/>
      <c r="D55" s="1044"/>
      <c r="E55" s="1044"/>
      <c r="F55" s="1044"/>
      <c r="G55" s="1043"/>
      <c r="H55" s="1043"/>
    </row>
    <row r="56" spans="1:8" ht="15" x14ac:dyDescent="0.25">
      <c r="A56" s="1044"/>
      <c r="B56" s="1044"/>
      <c r="C56" s="1044"/>
      <c r="D56" s="1044"/>
      <c r="E56" s="1044"/>
      <c r="F56" s="1044"/>
      <c r="G56" s="1043"/>
      <c r="H56" s="1043"/>
    </row>
    <row r="57" spans="1:8" ht="15" x14ac:dyDescent="0.25">
      <c r="A57" s="1044"/>
      <c r="B57" s="1044"/>
      <c r="C57" s="1044"/>
      <c r="D57" s="1044"/>
      <c r="E57" s="1044"/>
      <c r="F57" s="1044"/>
      <c r="G57" s="1043"/>
      <c r="H57" s="1043"/>
    </row>
    <row r="58" spans="1:8" ht="15" x14ac:dyDescent="0.25">
      <c r="A58" s="1044"/>
      <c r="B58" s="1044"/>
      <c r="C58" s="1044"/>
      <c r="D58" s="1044"/>
      <c r="E58" s="1044"/>
      <c r="F58" s="1044"/>
      <c r="G58" s="1043"/>
      <c r="H58" s="1043"/>
    </row>
    <row r="59" spans="1:8" ht="15" x14ac:dyDescent="0.25">
      <c r="A59" s="1044"/>
      <c r="B59" s="1044"/>
      <c r="C59" s="1044"/>
      <c r="D59" s="1044"/>
      <c r="E59" s="1044"/>
      <c r="F59" s="1044"/>
      <c r="G59" s="1043"/>
      <c r="H59" s="1043"/>
    </row>
    <row r="60" spans="1:8" ht="15" x14ac:dyDescent="0.25">
      <c r="A60" s="1044"/>
      <c r="B60" s="1044"/>
      <c r="C60" s="1044"/>
      <c r="D60" s="1044"/>
      <c r="E60" s="1044"/>
      <c r="F60" s="1044"/>
      <c r="G60" s="1043"/>
      <c r="H60" s="1043"/>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row r="94" spans="1:8" ht="14.25" x14ac:dyDescent="0.2">
      <c r="A94" s="1042"/>
      <c r="B94" s="1042"/>
      <c r="C94" s="1042"/>
      <c r="D94" s="1042"/>
      <c r="E94" s="1042"/>
      <c r="F94" s="1042"/>
      <c r="G94" s="1041"/>
      <c r="H94" s="1041"/>
    </row>
    <row r="95" spans="1:8" ht="14.25" x14ac:dyDescent="0.2">
      <c r="A95" s="1042"/>
      <c r="B95" s="1042"/>
      <c r="C95" s="1042"/>
      <c r="D95" s="1042"/>
      <c r="E95" s="1042"/>
      <c r="F95" s="1042"/>
      <c r="G95" s="1041"/>
      <c r="H95" s="1041"/>
    </row>
    <row r="96" spans="1:8" ht="14.25" x14ac:dyDescent="0.2">
      <c r="A96" s="1042"/>
      <c r="B96" s="1042"/>
      <c r="C96" s="1042"/>
      <c r="D96" s="1042"/>
      <c r="E96" s="1042"/>
      <c r="F96" s="1042"/>
      <c r="G96" s="1041"/>
      <c r="H96" s="1041"/>
    </row>
    <row r="97" spans="1:8" ht="14.25" x14ac:dyDescent="0.2">
      <c r="A97" s="1042"/>
      <c r="B97" s="1042"/>
      <c r="C97" s="1042"/>
      <c r="D97" s="1042"/>
      <c r="E97" s="1042"/>
      <c r="F97" s="1042"/>
      <c r="G97" s="1041"/>
      <c r="H97" s="1041"/>
    </row>
    <row r="98" spans="1:8" ht="14.25" x14ac:dyDescent="0.2">
      <c r="A98" s="1042"/>
      <c r="B98" s="1042"/>
      <c r="C98" s="1042"/>
      <c r="D98" s="1042"/>
      <c r="E98" s="1042"/>
      <c r="F98" s="1042"/>
      <c r="G98" s="1041"/>
      <c r="H98" s="1041"/>
    </row>
    <row r="99" spans="1:8" ht="14.25" x14ac:dyDescent="0.2">
      <c r="A99" s="1042"/>
      <c r="B99" s="1042"/>
      <c r="C99" s="1042"/>
      <c r="D99" s="1042"/>
      <c r="E99" s="1042"/>
      <c r="F99" s="1042"/>
      <c r="G99" s="1041"/>
      <c r="H99" s="1041"/>
    </row>
    <row r="100" spans="1:8" ht="14.25" x14ac:dyDescent="0.2">
      <c r="A100" s="1042"/>
      <c r="B100" s="1042"/>
      <c r="C100" s="1042"/>
      <c r="D100" s="1042"/>
      <c r="E100" s="1042"/>
      <c r="F100" s="1042"/>
      <c r="G100" s="1041"/>
      <c r="H100" s="1041"/>
    </row>
    <row r="101" spans="1:8" ht="14.25" x14ac:dyDescent="0.2">
      <c r="A101" s="1042"/>
      <c r="B101" s="1042"/>
      <c r="C101" s="1042"/>
      <c r="D101" s="1042"/>
      <c r="E101" s="1042"/>
      <c r="F101" s="1042"/>
      <c r="G101" s="1041"/>
      <c r="H101" s="1041"/>
    </row>
    <row r="102" spans="1:8" ht="14.25" x14ac:dyDescent="0.2">
      <c r="A102" s="1042"/>
      <c r="B102" s="1042"/>
      <c r="C102" s="1042"/>
      <c r="D102" s="1042"/>
      <c r="E102" s="1042"/>
      <c r="F102" s="1042"/>
      <c r="G102" s="1041"/>
      <c r="H102" s="1041"/>
    </row>
  </sheetData>
  <mergeCells count="8">
    <mergeCell ref="E26:E35"/>
    <mergeCell ref="G26:G35"/>
    <mergeCell ref="H26:H35"/>
    <mergeCell ref="A5:H5"/>
    <mergeCell ref="A24:B24"/>
    <mergeCell ref="C24:D25"/>
    <mergeCell ref="E24:H24"/>
    <mergeCell ref="A25:B25"/>
  </mergeCells>
  <pageMargins left="0.7" right="0.7" top="0.75" bottom="0.75" header="0.3" footer="0.3"/>
  <pageSetup scale="59" orientation="landscape" r:id="rId1"/>
  <headerFooter>
    <oddFooter>&amp;C&amp;1#&amp;"Calibri"&amp;12&amp;K008000Internal Use</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51">
    <tabColor theme="9" tint="0.39997558519241921"/>
    <pageSetUpPr fitToPage="1"/>
  </sheetPr>
  <dimension ref="A1:H106"/>
  <sheetViews>
    <sheetView topLeftCell="A35" zoomScaleNormal="100" workbookViewId="0">
      <selection activeCell="P44" sqref="P44"/>
    </sheetView>
  </sheetViews>
  <sheetFormatPr defaultRowHeight="12.75" x14ac:dyDescent="0.2"/>
  <cols>
    <col min="1" max="1" width="31.42578125" style="1039" customWidth="1"/>
    <col min="2" max="2" width="17.85546875" style="1039" customWidth="1"/>
    <col min="3" max="3" width="51.710937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382</v>
      </c>
      <c r="B1" s="1096"/>
    </row>
    <row r="2" spans="1:8" ht="18.75" x14ac:dyDescent="0.3">
      <c r="A2" s="1096" t="s">
        <v>381</v>
      </c>
      <c r="B2" s="1096"/>
    </row>
    <row r="3" spans="1:8" ht="12.75" customHeight="1" x14ac:dyDescent="0.2">
      <c r="A3" s="1095"/>
      <c r="B3" s="1095"/>
    </row>
    <row r="4" spans="1:8" ht="12.75" customHeight="1" x14ac:dyDescent="0.2">
      <c r="A4" s="1095"/>
      <c r="B4" s="1095"/>
    </row>
    <row r="5" spans="1:8" s="1089" customFormat="1" ht="12.75" customHeight="1" x14ac:dyDescent="0.25">
      <c r="A5" s="2960" t="s">
        <v>380</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378</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70</v>
      </c>
      <c r="B13" s="1083">
        <v>0.02</v>
      </c>
      <c r="C13" s="1085" t="e">
        <f t="shared" ref="C13:C19" si="0">$B$21*B13</f>
        <v>#REF!</v>
      </c>
      <c r="D13" s="1077"/>
    </row>
    <row r="14" spans="1:8" ht="15.75" x14ac:dyDescent="0.25">
      <c r="A14" s="1084">
        <v>80</v>
      </c>
      <c r="B14" s="1083">
        <v>0.03</v>
      </c>
      <c r="C14" s="1085" t="e">
        <f t="shared" si="0"/>
        <v>#REF!</v>
      </c>
      <c r="D14" s="1077"/>
    </row>
    <row r="15" spans="1:8" ht="15.75" x14ac:dyDescent="0.25">
      <c r="A15" s="1084">
        <v>90</v>
      </c>
      <c r="B15" s="1083">
        <v>0.04</v>
      </c>
      <c r="C15" s="1085" t="e">
        <f t="shared" si="0"/>
        <v>#REF!</v>
      </c>
      <c r="D15" s="1077"/>
    </row>
    <row r="16" spans="1:8" ht="15.75" x14ac:dyDescent="0.25">
      <c r="A16" s="1084">
        <v>100</v>
      </c>
      <c r="B16" s="1083">
        <v>0.05</v>
      </c>
      <c r="C16" s="1085" t="e">
        <f t="shared" si="0"/>
        <v>#REF!</v>
      </c>
      <c r="D16" s="1077"/>
    </row>
    <row r="17" spans="1:8" ht="15.75" x14ac:dyDescent="0.25">
      <c r="A17" s="1084">
        <v>110</v>
      </c>
      <c r="B17" s="1083">
        <v>0.06</v>
      </c>
      <c r="C17" s="1085" t="e">
        <f t="shared" si="0"/>
        <v>#REF!</v>
      </c>
      <c r="D17" s="1077"/>
    </row>
    <row r="18" spans="1:8" ht="15.75" x14ac:dyDescent="0.25">
      <c r="A18" s="1084">
        <v>120</v>
      </c>
      <c r="B18" s="1083">
        <v>7.0000000000000007E-2</v>
      </c>
      <c r="C18" s="1085" t="e">
        <f t="shared" si="0"/>
        <v>#REF!</v>
      </c>
      <c r="D18" s="1077"/>
    </row>
    <row r="19" spans="1:8" ht="15.75" customHeight="1" x14ac:dyDescent="0.25">
      <c r="A19" s="1084">
        <v>130</v>
      </c>
      <c r="B19" s="1083">
        <v>0.08</v>
      </c>
      <c r="C19" s="1085" t="e">
        <f t="shared" si="0"/>
        <v>#REF!</v>
      </c>
      <c r="D19" s="1077"/>
    </row>
    <row r="20" spans="1:8" ht="19.5" customHeight="1" x14ac:dyDescent="0.2">
      <c r="A20" s="1084"/>
      <c r="B20" s="1083"/>
      <c r="C20" s="1080"/>
      <c r="D20" s="1077"/>
    </row>
    <row r="21" spans="1:8" ht="19.5" customHeight="1" x14ac:dyDescent="0.25">
      <c r="A21" s="1082" t="s">
        <v>372</v>
      </c>
      <c r="B21" s="1081" t="e">
        <f>'CNG Table A'!#REF!-'CNG Table A'!#REF!-'CNG Table A'!#REF!</f>
        <v>#REF!</v>
      </c>
      <c r="C21" s="1080"/>
      <c r="D21" s="1077"/>
    </row>
    <row r="22" spans="1:8" ht="19.5" customHeight="1" x14ac:dyDescent="0.25">
      <c r="A22" s="1082"/>
      <c r="B22" s="1081"/>
      <c r="C22" s="1080"/>
      <c r="D22" s="1077"/>
    </row>
    <row r="23" spans="1:8" ht="19.5" customHeight="1" thickBot="1" x14ac:dyDescent="0.25">
      <c r="A23" s="1079" t="s">
        <v>371</v>
      </c>
      <c r="C23" s="1078"/>
      <c r="D23" s="1077"/>
    </row>
    <row r="24" spans="1:8" ht="19.5" customHeight="1" thickBot="1" x14ac:dyDescent="0.25">
      <c r="A24" s="2961"/>
      <c r="B24" s="2961"/>
      <c r="C24" s="2962" t="s">
        <v>370</v>
      </c>
      <c r="D24" s="2963"/>
      <c r="E24" s="2966" t="s">
        <v>369</v>
      </c>
      <c r="F24" s="2966"/>
      <c r="G24" s="2966"/>
      <c r="H24" s="2967"/>
    </row>
    <row r="25" spans="1:8" ht="31.5" customHeight="1" thickBot="1" x14ac:dyDescent="0.25">
      <c r="A25" s="2961"/>
      <c r="B25" s="2961"/>
      <c r="C25" s="2964"/>
      <c r="D25" s="2965"/>
      <c r="E25" s="1076" t="s">
        <v>368</v>
      </c>
      <c r="F25" s="1076" t="s">
        <v>367</v>
      </c>
      <c r="G25" s="1076" t="s">
        <v>366</v>
      </c>
      <c r="H25" s="1076" t="s">
        <v>365</v>
      </c>
    </row>
    <row r="26" spans="1:8" ht="30" customHeight="1" thickBot="1" x14ac:dyDescent="0.25">
      <c r="A26" s="1050" t="s">
        <v>364</v>
      </c>
      <c r="B26" s="1075" t="e">
        <f>'CNG Table A'!#REF!+'CNG Table A'!#REF!</f>
        <v>#REF!</v>
      </c>
      <c r="C26" s="1098" t="s">
        <v>383</v>
      </c>
      <c r="D26" s="1066"/>
      <c r="E26" s="2957" t="s">
        <v>363</v>
      </c>
      <c r="F26" s="1068" t="s">
        <v>362</v>
      </c>
      <c r="G26" s="2958">
        <v>0.5</v>
      </c>
      <c r="H26" s="2959" t="e">
        <f>+$C$16*G26</f>
        <v>#REF!</v>
      </c>
    </row>
    <row r="27" spans="1:8" ht="29.25" customHeight="1" x14ac:dyDescent="0.2">
      <c r="A27" s="1058"/>
      <c r="B27" s="1072"/>
      <c r="C27" s="1099" t="s">
        <v>283</v>
      </c>
      <c r="D27" s="1066">
        <f>'2013 Summary Table B '!N7</f>
        <v>4219270.3496548869</v>
      </c>
      <c r="E27" s="2957"/>
      <c r="F27" s="1074" t="s">
        <v>361</v>
      </c>
      <c r="G27" s="2958"/>
      <c r="H27" s="2959"/>
    </row>
    <row r="28" spans="1:8" ht="30" hidden="1" customHeight="1" x14ac:dyDescent="0.2">
      <c r="A28" s="1058"/>
      <c r="B28" s="1059"/>
      <c r="C28" s="1099" t="s">
        <v>149</v>
      </c>
      <c r="D28" s="1071"/>
      <c r="E28" s="2957"/>
      <c r="F28" s="1073">
        <v>8826015.5371230152</v>
      </c>
      <c r="G28" s="2958"/>
      <c r="H28" s="2959"/>
    </row>
    <row r="29" spans="1:8" ht="30" hidden="1" customHeight="1" x14ac:dyDescent="0.2">
      <c r="A29" s="1058"/>
      <c r="B29" s="1059"/>
      <c r="C29" s="1099" t="s">
        <v>227</v>
      </c>
      <c r="D29" s="1071"/>
      <c r="E29" s="2957"/>
      <c r="F29" s="1059"/>
      <c r="G29" s="2958"/>
      <c r="H29" s="2959"/>
    </row>
    <row r="30" spans="1:8" ht="30" hidden="1" customHeight="1" x14ac:dyDescent="0.2">
      <c r="A30" s="1058"/>
      <c r="B30" s="1059"/>
      <c r="C30" s="1099" t="s">
        <v>110</v>
      </c>
      <c r="D30" s="1071"/>
      <c r="E30" s="2957"/>
      <c r="F30" s="1059"/>
      <c r="G30" s="2958"/>
      <c r="H30" s="2959"/>
    </row>
    <row r="31" spans="1:8" ht="30" hidden="1" customHeight="1" x14ac:dyDescent="0.2">
      <c r="A31" s="1058"/>
      <c r="B31" s="1059"/>
      <c r="C31" s="1099"/>
      <c r="D31" s="1071"/>
      <c r="E31" s="2957"/>
      <c r="F31" s="1059"/>
      <c r="G31" s="2958"/>
      <c r="H31" s="2959"/>
    </row>
    <row r="32" spans="1:8" ht="30" customHeight="1" x14ac:dyDescent="0.2">
      <c r="A32" s="1058"/>
      <c r="B32" s="1059"/>
      <c r="C32" s="1099" t="s">
        <v>160</v>
      </c>
      <c r="D32" s="1071">
        <f>'2013 Summary Table B '!N11</f>
        <v>5032854.3741158796</v>
      </c>
      <c r="E32" s="2957"/>
      <c r="F32" s="1072">
        <f>D43</f>
        <v>10487828.867294019</v>
      </c>
      <c r="G32" s="2958"/>
      <c r="H32" s="2959"/>
    </row>
    <row r="33" spans="1:8" ht="30" customHeight="1" x14ac:dyDescent="0.2">
      <c r="A33" s="1058"/>
      <c r="B33" s="1059"/>
      <c r="C33" s="1099" t="s">
        <v>384</v>
      </c>
      <c r="D33" s="1071">
        <f>'2013 Summary Table B '!N15</f>
        <v>3003693.9613077268</v>
      </c>
      <c r="E33" s="2957"/>
      <c r="F33" s="1059"/>
      <c r="G33" s="2958"/>
      <c r="H33" s="2959"/>
    </row>
    <row r="34" spans="1:8" ht="30" customHeight="1" x14ac:dyDescent="0.2">
      <c r="A34" s="1058"/>
      <c r="B34" s="1059"/>
      <c r="C34" s="1099" t="s">
        <v>198</v>
      </c>
      <c r="D34" s="1071">
        <f>'2013 Summary Table B '!N19</f>
        <v>72828</v>
      </c>
      <c r="E34" s="2957"/>
      <c r="F34" s="1059"/>
      <c r="G34" s="2958"/>
      <c r="H34" s="2959"/>
    </row>
    <row r="35" spans="1:8" ht="30" customHeight="1" x14ac:dyDescent="0.2">
      <c r="A35" s="1058"/>
      <c r="B35" s="1059"/>
      <c r="C35" s="1099" t="s">
        <v>199</v>
      </c>
      <c r="D35" s="1071">
        <f>'2013 Summary Table B '!N26</f>
        <v>3013291.3310582852</v>
      </c>
      <c r="E35" s="2957"/>
      <c r="F35" s="1070"/>
      <c r="G35" s="2958"/>
      <c r="H35" s="2959"/>
    </row>
    <row r="36" spans="1:8" ht="30" customHeight="1" x14ac:dyDescent="0.2">
      <c r="A36" s="1058"/>
      <c r="B36" s="1059"/>
      <c r="C36" s="1099" t="s">
        <v>200</v>
      </c>
      <c r="D36" s="1071">
        <f>'2013 Summary Table B '!N31</f>
        <v>2514969.8078974234</v>
      </c>
      <c r="E36" s="2957"/>
      <c r="F36" s="1070"/>
      <c r="G36" s="2958"/>
      <c r="H36" s="2959"/>
    </row>
    <row r="37" spans="1:8" ht="30" customHeight="1" x14ac:dyDescent="0.2">
      <c r="A37" s="1058"/>
      <c r="B37" s="1059"/>
      <c r="C37" s="1099" t="s">
        <v>385</v>
      </c>
      <c r="D37" s="1071">
        <f>'2013 Summary Table B '!N35</f>
        <v>248829.31426736439</v>
      </c>
      <c r="E37" s="2957"/>
      <c r="F37" s="1070"/>
      <c r="G37" s="2958"/>
      <c r="H37" s="2959"/>
    </row>
    <row r="38" spans="1:8" ht="30" customHeight="1" x14ac:dyDescent="0.2">
      <c r="A38" s="1058"/>
      <c r="B38" s="1059"/>
      <c r="C38" s="1099" t="s">
        <v>245</v>
      </c>
      <c r="D38" s="1071">
        <f>'2013 Summary Table B '!N39</f>
        <v>310906.5630722199</v>
      </c>
      <c r="E38" s="2957"/>
      <c r="F38" s="1070"/>
      <c r="G38" s="2958"/>
      <c r="H38" s="2959"/>
    </row>
    <row r="39" spans="1:8" ht="30" customHeight="1" x14ac:dyDescent="0.25">
      <c r="A39" s="1058"/>
      <c r="B39" s="1069"/>
      <c r="C39" s="1098" t="s">
        <v>386</v>
      </c>
      <c r="D39" s="1066">
        <f>SUM(D27:D38)</f>
        <v>18416643.701373786</v>
      </c>
      <c r="E39" s="2957"/>
      <c r="F39" s="1044"/>
      <c r="G39" s="2958"/>
      <c r="H39" s="2959"/>
    </row>
    <row r="40" spans="1:8" ht="11.25" customHeight="1" x14ac:dyDescent="0.25">
      <c r="A40" s="1058"/>
      <c r="B40" s="1069"/>
      <c r="C40" s="1097"/>
      <c r="D40" s="1066"/>
      <c r="E40" s="1068"/>
      <c r="F40" s="1044"/>
      <c r="G40" s="1067"/>
      <c r="H40" s="1057"/>
    </row>
    <row r="41" spans="1:8" ht="30" customHeight="1" x14ac:dyDescent="0.25">
      <c r="A41" s="1062"/>
      <c r="B41" s="1059"/>
      <c r="C41" s="1098" t="s">
        <v>387</v>
      </c>
      <c r="D41" s="1065">
        <f>'2013 Summary Table B '!F70/'2013 Summary Table B '!N70</f>
        <v>0.56947558074936755</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361</v>
      </c>
      <c r="D43" s="1060">
        <f>D39*D41</f>
        <v>10487828.867294019</v>
      </c>
      <c r="E43" s="1059"/>
      <c r="F43" s="1044"/>
      <c r="G43" s="1058"/>
      <c r="H43" s="1057"/>
    </row>
    <row r="44" spans="1:8" ht="31.5" customHeight="1" thickBot="1" x14ac:dyDescent="0.3">
      <c r="A44" s="1051"/>
      <c r="B44" s="1056"/>
      <c r="C44" s="1101" t="s">
        <v>360</v>
      </c>
      <c r="D44" s="1102" t="e">
        <f>D43-B26</f>
        <v>#REF!</v>
      </c>
      <c r="E44" s="1055"/>
      <c r="F44" s="1054" t="e">
        <f>D44</f>
        <v>#REF!</v>
      </c>
      <c r="G44" s="1053">
        <v>0.5</v>
      </c>
      <c r="H44" s="1052" t="e">
        <f>+$C$16*G44</f>
        <v>#REF!</v>
      </c>
    </row>
    <row r="45" spans="1:8" ht="15.75" thickBot="1" x14ac:dyDescent="0.3">
      <c r="A45" s="1050" t="s">
        <v>359</v>
      </c>
      <c r="B45" s="1056"/>
      <c r="C45" s="1103"/>
      <c r="D45" s="1104"/>
      <c r="E45" s="1100"/>
      <c r="F45" s="1049"/>
      <c r="G45" s="1048">
        <f>SUM(G26:G44)</f>
        <v>1</v>
      </c>
      <c r="H45" s="1047" t="e">
        <f>SUM(H26:H44)</f>
        <v>#REF!</v>
      </c>
    </row>
    <row r="46" spans="1:8" ht="12.75" customHeight="1" x14ac:dyDescent="0.25">
      <c r="A46" s="1044"/>
      <c r="B46" s="1044"/>
      <c r="C46" s="1044"/>
      <c r="D46" s="1044"/>
      <c r="E46" s="1044"/>
      <c r="F46" s="1044"/>
      <c r="G46" s="1046" t="s">
        <v>3</v>
      </c>
      <c r="H46" s="1043"/>
    </row>
    <row r="47" spans="1:8" ht="15" x14ac:dyDescent="0.25">
      <c r="A47" s="1044"/>
      <c r="B47" s="1044"/>
      <c r="C47" s="1044"/>
      <c r="D47" s="1044"/>
      <c r="E47" s="1044"/>
      <c r="F47" s="1044"/>
      <c r="G47" s="1043"/>
      <c r="H47" s="1043"/>
    </row>
    <row r="48" spans="1:8" ht="84" customHeight="1" x14ac:dyDescent="0.25">
      <c r="A48" s="1044"/>
      <c r="B48" s="1044"/>
      <c r="C48" s="1044"/>
      <c r="D48" s="1044"/>
      <c r="E48" s="1044"/>
      <c r="F48" s="1044"/>
      <c r="G48" s="1045"/>
      <c r="H48" s="1043"/>
    </row>
    <row r="49" spans="1:8" ht="34.5" customHeight="1" x14ac:dyDescent="0.25">
      <c r="A49" s="1044"/>
      <c r="B49" s="1044"/>
      <c r="C49" s="1044"/>
      <c r="D49" s="1044"/>
      <c r="E49" s="1044"/>
      <c r="F49" s="1044"/>
      <c r="G49" s="1043"/>
      <c r="H49" s="1043"/>
    </row>
    <row r="50" spans="1:8" ht="15" x14ac:dyDescent="0.25">
      <c r="A50" s="1044"/>
      <c r="B50" s="1044"/>
      <c r="C50" s="1044"/>
      <c r="D50" s="1044"/>
      <c r="E50" s="1044"/>
      <c r="F50" s="1044"/>
      <c r="G50" s="1043"/>
      <c r="H50" s="1043"/>
    </row>
    <row r="51" spans="1:8" ht="15" x14ac:dyDescent="0.25">
      <c r="A51" s="1044"/>
      <c r="B51" s="1044"/>
      <c r="C51" s="1044"/>
      <c r="D51" s="1044"/>
      <c r="E51" s="1044"/>
      <c r="F51" s="1044"/>
      <c r="G51" s="1043"/>
      <c r="H51" s="1043"/>
    </row>
    <row r="52" spans="1:8" ht="15" x14ac:dyDescent="0.25">
      <c r="A52" s="1044"/>
      <c r="B52" s="1044"/>
      <c r="C52" s="1044"/>
      <c r="D52" s="1044"/>
      <c r="E52" s="1044"/>
      <c r="F52" s="1044"/>
      <c r="G52" s="1043"/>
      <c r="H52" s="1043"/>
    </row>
    <row r="53" spans="1:8" ht="15" x14ac:dyDescent="0.25">
      <c r="A53" s="1044"/>
      <c r="B53" s="1044"/>
      <c r="C53" s="1044"/>
      <c r="D53" s="1044"/>
      <c r="E53" s="1044"/>
      <c r="F53" s="1044"/>
      <c r="G53" s="1043"/>
      <c r="H53" s="1043"/>
    </row>
    <row r="54" spans="1:8" ht="15" x14ac:dyDescent="0.25">
      <c r="A54" s="1044"/>
      <c r="B54" s="1044"/>
      <c r="C54" s="1044"/>
      <c r="D54" s="1044"/>
      <c r="E54" s="1044"/>
      <c r="F54" s="1044"/>
      <c r="G54" s="1043"/>
      <c r="H54" s="1043"/>
    </row>
    <row r="55" spans="1:8" ht="15" x14ac:dyDescent="0.25">
      <c r="A55" s="1044"/>
      <c r="B55" s="1044"/>
      <c r="C55" s="1044"/>
      <c r="D55" s="1044"/>
      <c r="E55" s="1044"/>
      <c r="F55" s="1044"/>
      <c r="G55" s="1043"/>
      <c r="H55" s="1043"/>
    </row>
    <row r="56" spans="1:8" ht="15" x14ac:dyDescent="0.25">
      <c r="A56" s="1044"/>
      <c r="B56" s="1044"/>
      <c r="C56" s="1044"/>
      <c r="D56" s="1044"/>
      <c r="E56" s="1044"/>
      <c r="F56" s="1044"/>
      <c r="G56" s="1043"/>
      <c r="H56" s="1043"/>
    </row>
    <row r="57" spans="1:8" ht="15" x14ac:dyDescent="0.25">
      <c r="A57" s="1044"/>
      <c r="B57" s="1044"/>
      <c r="C57" s="1044"/>
      <c r="D57" s="1044"/>
      <c r="E57" s="1044"/>
      <c r="F57" s="1044"/>
      <c r="G57" s="1043"/>
      <c r="H57" s="1043"/>
    </row>
    <row r="58" spans="1:8" ht="15" x14ac:dyDescent="0.25">
      <c r="A58" s="1044"/>
      <c r="B58" s="1044"/>
      <c r="C58" s="1044"/>
      <c r="D58" s="1044"/>
      <c r="E58" s="1044"/>
      <c r="F58" s="1044"/>
      <c r="G58" s="1043"/>
      <c r="H58" s="1043"/>
    </row>
    <row r="59" spans="1:8" ht="15" x14ac:dyDescent="0.25">
      <c r="A59" s="1044"/>
      <c r="B59" s="1044"/>
      <c r="C59" s="1044"/>
      <c r="D59" s="1044"/>
      <c r="E59" s="1044"/>
      <c r="F59" s="1044"/>
      <c r="G59" s="1043"/>
      <c r="H59" s="1043"/>
    </row>
    <row r="60" spans="1:8" ht="15" x14ac:dyDescent="0.25">
      <c r="A60" s="1044"/>
      <c r="B60" s="1044"/>
      <c r="C60" s="1044"/>
      <c r="D60" s="1044"/>
      <c r="E60" s="1044"/>
      <c r="F60" s="1044"/>
      <c r="G60" s="1043"/>
      <c r="H60" s="1043"/>
    </row>
    <row r="61" spans="1:8" ht="15" x14ac:dyDescent="0.25">
      <c r="A61" s="1044"/>
      <c r="B61" s="1044"/>
      <c r="C61" s="1044"/>
      <c r="D61" s="1044"/>
      <c r="E61" s="1044"/>
      <c r="F61" s="1044"/>
      <c r="G61" s="1043"/>
      <c r="H61" s="1043"/>
    </row>
    <row r="62" spans="1:8" ht="15" x14ac:dyDescent="0.25">
      <c r="A62" s="1044"/>
      <c r="B62" s="1044"/>
      <c r="C62" s="1044"/>
      <c r="D62" s="1044"/>
      <c r="E62" s="1044"/>
      <c r="F62" s="1044"/>
      <c r="G62" s="1043"/>
      <c r="H62" s="1043"/>
    </row>
    <row r="63" spans="1:8" ht="15" x14ac:dyDescent="0.25">
      <c r="A63" s="1044"/>
      <c r="B63" s="1044"/>
      <c r="C63" s="1044"/>
      <c r="D63" s="1044"/>
      <c r="E63" s="1044"/>
      <c r="F63" s="1044"/>
      <c r="G63" s="1043"/>
      <c r="H63" s="1043"/>
    </row>
    <row r="64" spans="1:8" ht="15" x14ac:dyDescent="0.25">
      <c r="A64" s="1044"/>
      <c r="B64" s="1044"/>
      <c r="C64" s="1044"/>
      <c r="D64" s="1044"/>
      <c r="E64" s="1044"/>
      <c r="F64" s="1044"/>
      <c r="G64" s="1043"/>
      <c r="H64" s="1043"/>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row r="94" spans="1:8" ht="14.25" x14ac:dyDescent="0.2">
      <c r="A94" s="1042"/>
      <c r="B94" s="1042"/>
      <c r="C94" s="1042"/>
      <c r="D94" s="1042"/>
      <c r="E94" s="1042"/>
      <c r="F94" s="1042"/>
      <c r="G94" s="1041"/>
      <c r="H94" s="1041"/>
    </row>
    <row r="95" spans="1:8" ht="14.25" x14ac:dyDescent="0.2">
      <c r="A95" s="1042"/>
      <c r="B95" s="1042"/>
      <c r="C95" s="1042"/>
      <c r="D95" s="1042"/>
      <c r="E95" s="1042"/>
      <c r="F95" s="1042"/>
      <c r="G95" s="1041"/>
      <c r="H95" s="1041"/>
    </row>
    <row r="96" spans="1:8" ht="14.25" x14ac:dyDescent="0.2">
      <c r="A96" s="1042"/>
      <c r="B96" s="1042"/>
      <c r="C96" s="1042"/>
      <c r="D96" s="1042"/>
      <c r="E96" s="1042"/>
      <c r="F96" s="1042"/>
      <c r="G96" s="1041"/>
      <c r="H96" s="1041"/>
    </row>
    <row r="97" spans="1:8" ht="14.25" x14ac:dyDescent="0.2">
      <c r="A97" s="1042"/>
      <c r="B97" s="1042"/>
      <c r="C97" s="1042"/>
      <c r="D97" s="1042"/>
      <c r="E97" s="1042"/>
      <c r="F97" s="1042"/>
      <c r="G97" s="1041"/>
      <c r="H97" s="1041"/>
    </row>
    <row r="98" spans="1:8" ht="14.25" x14ac:dyDescent="0.2">
      <c r="A98" s="1042"/>
      <c r="B98" s="1042"/>
      <c r="C98" s="1042"/>
      <c r="D98" s="1042"/>
      <c r="E98" s="1042"/>
      <c r="F98" s="1042"/>
      <c r="G98" s="1041"/>
      <c r="H98" s="1041"/>
    </row>
    <row r="99" spans="1:8" ht="14.25" x14ac:dyDescent="0.2">
      <c r="A99" s="1042"/>
      <c r="B99" s="1042"/>
      <c r="C99" s="1042"/>
      <c r="D99" s="1042"/>
      <c r="E99" s="1042"/>
      <c r="F99" s="1042"/>
      <c r="G99" s="1041"/>
      <c r="H99" s="1041"/>
    </row>
    <row r="100" spans="1:8" ht="14.25" x14ac:dyDescent="0.2">
      <c r="A100" s="1042"/>
      <c r="B100" s="1042"/>
      <c r="C100" s="1042"/>
      <c r="D100" s="1042"/>
      <c r="E100" s="1042"/>
      <c r="F100" s="1042"/>
      <c r="G100" s="1041"/>
      <c r="H100" s="1041"/>
    </row>
    <row r="101" spans="1:8" ht="14.25" x14ac:dyDescent="0.2">
      <c r="A101" s="1042"/>
      <c r="B101" s="1042"/>
      <c r="C101" s="1042"/>
      <c r="D101" s="1042"/>
      <c r="E101" s="1042"/>
      <c r="F101" s="1042"/>
      <c r="G101" s="1041"/>
      <c r="H101" s="1041"/>
    </row>
    <row r="102" spans="1:8" ht="14.25" x14ac:dyDescent="0.2">
      <c r="A102" s="1042"/>
      <c r="B102" s="1042"/>
      <c r="C102" s="1042"/>
      <c r="D102" s="1042"/>
      <c r="E102" s="1042"/>
      <c r="F102" s="1042"/>
      <c r="G102" s="1041"/>
      <c r="H102" s="1041"/>
    </row>
    <row r="103" spans="1:8" ht="14.25" x14ac:dyDescent="0.2">
      <c r="A103" s="1042"/>
      <c r="B103" s="1042"/>
      <c r="C103" s="1042"/>
      <c r="D103" s="1042"/>
      <c r="E103" s="1042"/>
      <c r="F103" s="1042"/>
      <c r="G103" s="1041"/>
      <c r="H103" s="1041"/>
    </row>
    <row r="104" spans="1:8" ht="14.25" x14ac:dyDescent="0.2">
      <c r="A104" s="1042"/>
      <c r="B104" s="1042"/>
      <c r="C104" s="1042"/>
      <c r="D104" s="1042"/>
      <c r="E104" s="1042"/>
      <c r="F104" s="1042"/>
      <c r="G104" s="1041"/>
      <c r="H104" s="1041"/>
    </row>
    <row r="105" spans="1:8" ht="14.25" x14ac:dyDescent="0.2">
      <c r="A105" s="1042"/>
      <c r="B105" s="1042"/>
      <c r="C105" s="1042"/>
      <c r="D105" s="1042"/>
      <c r="E105" s="1042"/>
      <c r="F105" s="1042"/>
      <c r="G105" s="1041"/>
      <c r="H105" s="1041"/>
    </row>
    <row r="106" spans="1:8" ht="14.25" x14ac:dyDescent="0.2">
      <c r="A106" s="1042"/>
      <c r="B106" s="1042"/>
      <c r="C106" s="1042"/>
      <c r="D106" s="1042"/>
      <c r="E106" s="1042"/>
      <c r="F106" s="1042"/>
      <c r="G106" s="1041"/>
      <c r="H106" s="1041"/>
    </row>
  </sheetData>
  <mergeCells count="8">
    <mergeCell ref="E26:E39"/>
    <mergeCell ref="G26:G39"/>
    <mergeCell ref="H26:H39"/>
    <mergeCell ref="A5:H5"/>
    <mergeCell ref="A24:B24"/>
    <mergeCell ref="C24:D25"/>
    <mergeCell ref="E24:H24"/>
    <mergeCell ref="A25:B25"/>
  </mergeCells>
  <printOptions horizontalCentered="1"/>
  <pageMargins left="0.5" right="0.5" top="0.75" bottom="0.75" header="0.5" footer="0.25"/>
  <pageSetup scale="57" orientation="landscape" r:id="rId1"/>
  <headerFooter alignWithMargins="0">
    <oddFooter>&amp;C&amp;1#&amp;"Calibri"&amp;12&amp;K008000Internal Use</oddFooter>
  </headerFooter>
  <rowBreaks count="1" manualBreakCount="1">
    <brk id="23" max="7"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7">
    <tabColor theme="9" tint="0.39997558519241921"/>
    <pageSetUpPr fitToPage="1"/>
  </sheetPr>
  <dimension ref="A1:H91"/>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382</v>
      </c>
      <c r="B1" s="1096"/>
    </row>
    <row r="2" spans="1:8" ht="18.75" x14ac:dyDescent="0.3">
      <c r="A2" s="1096" t="s">
        <v>388</v>
      </c>
      <c r="B2" s="1096"/>
    </row>
    <row r="3" spans="1:8" ht="12.75" customHeight="1" x14ac:dyDescent="0.2">
      <c r="A3" s="1095"/>
      <c r="B3" s="1095"/>
    </row>
    <row r="4" spans="1:8" ht="12.75" customHeight="1" x14ac:dyDescent="0.2">
      <c r="A4" s="1095"/>
      <c r="B4" s="1095"/>
    </row>
    <row r="5" spans="1:8" s="1089" customFormat="1" ht="12.75" customHeight="1" x14ac:dyDescent="0.25">
      <c r="A5" s="2960" t="s">
        <v>389</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378</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75</v>
      </c>
      <c r="B13" s="2086">
        <v>2.5000000000000001E-2</v>
      </c>
      <c r="C13" s="1085" t="e">
        <f t="shared" ref="C13:C19" si="0">$B$21*B13</f>
        <v>#REF!</v>
      </c>
      <c r="D13" s="1077"/>
    </row>
    <row r="14" spans="1:8" ht="15.75" x14ac:dyDescent="0.25">
      <c r="A14" s="1084">
        <v>80</v>
      </c>
      <c r="B14" s="2086">
        <v>0.03</v>
      </c>
      <c r="C14" s="1085" t="e">
        <f t="shared" si="0"/>
        <v>#REF!</v>
      </c>
      <c r="D14" s="1077"/>
    </row>
    <row r="15" spans="1:8" ht="15.75" x14ac:dyDescent="0.25">
      <c r="A15" s="1084">
        <v>90</v>
      </c>
      <c r="B15" s="2086">
        <v>0.04</v>
      </c>
      <c r="C15" s="1085" t="e">
        <f t="shared" si="0"/>
        <v>#REF!</v>
      </c>
      <c r="D15" s="1077"/>
    </row>
    <row r="16" spans="1:8" ht="15.75" x14ac:dyDescent="0.25">
      <c r="A16" s="1084">
        <v>100</v>
      </c>
      <c r="B16" s="2086">
        <v>0.05</v>
      </c>
      <c r="C16" s="1085" t="e">
        <f t="shared" si="0"/>
        <v>#REF!</v>
      </c>
      <c r="D16" s="1077"/>
    </row>
    <row r="17" spans="1:8" ht="15.75" x14ac:dyDescent="0.25">
      <c r="A17" s="1084">
        <v>110</v>
      </c>
      <c r="B17" s="2086">
        <v>0.06</v>
      </c>
      <c r="C17" s="1085" t="e">
        <f t="shared" si="0"/>
        <v>#REF!</v>
      </c>
      <c r="D17" s="1077"/>
    </row>
    <row r="18" spans="1:8" ht="15.75" x14ac:dyDescent="0.25">
      <c r="A18" s="1084">
        <v>120</v>
      </c>
      <c r="B18" s="2086">
        <v>7.0000000000000007E-2</v>
      </c>
      <c r="C18" s="1085" t="e">
        <f t="shared" si="0"/>
        <v>#REF!</v>
      </c>
      <c r="D18" s="1077"/>
    </row>
    <row r="19" spans="1:8" ht="15.75" customHeight="1" x14ac:dyDescent="0.25">
      <c r="A19" s="1084">
        <v>130</v>
      </c>
      <c r="B19" s="2086">
        <v>0.08</v>
      </c>
      <c r="C19" s="1085" t="e">
        <f t="shared" si="0"/>
        <v>#REF!</v>
      </c>
      <c r="D19" s="1077"/>
    </row>
    <row r="20" spans="1:8" ht="19.5" customHeight="1" x14ac:dyDescent="0.2">
      <c r="A20" s="1084"/>
      <c r="B20" s="1083"/>
      <c r="C20" s="1080"/>
      <c r="D20" s="1077"/>
    </row>
    <row r="21" spans="1:8" ht="19.5" customHeight="1" x14ac:dyDescent="0.25">
      <c r="A21" s="1082" t="s">
        <v>372</v>
      </c>
      <c r="B21" s="1081" t="e">
        <f>'CNG Table A'!#REF!-'CNG Table A'!#REF!-'CNG Table A'!#REF!-'CNG Table A'!#REF!</f>
        <v>#REF!</v>
      </c>
      <c r="C21" s="1080"/>
      <c r="D21" s="1077"/>
    </row>
    <row r="22" spans="1:8" ht="19.5" customHeight="1" x14ac:dyDescent="0.25">
      <c r="A22" s="1082"/>
      <c r="B22" s="1081"/>
      <c r="C22" s="1080"/>
      <c r="D22" s="1077"/>
    </row>
    <row r="23" spans="1:8" ht="19.5" customHeight="1" thickBot="1" x14ac:dyDescent="0.25">
      <c r="A23" s="1079" t="s">
        <v>371</v>
      </c>
      <c r="C23" s="1078"/>
      <c r="D23" s="1077"/>
    </row>
    <row r="24" spans="1:8" ht="19.5" customHeight="1" thickBot="1" x14ac:dyDescent="0.25">
      <c r="A24" s="2968" t="s">
        <v>502</v>
      </c>
      <c r="B24" s="2969"/>
      <c r="C24" s="2962" t="s">
        <v>370</v>
      </c>
      <c r="D24" s="2963"/>
      <c r="E24" s="2966" t="s">
        <v>369</v>
      </c>
      <c r="F24" s="2966"/>
      <c r="G24" s="2966"/>
      <c r="H24" s="2967"/>
    </row>
    <row r="25" spans="1:8" ht="31.5" customHeight="1" thickBot="1" x14ac:dyDescent="0.25">
      <c r="A25" s="2970" t="s">
        <v>79</v>
      </c>
      <c r="B25" s="2971"/>
      <c r="C25" s="2964"/>
      <c r="D25" s="2965"/>
      <c r="E25" s="2083" t="s">
        <v>368</v>
      </c>
      <c r="F25" s="2083" t="s">
        <v>367</v>
      </c>
      <c r="G25" s="2083" t="s">
        <v>366</v>
      </c>
      <c r="H25" s="2083" t="s">
        <v>365</v>
      </c>
    </row>
    <row r="26" spans="1:8" ht="30" customHeight="1" thickBot="1" x14ac:dyDescent="0.25">
      <c r="A26" s="1050" t="s">
        <v>500</v>
      </c>
      <c r="B26" s="1075" t="e">
        <f>'CNG Table A'!#REF!</f>
        <v>#REF!</v>
      </c>
      <c r="C26" s="1098" t="s">
        <v>383</v>
      </c>
      <c r="D26" s="1066"/>
      <c r="E26" s="2957" t="s">
        <v>535</v>
      </c>
      <c r="F26" s="1068" t="s">
        <v>536</v>
      </c>
      <c r="G26" s="2958">
        <v>0.19500000000000001</v>
      </c>
      <c r="H26" s="2959" t="e">
        <f>+$C$16*G26</f>
        <v>#REF!</v>
      </c>
    </row>
    <row r="27" spans="1:8" ht="29.25" customHeight="1" x14ac:dyDescent="0.2">
      <c r="A27" s="1058"/>
      <c r="B27" s="1072"/>
      <c r="C27" s="1099" t="s">
        <v>283</v>
      </c>
      <c r="D27" s="1066">
        <f>'2014 Summary Table B '!N8</f>
        <v>6706838.9098477773</v>
      </c>
      <c r="E27" s="2957"/>
      <c r="F27" s="1072">
        <f>D39</f>
        <v>17147764.864201378</v>
      </c>
      <c r="G27" s="2958"/>
      <c r="H27" s="2959"/>
    </row>
    <row r="28" spans="1:8" ht="30" hidden="1" customHeight="1" x14ac:dyDescent="0.2">
      <c r="A28" s="1058"/>
      <c r="B28" s="1059"/>
      <c r="C28" s="1099" t="s">
        <v>149</v>
      </c>
      <c r="D28" s="1071"/>
      <c r="E28" s="2957"/>
      <c r="F28" s="1073">
        <v>8826015.5371230152</v>
      </c>
      <c r="G28" s="2958"/>
      <c r="H28" s="2959"/>
    </row>
    <row r="29" spans="1:8" ht="30" hidden="1" customHeight="1" x14ac:dyDescent="0.2">
      <c r="A29" s="1058"/>
      <c r="B29" s="1059"/>
      <c r="C29" s="1099" t="s">
        <v>227</v>
      </c>
      <c r="D29" s="1071"/>
      <c r="E29" s="2957"/>
      <c r="F29" s="1059"/>
      <c r="G29" s="2958"/>
      <c r="H29" s="2959"/>
    </row>
    <row r="30" spans="1:8" ht="30" hidden="1" customHeight="1" x14ac:dyDescent="0.2">
      <c r="A30" s="1058"/>
      <c r="B30" s="1059"/>
      <c r="C30" s="1099" t="s">
        <v>110</v>
      </c>
      <c r="D30" s="1071"/>
      <c r="E30" s="2957"/>
      <c r="F30" s="1059"/>
      <c r="G30" s="2958"/>
      <c r="H30" s="2959"/>
    </row>
    <row r="31" spans="1:8" ht="30" hidden="1" customHeight="1" x14ac:dyDescent="0.2">
      <c r="A31" s="1058"/>
      <c r="B31" s="1059"/>
      <c r="C31" s="1099"/>
      <c r="D31" s="1071"/>
      <c r="E31" s="2957"/>
      <c r="F31" s="1059"/>
      <c r="G31" s="2958"/>
      <c r="H31" s="2959"/>
    </row>
    <row r="32" spans="1:8" ht="30" customHeight="1" x14ac:dyDescent="0.2">
      <c r="A32" s="1058"/>
      <c r="B32" s="1059"/>
      <c r="C32" s="1099" t="s">
        <v>160</v>
      </c>
      <c r="D32" s="1071">
        <f>'2014 Summary Table B '!N12</f>
        <v>12358649.234807389</v>
      </c>
      <c r="E32" s="2957"/>
      <c r="G32" s="2958"/>
      <c r="H32" s="2959"/>
    </row>
    <row r="33" spans="1:8" ht="30" customHeight="1" x14ac:dyDescent="0.2">
      <c r="A33" s="1058"/>
      <c r="B33" s="1059"/>
      <c r="C33" s="1099" t="s">
        <v>384</v>
      </c>
      <c r="D33" s="1071">
        <f>'2014 Summary Table B '!N17</f>
        <v>1382276.8997023809</v>
      </c>
      <c r="E33" s="2957"/>
      <c r="F33" s="1059"/>
      <c r="G33" s="2958"/>
      <c r="H33" s="2959"/>
    </row>
    <row r="34" spans="1:8" ht="30" customHeight="1" x14ac:dyDescent="0.2">
      <c r="A34" s="1058"/>
      <c r="B34" s="1059"/>
      <c r="C34" s="1099" t="s">
        <v>198</v>
      </c>
      <c r="D34" s="1071">
        <f>'2014 Summary Table B '!N21</f>
        <v>936670.74450904946</v>
      </c>
      <c r="E34" s="2957"/>
      <c r="F34" s="1059"/>
      <c r="G34" s="2958"/>
      <c r="H34" s="2959"/>
    </row>
    <row r="35" spans="1:8" ht="30" customHeight="1" x14ac:dyDescent="0.25">
      <c r="A35" s="1058"/>
      <c r="B35" s="1069"/>
      <c r="C35" s="1098" t="s">
        <v>386</v>
      </c>
      <c r="D35" s="1066">
        <f>SUM(D27:D34)</f>
        <v>21384435.788866598</v>
      </c>
      <c r="E35" s="2957"/>
      <c r="F35" s="1044"/>
      <c r="G35" s="2958"/>
      <c r="H35" s="2959"/>
    </row>
    <row r="36" spans="1:8" ht="12.75" customHeight="1" x14ac:dyDescent="0.25">
      <c r="A36" s="1058"/>
      <c r="B36" s="1069"/>
      <c r="C36" s="1097"/>
      <c r="D36" s="1066"/>
      <c r="E36" s="1068"/>
      <c r="F36" s="1044"/>
      <c r="G36" s="1067"/>
      <c r="H36" s="1057"/>
    </row>
    <row r="37" spans="1:8" ht="30" customHeight="1" x14ac:dyDescent="0.25">
      <c r="A37" s="1062"/>
      <c r="B37" s="1059"/>
      <c r="C37" s="1098" t="s">
        <v>387</v>
      </c>
      <c r="D37" s="1065">
        <v>0.80188063101150597</v>
      </c>
      <c r="E37" s="1059"/>
      <c r="F37" s="1044"/>
      <c r="G37" s="1058"/>
      <c r="H37" s="1057"/>
    </row>
    <row r="38" spans="1:8" ht="12" customHeight="1" x14ac:dyDescent="0.25">
      <c r="A38" s="1062"/>
      <c r="B38" s="1059"/>
      <c r="C38" s="1061"/>
      <c r="D38" s="1064"/>
      <c r="E38" s="1063"/>
      <c r="F38" s="1044"/>
      <c r="G38" s="1058"/>
      <c r="H38" s="1057"/>
    </row>
    <row r="39" spans="1:8" ht="30" customHeight="1" thickBot="1" x14ac:dyDescent="0.3">
      <c r="A39" s="1062"/>
      <c r="B39" s="1059"/>
      <c r="C39" s="1061" t="s">
        <v>533</v>
      </c>
      <c r="D39" s="1060">
        <f>D35*D37</f>
        <v>17147764.864201378</v>
      </c>
      <c r="E39" s="1059"/>
      <c r="F39" s="1044"/>
      <c r="G39" s="1058"/>
      <c r="H39" s="1057"/>
    </row>
    <row r="40" spans="1:8" ht="31.5" customHeight="1" thickBot="1" x14ac:dyDescent="0.3">
      <c r="A40" s="1051"/>
      <c r="B40" s="1056"/>
      <c r="C40" s="2169" t="s">
        <v>534</v>
      </c>
      <c r="D40" s="2098" t="e">
        <f>D39-B26</f>
        <v>#REF!</v>
      </c>
      <c r="E40" s="1055"/>
      <c r="F40" s="1054" t="e">
        <f>D40</f>
        <v>#REF!</v>
      </c>
      <c r="G40" s="1053">
        <v>0.19500000000000001</v>
      </c>
      <c r="H40" s="1052" t="e">
        <f>+$C$16*G40</f>
        <v>#REF!</v>
      </c>
    </row>
    <row r="41" spans="1:8" ht="44.25" customHeight="1" thickBot="1" x14ac:dyDescent="0.25">
      <c r="A41" s="2096" t="s">
        <v>198</v>
      </c>
      <c r="B41" s="2097" t="e">
        <f>'2014 Summary Table B '!C21</f>
        <v>#REF!</v>
      </c>
      <c r="C41" s="2973" t="s">
        <v>541</v>
      </c>
      <c r="D41" s="2974"/>
      <c r="E41" s="2166" t="s">
        <v>503</v>
      </c>
      <c r="F41" s="2099">
        <v>300</v>
      </c>
      <c r="G41" s="2094">
        <v>0.01</v>
      </c>
      <c r="H41" s="2095" t="e">
        <f>+$C$16*G41</f>
        <v>#REF!</v>
      </c>
    </row>
    <row r="42" spans="1:8" ht="44.25" customHeight="1" thickBot="1" x14ac:dyDescent="0.25">
      <c r="A42" s="2096" t="s">
        <v>504</v>
      </c>
      <c r="B42" s="2097" t="e">
        <f>'2014 Summary Table B '!C12</f>
        <v>#REF!</v>
      </c>
      <c r="C42" s="2973" t="s">
        <v>516</v>
      </c>
      <c r="D42" s="2974"/>
      <c r="E42" s="2167" t="s">
        <v>517</v>
      </c>
      <c r="F42" s="2164">
        <v>116.6</v>
      </c>
      <c r="G42" s="2094">
        <v>0.05</v>
      </c>
      <c r="H42" s="2095" t="e">
        <f>+$C$16*G42</f>
        <v>#REF!</v>
      </c>
    </row>
    <row r="43" spans="1:8" ht="47.25" customHeight="1" thickBot="1" x14ac:dyDescent="0.25">
      <c r="A43" s="1050" t="s">
        <v>505</v>
      </c>
      <c r="B43" s="1075" t="e">
        <f>'2014 Summary Table B '!C8</f>
        <v>#REF!</v>
      </c>
      <c r="C43" s="2973" t="s">
        <v>518</v>
      </c>
      <c r="D43" s="2974"/>
      <c r="E43" s="2168" t="s">
        <v>518</v>
      </c>
      <c r="F43" s="2170">
        <f>'2014 Summary Table B '!M8</f>
        <v>341437.16151003132</v>
      </c>
      <c r="G43" s="2102">
        <v>0.03</v>
      </c>
      <c r="H43" s="2103" t="e">
        <f>+$C$16*G43</f>
        <v>#REF!</v>
      </c>
    </row>
    <row r="44" spans="1:8" ht="30.75" thickBot="1" x14ac:dyDescent="0.25">
      <c r="A44" s="2100" t="s">
        <v>501</v>
      </c>
      <c r="B44" s="2101" t="e">
        <f>'CNG Table A'!#REF!</f>
        <v>#REF!</v>
      </c>
      <c r="C44" s="1098" t="s">
        <v>383</v>
      </c>
      <c r="D44" s="1066"/>
      <c r="E44" s="2972" t="s">
        <v>539</v>
      </c>
      <c r="F44" s="1068" t="s">
        <v>540</v>
      </c>
      <c r="G44" s="2958">
        <v>0.21</v>
      </c>
      <c r="H44" s="2959" t="e">
        <f>+$C$16*G44</f>
        <v>#REF!</v>
      </c>
    </row>
    <row r="45" spans="1:8" ht="29.25" customHeight="1" x14ac:dyDescent="0.2">
      <c r="A45" s="1058"/>
      <c r="B45" s="1059"/>
      <c r="C45" s="1099" t="s">
        <v>199</v>
      </c>
      <c r="D45" s="1071">
        <f>'2014 Summary Table B '!$N$28</f>
        <v>4865394.1214433396</v>
      </c>
      <c r="E45" s="2972"/>
      <c r="F45" s="2093">
        <f>D53</f>
        <v>8528802.565008264</v>
      </c>
      <c r="G45" s="2958"/>
      <c r="H45" s="2959"/>
    </row>
    <row r="46" spans="1:8" ht="29.25" customHeight="1" x14ac:dyDescent="0.2">
      <c r="A46" s="1058"/>
      <c r="B46" s="1059"/>
      <c r="C46" s="1099" t="s">
        <v>200</v>
      </c>
      <c r="D46" s="1071">
        <f>'2014 Summary Table B '!$N$33</f>
        <v>3316691.1043385835</v>
      </c>
      <c r="E46" s="2972"/>
      <c r="F46" s="1070"/>
      <c r="G46" s="2958"/>
      <c r="H46" s="2959"/>
    </row>
    <row r="47" spans="1:8" ht="29.25" customHeight="1" x14ac:dyDescent="0.2">
      <c r="A47" s="1058"/>
      <c r="B47" s="1059"/>
      <c r="C47" s="1099" t="s">
        <v>506</v>
      </c>
      <c r="D47" s="1071">
        <f>'2014 Summary Table B '!$N$37</f>
        <v>1852947.871930649</v>
      </c>
      <c r="E47" s="2972"/>
      <c r="F47" s="1070"/>
      <c r="G47" s="2958"/>
      <c r="H47" s="2959"/>
    </row>
    <row r="48" spans="1:8" ht="29.25" customHeight="1" x14ac:dyDescent="0.2">
      <c r="A48" s="1058"/>
      <c r="B48" s="1059"/>
      <c r="C48" s="1099" t="s">
        <v>245</v>
      </c>
      <c r="D48" s="1071">
        <f>'2014 Summary Table B '!$N$41</f>
        <v>435971.04366513883</v>
      </c>
      <c r="E48" s="2972"/>
      <c r="F48" s="1070"/>
      <c r="G48" s="2958"/>
      <c r="H48" s="2959"/>
    </row>
    <row r="49" spans="1:8" ht="29.25" customHeight="1" x14ac:dyDescent="0.25">
      <c r="A49" s="1058"/>
      <c r="B49" s="1069"/>
      <c r="C49" s="1098" t="s">
        <v>386</v>
      </c>
      <c r="D49" s="1066">
        <f>SUM(D45:D48)</f>
        <v>10471004.141377712</v>
      </c>
      <c r="E49" s="2972"/>
      <c r="F49" s="1412"/>
      <c r="G49" s="2958"/>
      <c r="H49" s="2959"/>
    </row>
    <row r="50" spans="1:8" ht="13.5" customHeight="1" x14ac:dyDescent="0.25">
      <c r="A50" s="1058"/>
      <c r="B50" s="1069"/>
      <c r="C50" s="1097"/>
      <c r="D50" s="1066"/>
      <c r="E50" s="1058"/>
      <c r="F50" s="1412"/>
      <c r="G50" s="1067"/>
      <c r="H50" s="1057"/>
    </row>
    <row r="51" spans="1:8" ht="29.25" customHeight="1" x14ac:dyDescent="0.25">
      <c r="A51" s="1062"/>
      <c r="B51" s="1059"/>
      <c r="C51" s="1098" t="s">
        <v>387</v>
      </c>
      <c r="D51" s="1065">
        <f>'2014 Summary Table B '!F63/'2014 Summary Table B '!N63</f>
        <v>0.81451620588186446</v>
      </c>
      <c r="E51" s="1062"/>
      <c r="F51" s="1412"/>
      <c r="G51" s="1058"/>
      <c r="H51" s="1057"/>
    </row>
    <row r="52" spans="1:8" ht="9.75" customHeight="1" x14ac:dyDescent="0.25">
      <c r="A52" s="1062"/>
      <c r="B52" s="1059"/>
      <c r="C52" s="1061"/>
      <c r="D52" s="1064"/>
      <c r="E52" s="2088"/>
      <c r="F52" s="1412"/>
      <c r="G52" s="1058"/>
      <c r="H52" s="1057"/>
    </row>
    <row r="53" spans="1:8" ht="29.25" customHeight="1" thickBot="1" x14ac:dyDescent="0.3">
      <c r="A53" s="1062"/>
      <c r="B53" s="1059"/>
      <c r="C53" s="1407" t="s">
        <v>537</v>
      </c>
      <c r="D53" s="2087">
        <f>D49*D51</f>
        <v>8528802.565008264</v>
      </c>
      <c r="E53" s="2089"/>
      <c r="F53" s="2090"/>
      <c r="G53" s="2091"/>
      <c r="H53" s="2092"/>
    </row>
    <row r="54" spans="1:8" ht="15.75" thickBot="1" x14ac:dyDescent="0.3">
      <c r="A54" s="1051"/>
      <c r="B54" s="1056"/>
      <c r="C54" s="2084" t="s">
        <v>538</v>
      </c>
      <c r="D54" s="2085" t="e">
        <f>D53-B44</f>
        <v>#REF!</v>
      </c>
      <c r="E54" s="1055"/>
      <c r="F54" s="1054" t="e">
        <f>D54</f>
        <v>#REF!</v>
      </c>
      <c r="G54" s="1053">
        <v>0.21</v>
      </c>
      <c r="H54" s="1052" t="e">
        <f>+$C$16*G54</f>
        <v>#REF!</v>
      </c>
    </row>
    <row r="55" spans="1:8" ht="375.75" thickBot="1" x14ac:dyDescent="0.3">
      <c r="A55" s="1050" t="s">
        <v>245</v>
      </c>
      <c r="B55" s="1075" t="e">
        <f>'2014 Summary Table B '!C41</f>
        <v>#REF!</v>
      </c>
      <c r="C55" s="2165" t="s">
        <v>528</v>
      </c>
      <c r="D55" s="2085"/>
      <c r="E55" s="2105" t="s">
        <v>521</v>
      </c>
      <c r="F55" s="2104" t="s">
        <v>519</v>
      </c>
      <c r="G55" s="2102">
        <v>0.03</v>
      </c>
      <c r="H55" s="2103" t="e">
        <f>+$C$16*G55</f>
        <v>#REF!</v>
      </c>
    </row>
    <row r="56" spans="1:8" ht="165.75" thickBot="1" x14ac:dyDescent="0.3">
      <c r="A56" s="1050" t="s">
        <v>532</v>
      </c>
      <c r="B56" s="1075"/>
      <c r="C56" s="2165" t="s">
        <v>520</v>
      </c>
      <c r="D56" s="2085"/>
      <c r="E56" s="2105" t="s">
        <v>521</v>
      </c>
      <c r="F56" s="2104" t="s">
        <v>522</v>
      </c>
      <c r="G56" s="2102">
        <v>0.03</v>
      </c>
      <c r="H56" s="2103" t="e">
        <f>+$C$16*G56</f>
        <v>#REF!</v>
      </c>
    </row>
    <row r="57" spans="1:8" ht="225.75" thickBot="1" x14ac:dyDescent="0.3">
      <c r="A57" s="1050" t="s">
        <v>523</v>
      </c>
      <c r="B57" s="1075"/>
      <c r="C57" s="2165" t="s">
        <v>524</v>
      </c>
      <c r="D57" s="2085"/>
      <c r="E57" s="2105" t="s">
        <v>525</v>
      </c>
      <c r="F57" s="2105" t="s">
        <v>526</v>
      </c>
      <c r="G57" s="2102">
        <v>0.04</v>
      </c>
      <c r="H57" s="2103" t="e">
        <f>+$C$16*G57</f>
        <v>#REF!</v>
      </c>
    </row>
    <row r="58" spans="1:8" ht="30.75" thickBot="1" x14ac:dyDescent="0.3">
      <c r="A58" s="1050" t="s">
        <v>507</v>
      </c>
      <c r="B58" s="1075"/>
      <c r="C58" s="1050"/>
      <c r="D58" s="2085"/>
      <c r="E58" s="2105"/>
      <c r="F58" s="2104"/>
      <c r="G58" s="2102">
        <f>SUM(G26:G57)</f>
        <v>1</v>
      </c>
      <c r="H58" s="2103" t="e">
        <f>SUM(H26:H57)</f>
        <v>#REF!</v>
      </c>
    </row>
    <row r="59" spans="1:8" ht="14.25" x14ac:dyDescent="0.2">
      <c r="A59" s="1042"/>
      <c r="B59" s="1042"/>
      <c r="C59" s="1042"/>
      <c r="D59" s="1042"/>
      <c r="E59" s="1042"/>
      <c r="F59" s="1042"/>
      <c r="G59" s="1041"/>
      <c r="H59" s="1041"/>
    </row>
    <row r="60" spans="1:8" ht="14.25" x14ac:dyDescent="0.2">
      <c r="A60" s="1042"/>
      <c r="B60" s="1042"/>
      <c r="C60" s="1042"/>
      <c r="D60" s="1042"/>
      <c r="E60" s="1042"/>
      <c r="F60" s="1042"/>
      <c r="G60" s="1041"/>
      <c r="H60" s="1041"/>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sheetData>
  <mergeCells count="14">
    <mergeCell ref="H26:H35"/>
    <mergeCell ref="E44:E49"/>
    <mergeCell ref="G44:G49"/>
    <mergeCell ref="H44:H49"/>
    <mergeCell ref="C41:D41"/>
    <mergeCell ref="C42:D42"/>
    <mergeCell ref="C43:D43"/>
    <mergeCell ref="E26:E35"/>
    <mergeCell ref="G26:G35"/>
    <mergeCell ref="A5:H5"/>
    <mergeCell ref="A24:B24"/>
    <mergeCell ref="C24:D25"/>
    <mergeCell ref="E24:H24"/>
    <mergeCell ref="A25:B25"/>
  </mergeCells>
  <printOptions horizontalCentered="1"/>
  <pageMargins left="0.5" right="0.5" top="0.75" bottom="0.75" header="0.5" footer="0.25"/>
  <pageSetup scale="67" fitToHeight="0" orientation="landscape" r:id="rId1"/>
  <headerFooter alignWithMargins="0">
    <oddFooter>&amp;C&amp;1#&amp;"Calibri"&amp;12&amp;K008000Internal Use</oddFooter>
  </headerFooter>
  <rowBreaks count="2" manualBreakCount="2">
    <brk id="23" max="7" man="1"/>
    <brk id="43" max="7"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8">
    <tabColor theme="8" tint="0.39997558519241921"/>
    <pageSetUpPr fitToPage="1"/>
  </sheetPr>
  <dimension ref="A1:H106"/>
  <sheetViews>
    <sheetView topLeftCell="A32" zoomScaleNormal="100" workbookViewId="0">
      <selection activeCell="P44" sqref="P44"/>
    </sheetView>
  </sheetViews>
  <sheetFormatPr defaultRowHeight="12.75" x14ac:dyDescent="0.2"/>
  <cols>
    <col min="1" max="1" width="31.42578125" style="1039" customWidth="1"/>
    <col min="2" max="2" width="17.85546875" style="1039" customWidth="1"/>
    <col min="3" max="3" width="51.710937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392</v>
      </c>
      <c r="B1" s="1096"/>
    </row>
    <row r="2" spans="1:8" ht="18.75" x14ac:dyDescent="0.3">
      <c r="A2" s="1096" t="s">
        <v>381</v>
      </c>
      <c r="B2" s="1096"/>
    </row>
    <row r="3" spans="1:8" ht="12.75" customHeight="1" x14ac:dyDescent="0.2">
      <c r="A3" s="1095"/>
      <c r="B3" s="1095"/>
    </row>
    <row r="4" spans="1:8" ht="12.75" customHeight="1" x14ac:dyDescent="0.2">
      <c r="A4" s="1095"/>
      <c r="B4" s="1095"/>
    </row>
    <row r="5" spans="1:8" s="1089" customFormat="1" ht="12.75" customHeight="1" x14ac:dyDescent="0.25">
      <c r="A5" s="2960" t="s">
        <v>380</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378</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70</v>
      </c>
      <c r="B13" s="1083">
        <v>0.02</v>
      </c>
      <c r="C13" s="1085" t="e">
        <f t="shared" ref="C13:C19" si="0">$B$21*B13</f>
        <v>#REF!</v>
      </c>
      <c r="D13" s="1077"/>
    </row>
    <row r="14" spans="1:8" ht="15.75" x14ac:dyDescent="0.25">
      <c r="A14" s="1084">
        <v>80</v>
      </c>
      <c r="B14" s="1083">
        <v>0.03</v>
      </c>
      <c r="C14" s="1085" t="e">
        <f t="shared" si="0"/>
        <v>#REF!</v>
      </c>
      <c r="D14" s="1077"/>
    </row>
    <row r="15" spans="1:8" ht="15.75" x14ac:dyDescent="0.25">
      <c r="A15" s="1084">
        <v>90</v>
      </c>
      <c r="B15" s="1083">
        <v>0.04</v>
      </c>
      <c r="C15" s="1085" t="e">
        <f t="shared" si="0"/>
        <v>#REF!</v>
      </c>
      <c r="D15" s="1077"/>
    </row>
    <row r="16" spans="1:8" ht="15.75" x14ac:dyDescent="0.25">
      <c r="A16" s="1084">
        <v>100</v>
      </c>
      <c r="B16" s="1083">
        <v>0.05</v>
      </c>
      <c r="C16" s="1085" t="e">
        <f t="shared" si="0"/>
        <v>#REF!</v>
      </c>
      <c r="D16" s="1077"/>
    </row>
    <row r="17" spans="1:8" ht="15.75" x14ac:dyDescent="0.25">
      <c r="A17" s="1084">
        <v>110</v>
      </c>
      <c r="B17" s="1083">
        <v>0.06</v>
      </c>
      <c r="C17" s="1085" t="e">
        <f t="shared" si="0"/>
        <v>#REF!</v>
      </c>
      <c r="D17" s="1077"/>
    </row>
    <row r="18" spans="1:8" ht="15.75" x14ac:dyDescent="0.25">
      <c r="A18" s="1084">
        <v>120</v>
      </c>
      <c r="B18" s="1083">
        <v>7.0000000000000007E-2</v>
      </c>
      <c r="C18" s="1085" t="e">
        <f t="shared" si="0"/>
        <v>#REF!</v>
      </c>
      <c r="D18" s="1077"/>
    </row>
    <row r="19" spans="1:8" ht="15.75" customHeight="1" x14ac:dyDescent="0.25">
      <c r="A19" s="1084">
        <v>130</v>
      </c>
      <c r="B19" s="1083">
        <v>0.08</v>
      </c>
      <c r="C19" s="1085" t="e">
        <f t="shared" si="0"/>
        <v>#REF!</v>
      </c>
      <c r="D19" s="1077"/>
    </row>
    <row r="20" spans="1:8" ht="19.5" customHeight="1" x14ac:dyDescent="0.2">
      <c r="A20" s="1084"/>
      <c r="B20" s="1083"/>
      <c r="C20" s="1080"/>
      <c r="D20" s="1077"/>
    </row>
    <row r="21" spans="1:8" ht="19.5" customHeight="1" x14ac:dyDescent="0.25">
      <c r="A21" s="1082" t="s">
        <v>372</v>
      </c>
      <c r="B21" s="1081" t="e">
        <f>'SCG Table A'!#REF!-'SCG Table A'!#REF!-'SCG Table A'!#REF!</f>
        <v>#REF!</v>
      </c>
      <c r="C21" s="1080"/>
      <c r="D21" s="1077"/>
    </row>
    <row r="22" spans="1:8" ht="19.5" customHeight="1" x14ac:dyDescent="0.25">
      <c r="A22" s="1082"/>
      <c r="B22" s="1081"/>
      <c r="C22" s="1080"/>
      <c r="D22" s="1077"/>
    </row>
    <row r="23" spans="1:8" ht="19.5" customHeight="1" thickBot="1" x14ac:dyDescent="0.25">
      <c r="A23" s="1079" t="s">
        <v>371</v>
      </c>
      <c r="C23" s="1078"/>
      <c r="D23" s="1077"/>
    </row>
    <row r="24" spans="1:8" ht="19.5" customHeight="1" thickBot="1" x14ac:dyDescent="0.25">
      <c r="A24" s="2961"/>
      <c r="B24" s="2961"/>
      <c r="C24" s="2962" t="s">
        <v>370</v>
      </c>
      <c r="D24" s="2963"/>
      <c r="E24" s="2966" t="s">
        <v>369</v>
      </c>
      <c r="F24" s="2966"/>
      <c r="G24" s="2966"/>
      <c r="H24" s="2967"/>
    </row>
    <row r="25" spans="1:8" ht="31.5" customHeight="1" thickBot="1" x14ac:dyDescent="0.25">
      <c r="A25" s="2961"/>
      <c r="B25" s="2961"/>
      <c r="C25" s="2964"/>
      <c r="D25" s="2965"/>
      <c r="E25" s="1076" t="s">
        <v>368</v>
      </c>
      <c r="F25" s="1076" t="s">
        <v>367</v>
      </c>
      <c r="G25" s="1076" t="s">
        <v>366</v>
      </c>
      <c r="H25" s="1076" t="s">
        <v>365</v>
      </c>
    </row>
    <row r="26" spans="1:8" ht="30" customHeight="1" thickBot="1" x14ac:dyDescent="0.25">
      <c r="A26" s="1050" t="s">
        <v>364</v>
      </c>
      <c r="B26" s="1075" t="e">
        <f>'SCG Table A'!#REF!+'SCG Table A'!#REF!</f>
        <v>#REF!</v>
      </c>
      <c r="C26" s="1098" t="s">
        <v>383</v>
      </c>
      <c r="D26" s="1066"/>
      <c r="E26" s="2957" t="s">
        <v>363</v>
      </c>
      <c r="F26" s="1068" t="s">
        <v>362</v>
      </c>
      <c r="G26" s="2958">
        <v>0.5</v>
      </c>
      <c r="H26" s="2959" t="e">
        <f>+$C$16*G26</f>
        <v>#REF!</v>
      </c>
    </row>
    <row r="27" spans="1:8" ht="29.25" customHeight="1" x14ac:dyDescent="0.2">
      <c r="A27" s="1058"/>
      <c r="B27" s="1072"/>
      <c r="C27" s="1099" t="s">
        <v>283</v>
      </c>
      <c r="D27" s="1066">
        <f>'2013 Summary Table B '!N8</f>
        <v>3902031.9775003856</v>
      </c>
      <c r="E27" s="2957"/>
      <c r="F27" s="1074" t="s">
        <v>361</v>
      </c>
      <c r="G27" s="2958"/>
      <c r="H27" s="2959"/>
    </row>
    <row r="28" spans="1:8" ht="30" hidden="1" customHeight="1" x14ac:dyDescent="0.2">
      <c r="A28" s="1058"/>
      <c r="B28" s="1059"/>
      <c r="C28" s="1099" t="s">
        <v>149</v>
      </c>
      <c r="D28" s="1071"/>
      <c r="E28" s="2957"/>
      <c r="F28" s="1073">
        <v>8826015.5371230152</v>
      </c>
      <c r="G28" s="2958"/>
      <c r="H28" s="2959"/>
    </row>
    <row r="29" spans="1:8" ht="30" hidden="1" customHeight="1" x14ac:dyDescent="0.2">
      <c r="A29" s="1058"/>
      <c r="B29" s="1059"/>
      <c r="C29" s="1099" t="s">
        <v>227</v>
      </c>
      <c r="D29" s="1071"/>
      <c r="E29" s="2957"/>
      <c r="F29" s="1059"/>
      <c r="G29" s="2958"/>
      <c r="H29" s="2959"/>
    </row>
    <row r="30" spans="1:8" ht="30" hidden="1" customHeight="1" x14ac:dyDescent="0.2">
      <c r="A30" s="1058"/>
      <c r="B30" s="1059"/>
      <c r="C30" s="1099" t="s">
        <v>110</v>
      </c>
      <c r="D30" s="1071"/>
      <c r="E30" s="2957"/>
      <c r="F30" s="1059"/>
      <c r="G30" s="2958"/>
      <c r="H30" s="2959"/>
    </row>
    <row r="31" spans="1:8" ht="30" hidden="1" customHeight="1" x14ac:dyDescent="0.2">
      <c r="A31" s="1058"/>
      <c r="B31" s="1059"/>
      <c r="C31" s="1099"/>
      <c r="D31" s="1071"/>
      <c r="E31" s="2957"/>
      <c r="F31" s="1059"/>
      <c r="G31" s="2958"/>
      <c r="H31" s="2959"/>
    </row>
    <row r="32" spans="1:8" ht="30" customHeight="1" x14ac:dyDescent="0.2">
      <c r="A32" s="1058"/>
      <c r="B32" s="1059"/>
      <c r="C32" s="1099" t="s">
        <v>160</v>
      </c>
      <c r="D32" s="1071">
        <f>'2013 Summary Table B '!N12</f>
        <v>4453011.7780101495</v>
      </c>
      <c r="E32" s="2957"/>
      <c r="F32" s="1072">
        <f>D43</f>
        <v>8305106.3130966481</v>
      </c>
      <c r="G32" s="2958"/>
      <c r="H32" s="2959"/>
    </row>
    <row r="33" spans="1:8" ht="30" customHeight="1" x14ac:dyDescent="0.2">
      <c r="A33" s="1058"/>
      <c r="B33" s="1059"/>
      <c r="C33" s="1099" t="s">
        <v>384</v>
      </c>
      <c r="D33" s="1071">
        <f>'2013 Summary Table B '!N16</f>
        <v>585977.13952450478</v>
      </c>
      <c r="E33" s="2957"/>
      <c r="F33" s="1059"/>
      <c r="G33" s="2958"/>
      <c r="H33" s="2959"/>
    </row>
    <row r="34" spans="1:8" ht="30" customHeight="1" x14ac:dyDescent="0.2">
      <c r="A34" s="1058"/>
      <c r="B34" s="1059"/>
      <c r="C34" s="1099" t="s">
        <v>198</v>
      </c>
      <c r="D34" s="1071">
        <f>'2013 Summary Table B '!N20</f>
        <v>87516</v>
      </c>
      <c r="E34" s="2957"/>
      <c r="F34" s="1059"/>
      <c r="G34" s="2958"/>
      <c r="H34" s="2959"/>
    </row>
    <row r="35" spans="1:8" ht="30" customHeight="1" x14ac:dyDescent="0.2">
      <c r="A35" s="1058"/>
      <c r="B35" s="1059"/>
      <c r="C35" s="1099" t="s">
        <v>199</v>
      </c>
      <c r="D35" s="1071">
        <f>'2013 Summary Table B '!N27</f>
        <v>2756558.5541398483</v>
      </c>
      <c r="E35" s="2957"/>
      <c r="F35" s="1070"/>
      <c r="G35" s="2958"/>
      <c r="H35" s="2959"/>
    </row>
    <row r="36" spans="1:8" ht="30" customHeight="1" x14ac:dyDescent="0.2">
      <c r="A36" s="1058"/>
      <c r="B36" s="1059"/>
      <c r="C36" s="1099" t="s">
        <v>200</v>
      </c>
      <c r="D36" s="1071">
        <f>'2013 Summary Table B '!N32</f>
        <v>2321331.5111829331</v>
      </c>
      <c r="E36" s="2957"/>
      <c r="F36" s="1070"/>
      <c r="G36" s="2958"/>
      <c r="H36" s="2959"/>
    </row>
    <row r="37" spans="1:8" ht="30" customHeight="1" x14ac:dyDescent="0.2">
      <c r="A37" s="1058"/>
      <c r="B37" s="1059"/>
      <c r="C37" s="1099" t="s">
        <v>385</v>
      </c>
      <c r="D37" s="1071">
        <f>'2013 Summary Table B '!N36</f>
        <v>258011.96076730813</v>
      </c>
      <c r="E37" s="2957"/>
      <c r="F37" s="1070"/>
      <c r="G37" s="2958"/>
      <c r="H37" s="2959"/>
    </row>
    <row r="38" spans="1:8" ht="30" customHeight="1" x14ac:dyDescent="0.2">
      <c r="A38" s="1058"/>
      <c r="B38" s="1059"/>
      <c r="C38" s="1099" t="s">
        <v>245</v>
      </c>
      <c r="D38" s="1071">
        <f>'2013 Summary Table B '!N40</f>
        <v>310904.87445427832</v>
      </c>
      <c r="E38" s="2957"/>
      <c r="F38" s="1070"/>
      <c r="G38" s="2958"/>
      <c r="H38" s="2959"/>
    </row>
    <row r="39" spans="1:8" ht="30" customHeight="1" x14ac:dyDescent="0.25">
      <c r="A39" s="1058"/>
      <c r="B39" s="1069"/>
      <c r="C39" s="1098" t="s">
        <v>386</v>
      </c>
      <c r="D39" s="1066">
        <f>SUM(D27:D38)</f>
        <v>14675343.795579409</v>
      </c>
      <c r="E39" s="2957"/>
      <c r="F39" s="1044"/>
      <c r="G39" s="2958"/>
      <c r="H39" s="2959"/>
    </row>
    <row r="40" spans="1:8" ht="11.25" customHeight="1" x14ac:dyDescent="0.25">
      <c r="A40" s="1058"/>
      <c r="B40" s="1069"/>
      <c r="C40" s="1097"/>
      <c r="D40" s="1066"/>
      <c r="E40" s="1068"/>
      <c r="F40" s="1044"/>
      <c r="G40" s="1067"/>
      <c r="H40" s="1057"/>
    </row>
    <row r="41" spans="1:8" ht="30" customHeight="1" x14ac:dyDescent="0.25">
      <c r="A41" s="1062"/>
      <c r="B41" s="1059"/>
      <c r="C41" s="1098" t="s">
        <v>387</v>
      </c>
      <c r="D41" s="1065">
        <f>'2013 Summary Table B '!F71/'2013 Summary Table B '!N71</f>
        <v>0.56592243621565852</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361</v>
      </c>
      <c r="D43" s="1060">
        <f>D39*D41</f>
        <v>8305106.3130966481</v>
      </c>
      <c r="E43" s="1059"/>
      <c r="F43" s="1044"/>
      <c r="G43" s="1058"/>
      <c r="H43" s="1057"/>
    </row>
    <row r="44" spans="1:8" ht="31.5" customHeight="1" thickBot="1" x14ac:dyDescent="0.3">
      <c r="A44" s="1051"/>
      <c r="B44" s="1056"/>
      <c r="C44" s="1101" t="s">
        <v>360</v>
      </c>
      <c r="D44" s="1102" t="e">
        <f>D43-B26</f>
        <v>#REF!</v>
      </c>
      <c r="E44" s="1055"/>
      <c r="F44" s="1054" t="e">
        <f>D44</f>
        <v>#REF!</v>
      </c>
      <c r="G44" s="1053">
        <v>0.5</v>
      </c>
      <c r="H44" s="1052" t="e">
        <f>+$C$16*G44</f>
        <v>#REF!</v>
      </c>
    </row>
    <row r="45" spans="1:8" ht="15.75" thickBot="1" x14ac:dyDescent="0.3">
      <c r="A45" s="1050" t="s">
        <v>359</v>
      </c>
      <c r="B45" s="1056"/>
      <c r="C45" s="1103"/>
      <c r="D45" s="1104"/>
      <c r="E45" s="1100"/>
      <c r="F45" s="1049"/>
      <c r="G45" s="1048">
        <f>SUM(G26:G44)</f>
        <v>1</v>
      </c>
      <c r="H45" s="1047" t="e">
        <f>SUM(H26:H44)</f>
        <v>#REF!</v>
      </c>
    </row>
    <row r="46" spans="1:8" ht="12.75" customHeight="1" x14ac:dyDescent="0.25">
      <c r="A46" s="1044"/>
      <c r="B46" s="1044"/>
      <c r="C46" s="1044"/>
      <c r="D46" s="1044"/>
      <c r="E46" s="1044"/>
      <c r="F46" s="1044"/>
      <c r="G46" s="1046" t="s">
        <v>3</v>
      </c>
      <c r="H46" s="1043"/>
    </row>
    <row r="47" spans="1:8" ht="15" x14ac:dyDescent="0.25">
      <c r="A47" s="1044"/>
      <c r="B47" s="1044"/>
      <c r="C47" s="1044"/>
      <c r="D47" s="1044"/>
      <c r="E47" s="1044"/>
      <c r="F47" s="1044"/>
      <c r="G47" s="1043"/>
      <c r="H47" s="1043"/>
    </row>
    <row r="48" spans="1:8" ht="84" customHeight="1" x14ac:dyDescent="0.25">
      <c r="A48" s="1044"/>
      <c r="B48" s="1044"/>
      <c r="C48" s="1044"/>
      <c r="D48" s="1044"/>
      <c r="E48" s="1044"/>
      <c r="F48" s="1044"/>
      <c r="G48" s="1045"/>
      <c r="H48" s="1043"/>
    </row>
    <row r="49" spans="1:8" ht="34.5" customHeight="1" x14ac:dyDescent="0.25">
      <c r="A49" s="1044"/>
      <c r="B49" s="1044"/>
      <c r="C49" s="1044"/>
      <c r="D49" s="1044"/>
      <c r="E49" s="1044"/>
      <c r="F49" s="1044"/>
      <c r="G49" s="1043"/>
      <c r="H49" s="1043"/>
    </row>
    <row r="50" spans="1:8" ht="15" x14ac:dyDescent="0.25">
      <c r="A50" s="1044"/>
      <c r="B50" s="1044"/>
      <c r="C50" s="1044"/>
      <c r="D50" s="1044"/>
      <c r="E50" s="1044"/>
      <c r="F50" s="1044"/>
      <c r="G50" s="1043"/>
      <c r="H50" s="1043"/>
    </row>
    <row r="51" spans="1:8" ht="15" x14ac:dyDescent="0.25">
      <c r="A51" s="1044"/>
      <c r="B51" s="1044"/>
      <c r="C51" s="1044"/>
      <c r="D51" s="1044"/>
      <c r="E51" s="1044"/>
      <c r="F51" s="1044"/>
      <c r="G51" s="1043"/>
      <c r="H51" s="1043"/>
    </row>
    <row r="52" spans="1:8" ht="15" x14ac:dyDescent="0.25">
      <c r="A52" s="1044"/>
      <c r="B52" s="1044"/>
      <c r="C52" s="1044"/>
      <c r="D52" s="1044"/>
      <c r="E52" s="1044"/>
      <c r="F52" s="1044"/>
      <c r="G52" s="1043"/>
      <c r="H52" s="1043"/>
    </row>
    <row r="53" spans="1:8" ht="15" x14ac:dyDescent="0.25">
      <c r="A53" s="1044"/>
      <c r="B53" s="1044"/>
      <c r="C53" s="1044"/>
      <c r="D53" s="1044"/>
      <c r="E53" s="1044"/>
      <c r="F53" s="1044"/>
      <c r="G53" s="1043"/>
      <c r="H53" s="1043"/>
    </row>
    <row r="54" spans="1:8" ht="15" x14ac:dyDescent="0.25">
      <c r="A54" s="1044"/>
      <c r="B54" s="1044"/>
      <c r="C54" s="1044"/>
      <c r="D54" s="1044"/>
      <c r="E54" s="1044"/>
      <c r="F54" s="1044"/>
      <c r="G54" s="1043"/>
      <c r="H54" s="1043"/>
    </row>
    <row r="55" spans="1:8" ht="15" x14ac:dyDescent="0.25">
      <c r="A55" s="1044"/>
      <c r="B55" s="1044"/>
      <c r="C55" s="1044"/>
      <c r="D55" s="1044"/>
      <c r="E55" s="1044"/>
      <c r="F55" s="1044"/>
      <c r="G55" s="1043"/>
      <c r="H55" s="1043"/>
    </row>
    <row r="56" spans="1:8" ht="15" x14ac:dyDescent="0.25">
      <c r="A56" s="1044"/>
      <c r="B56" s="1044"/>
      <c r="C56" s="1044"/>
      <c r="D56" s="1044"/>
      <c r="E56" s="1044"/>
      <c r="F56" s="1044"/>
      <c r="G56" s="1043"/>
      <c r="H56" s="1043"/>
    </row>
    <row r="57" spans="1:8" ht="15" x14ac:dyDescent="0.25">
      <c r="A57" s="1044"/>
      <c r="B57" s="1044"/>
      <c r="C57" s="1044"/>
      <c r="D57" s="1044"/>
      <c r="E57" s="1044"/>
      <c r="F57" s="1044"/>
      <c r="G57" s="1043"/>
      <c r="H57" s="1043"/>
    </row>
    <row r="58" spans="1:8" ht="15" x14ac:dyDescent="0.25">
      <c r="A58" s="1044"/>
      <c r="B58" s="1044"/>
      <c r="C58" s="1044"/>
      <c r="D58" s="1044"/>
      <c r="E58" s="1044"/>
      <c r="F58" s="1044"/>
      <c r="G58" s="1043"/>
      <c r="H58" s="1043"/>
    </row>
    <row r="59" spans="1:8" ht="15" x14ac:dyDescent="0.25">
      <c r="A59" s="1044"/>
      <c r="B59" s="1044"/>
      <c r="C59" s="1044"/>
      <c r="D59" s="1044"/>
      <c r="E59" s="1044"/>
      <c r="F59" s="1044"/>
      <c r="G59" s="1043"/>
      <c r="H59" s="1043"/>
    </row>
    <row r="60" spans="1:8" ht="15" x14ac:dyDescent="0.25">
      <c r="A60" s="1044"/>
      <c r="B60" s="1044"/>
      <c r="C60" s="1044"/>
      <c r="D60" s="1044"/>
      <c r="E60" s="1044"/>
      <c r="F60" s="1044"/>
      <c r="G60" s="1043"/>
      <c r="H60" s="1043"/>
    </row>
    <row r="61" spans="1:8" ht="15" x14ac:dyDescent="0.25">
      <c r="A61" s="1044"/>
      <c r="B61" s="1044"/>
      <c r="C61" s="1044"/>
      <c r="D61" s="1044"/>
      <c r="E61" s="1044"/>
      <c r="F61" s="1044"/>
      <c r="G61" s="1043"/>
      <c r="H61" s="1043"/>
    </row>
    <row r="62" spans="1:8" ht="15" x14ac:dyDescent="0.25">
      <c r="A62" s="1044"/>
      <c r="B62" s="1044"/>
      <c r="C62" s="1044"/>
      <c r="D62" s="1044"/>
      <c r="E62" s="1044"/>
      <c r="F62" s="1044"/>
      <c r="G62" s="1043"/>
      <c r="H62" s="1043"/>
    </row>
    <row r="63" spans="1:8" ht="15" x14ac:dyDescent="0.25">
      <c r="A63" s="1044"/>
      <c r="B63" s="1044"/>
      <c r="C63" s="1044"/>
      <c r="D63" s="1044"/>
      <c r="E63" s="1044"/>
      <c r="F63" s="1044"/>
      <c r="G63" s="1043"/>
      <c r="H63" s="1043"/>
    </row>
    <row r="64" spans="1:8" ht="15" x14ac:dyDescent="0.25">
      <c r="A64" s="1044"/>
      <c r="B64" s="1044"/>
      <c r="C64" s="1044"/>
      <c r="D64" s="1044"/>
      <c r="E64" s="1044"/>
      <c r="F64" s="1044"/>
      <c r="G64" s="1043"/>
      <c r="H64" s="1043"/>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row r="94" spans="1:8" ht="14.25" x14ac:dyDescent="0.2">
      <c r="A94" s="1042"/>
      <c r="B94" s="1042"/>
      <c r="C94" s="1042"/>
      <c r="D94" s="1042"/>
      <c r="E94" s="1042"/>
      <c r="F94" s="1042"/>
      <c r="G94" s="1041"/>
      <c r="H94" s="1041"/>
    </row>
    <row r="95" spans="1:8" ht="14.25" x14ac:dyDescent="0.2">
      <c r="A95" s="1042"/>
      <c r="B95" s="1042"/>
      <c r="C95" s="1042"/>
      <c r="D95" s="1042"/>
      <c r="E95" s="1042"/>
      <c r="F95" s="1042"/>
      <c r="G95" s="1041"/>
      <c r="H95" s="1041"/>
    </row>
    <row r="96" spans="1:8" ht="14.25" x14ac:dyDescent="0.2">
      <c r="A96" s="1042"/>
      <c r="B96" s="1042"/>
      <c r="C96" s="1042"/>
      <c r="D96" s="1042"/>
      <c r="E96" s="1042"/>
      <c r="F96" s="1042"/>
      <c r="G96" s="1041"/>
      <c r="H96" s="1041"/>
    </row>
    <row r="97" spans="1:8" ht="14.25" x14ac:dyDescent="0.2">
      <c r="A97" s="1042"/>
      <c r="B97" s="1042"/>
      <c r="C97" s="1042"/>
      <c r="D97" s="1042"/>
      <c r="E97" s="1042"/>
      <c r="F97" s="1042"/>
      <c r="G97" s="1041"/>
      <c r="H97" s="1041"/>
    </row>
    <row r="98" spans="1:8" ht="14.25" x14ac:dyDescent="0.2">
      <c r="A98" s="1042"/>
      <c r="B98" s="1042"/>
      <c r="C98" s="1042"/>
      <c r="D98" s="1042"/>
      <c r="E98" s="1042"/>
      <c r="F98" s="1042"/>
      <c r="G98" s="1041"/>
      <c r="H98" s="1041"/>
    </row>
    <row r="99" spans="1:8" ht="14.25" x14ac:dyDescent="0.2">
      <c r="A99" s="1042"/>
      <c r="B99" s="1042"/>
      <c r="C99" s="1042"/>
      <c r="D99" s="1042"/>
      <c r="E99" s="1042"/>
      <c r="F99" s="1042"/>
      <c r="G99" s="1041"/>
      <c r="H99" s="1041"/>
    </row>
    <row r="100" spans="1:8" ht="14.25" x14ac:dyDescent="0.2">
      <c r="A100" s="1042"/>
      <c r="B100" s="1042"/>
      <c r="C100" s="1042"/>
      <c r="D100" s="1042"/>
      <c r="E100" s="1042"/>
      <c r="F100" s="1042"/>
      <c r="G100" s="1041"/>
      <c r="H100" s="1041"/>
    </row>
    <row r="101" spans="1:8" ht="14.25" x14ac:dyDescent="0.2">
      <c r="A101" s="1042"/>
      <c r="B101" s="1042"/>
      <c r="C101" s="1042"/>
      <c r="D101" s="1042"/>
      <c r="E101" s="1042"/>
      <c r="F101" s="1042"/>
      <c r="G101" s="1041"/>
      <c r="H101" s="1041"/>
    </row>
    <row r="102" spans="1:8" ht="14.25" x14ac:dyDescent="0.2">
      <c r="A102" s="1042"/>
      <c r="B102" s="1042"/>
      <c r="C102" s="1042"/>
      <c r="D102" s="1042"/>
      <c r="E102" s="1042"/>
      <c r="F102" s="1042"/>
      <c r="G102" s="1041"/>
      <c r="H102" s="1041"/>
    </row>
    <row r="103" spans="1:8" ht="14.25" x14ac:dyDescent="0.2">
      <c r="A103" s="1042"/>
      <c r="B103" s="1042"/>
      <c r="C103" s="1042"/>
      <c r="D103" s="1042"/>
      <c r="E103" s="1042"/>
      <c r="F103" s="1042"/>
      <c r="G103" s="1041"/>
      <c r="H103" s="1041"/>
    </row>
    <row r="104" spans="1:8" ht="14.25" x14ac:dyDescent="0.2">
      <c r="A104" s="1042"/>
      <c r="B104" s="1042"/>
      <c r="C104" s="1042"/>
      <c r="D104" s="1042"/>
      <c r="E104" s="1042"/>
      <c r="F104" s="1042"/>
      <c r="G104" s="1041"/>
      <c r="H104" s="1041"/>
    </row>
    <row r="105" spans="1:8" ht="14.25" x14ac:dyDescent="0.2">
      <c r="A105" s="1042"/>
      <c r="B105" s="1042"/>
      <c r="C105" s="1042"/>
      <c r="D105" s="1042"/>
      <c r="E105" s="1042"/>
      <c r="F105" s="1042"/>
      <c r="G105" s="1041"/>
      <c r="H105" s="1041"/>
    </row>
    <row r="106" spans="1:8" ht="14.25" x14ac:dyDescent="0.2">
      <c r="A106" s="1042"/>
      <c r="B106" s="1042"/>
      <c r="C106" s="1042"/>
      <c r="D106" s="1042"/>
      <c r="E106" s="1042"/>
      <c r="F106" s="1042"/>
      <c r="G106" s="1041"/>
      <c r="H106" s="1041"/>
    </row>
  </sheetData>
  <mergeCells count="8">
    <mergeCell ref="E26:E39"/>
    <mergeCell ref="G26:G39"/>
    <mergeCell ref="H26:H39"/>
    <mergeCell ref="A5:H5"/>
    <mergeCell ref="A24:B24"/>
    <mergeCell ref="C24:D25"/>
    <mergeCell ref="E24:H24"/>
    <mergeCell ref="A25:B25"/>
  </mergeCells>
  <printOptions horizontalCentered="1"/>
  <pageMargins left="0.5" right="0.5" top="0.75" bottom="0.75" header="0.5" footer="0.25"/>
  <pageSetup scale="57" orientation="landscape" r:id="rId1"/>
  <headerFooter alignWithMargins="0">
    <oddFooter>&amp;C&amp;1#&amp;"Calibri"&amp;12&amp;K008000Internal Use</oddFooter>
  </headerFooter>
  <rowBreaks count="1" manualBreakCount="1">
    <brk id="23" max="7"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1">
    <tabColor theme="9" tint="0.39997558519241921"/>
    <pageSetUpPr fitToPage="1"/>
  </sheetPr>
  <dimension ref="A1:H93"/>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4" style="1039" customWidth="1"/>
    <col min="7" max="7" width="14.7109375" style="1040" bestFit="1" customWidth="1"/>
    <col min="8" max="8" width="18.42578125" style="1040" customWidth="1"/>
    <col min="9" max="16384" width="9.140625" style="1039"/>
  </cols>
  <sheetData>
    <row r="1" spans="1:8" ht="18.75" x14ac:dyDescent="0.3">
      <c r="A1" s="1096" t="s">
        <v>382</v>
      </c>
      <c r="B1" s="1096"/>
    </row>
    <row r="2" spans="1:8" ht="18.75" x14ac:dyDescent="0.3">
      <c r="A2" s="1096" t="s">
        <v>558</v>
      </c>
      <c r="B2" s="1096"/>
    </row>
    <row r="3" spans="1:8" ht="12.75" customHeight="1" x14ac:dyDescent="0.2">
      <c r="A3" s="1095"/>
      <c r="B3" s="1095"/>
    </row>
    <row r="4" spans="1:8" ht="12.75" customHeight="1" x14ac:dyDescent="0.2">
      <c r="A4" s="1095"/>
      <c r="B4" s="1095"/>
    </row>
    <row r="5" spans="1:8" s="1089" customFormat="1" ht="12.75" customHeight="1" x14ac:dyDescent="0.25">
      <c r="A5" s="2960" t="s">
        <v>559</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689</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2304">
        <v>77.5</v>
      </c>
      <c r="B13" s="2305">
        <v>0.02</v>
      </c>
      <c r="C13" s="1085" t="e">
        <f t="shared" ref="C13:C19" si="0">$B$23*B13</f>
        <v>#REF!</v>
      </c>
      <c r="D13" s="1077"/>
    </row>
    <row r="14" spans="1:8" ht="15.75" x14ac:dyDescent="0.25">
      <c r="A14" s="2304">
        <v>80</v>
      </c>
      <c r="B14" s="2317">
        <v>2.2499999999999999E-2</v>
      </c>
      <c r="C14" s="1085" t="e">
        <f t="shared" si="0"/>
        <v>#REF!</v>
      </c>
      <c r="D14" s="1077"/>
    </row>
    <row r="15" spans="1:8" ht="15.75" x14ac:dyDescent="0.25">
      <c r="A15" s="2304">
        <v>90</v>
      </c>
      <c r="B15" s="2317">
        <v>3.2500000000000001E-2</v>
      </c>
      <c r="C15" s="1085" t="e">
        <f>$B$23*B15</f>
        <v>#REF!</v>
      </c>
      <c r="D15" s="1077"/>
    </row>
    <row r="16" spans="1:8" ht="15.75" x14ac:dyDescent="0.2">
      <c r="A16" s="2306">
        <v>100</v>
      </c>
      <c r="B16" s="2318">
        <v>4.2500000000000003E-2</v>
      </c>
      <c r="C16" s="2303" t="e">
        <f t="shared" si="0"/>
        <v>#REF!</v>
      </c>
      <c r="D16" s="1077"/>
    </row>
    <row r="17" spans="1:8" ht="15.75" x14ac:dyDescent="0.25">
      <c r="A17" s="2304">
        <v>110</v>
      </c>
      <c r="B17" s="2317">
        <v>5.2499999999999998E-2</v>
      </c>
      <c r="C17" s="1085" t="e">
        <f t="shared" si="0"/>
        <v>#REF!</v>
      </c>
      <c r="D17" s="1077"/>
    </row>
    <row r="18" spans="1:8" ht="15.75" x14ac:dyDescent="0.25">
      <c r="A18" s="2304">
        <v>120</v>
      </c>
      <c r="B18" s="2317">
        <v>6.25E-2</v>
      </c>
      <c r="C18" s="1085" t="e">
        <f t="shared" si="0"/>
        <v>#REF!</v>
      </c>
      <c r="D18" s="1077"/>
    </row>
    <row r="19" spans="1:8" ht="15.75" x14ac:dyDescent="0.25">
      <c r="A19" s="2304">
        <v>130</v>
      </c>
      <c r="B19" s="2317">
        <v>7.2499999999999995E-2</v>
      </c>
      <c r="C19" s="1085" t="e">
        <f t="shared" si="0"/>
        <v>#REF!</v>
      </c>
      <c r="D19" s="1077"/>
    </row>
    <row r="20" spans="1:8" ht="15.75" x14ac:dyDescent="0.25">
      <c r="A20" s="2304">
        <v>137.5</v>
      </c>
      <c r="B20" s="2305">
        <v>0.08</v>
      </c>
      <c r="C20" s="1085" t="e">
        <f>$B$23*B20</f>
        <v>#REF!</v>
      </c>
      <c r="D20" s="1077"/>
    </row>
    <row r="21" spans="1:8" ht="15.75" customHeight="1" x14ac:dyDescent="0.25">
      <c r="A21" s="2304"/>
      <c r="B21" s="2305"/>
      <c r="C21" s="1085"/>
      <c r="D21" s="1077"/>
    </row>
    <row r="22" spans="1:8" ht="19.5" customHeight="1" x14ac:dyDescent="0.2">
      <c r="A22" s="1084"/>
      <c r="B22" s="1083"/>
      <c r="C22" s="1080"/>
      <c r="D22" s="1077"/>
    </row>
    <row r="23" spans="1:8" ht="19.5" customHeight="1" x14ac:dyDescent="0.25">
      <c r="A23" s="1082" t="s">
        <v>372</v>
      </c>
      <c r="B23" s="1081" t="e">
        <f>'CNG Table A'!#REF!-'CNG Table A'!#REF!-'CNG Table A'!#REF!-'CNG Table A'!#REF!-'CNG Table A'!#REF!</f>
        <v>#REF!</v>
      </c>
      <c r="C23" s="1080"/>
      <c r="D23" s="1077"/>
    </row>
    <row r="24" spans="1:8" ht="19.5" customHeight="1" x14ac:dyDescent="0.25">
      <c r="A24" s="1082"/>
      <c r="B24" s="1081"/>
      <c r="C24" s="1080"/>
      <c r="D24" s="1077"/>
    </row>
    <row r="25" spans="1:8" ht="19.5" customHeight="1" thickBot="1" x14ac:dyDescent="0.25">
      <c r="A25" s="1079" t="s">
        <v>371</v>
      </c>
      <c r="C25" s="1078"/>
      <c r="D25" s="1077"/>
    </row>
    <row r="26" spans="1:8" ht="19.5" customHeight="1" thickBot="1" x14ac:dyDescent="0.25">
      <c r="A26" s="2968" t="s">
        <v>502</v>
      </c>
      <c r="B26" s="2969"/>
      <c r="C26" s="2962" t="s">
        <v>370</v>
      </c>
      <c r="D26" s="2963"/>
      <c r="E26" s="2966" t="s">
        <v>369</v>
      </c>
      <c r="F26" s="2966"/>
      <c r="G26" s="2966"/>
      <c r="H26" s="2967"/>
    </row>
    <row r="27" spans="1:8" ht="31.5" customHeight="1" thickBot="1" x14ac:dyDescent="0.25">
      <c r="A27" s="2970" t="s">
        <v>79</v>
      </c>
      <c r="B27" s="2971"/>
      <c r="C27" s="2964"/>
      <c r="D27" s="2965"/>
      <c r="E27" s="2083" t="s">
        <v>368</v>
      </c>
      <c r="F27" s="2083" t="s">
        <v>367</v>
      </c>
      <c r="G27" s="2083" t="s">
        <v>366</v>
      </c>
      <c r="H27" s="2083" t="s">
        <v>365</v>
      </c>
    </row>
    <row r="28" spans="1:8" ht="30" customHeight="1" thickBot="1" x14ac:dyDescent="0.25">
      <c r="A28" s="1050" t="s">
        <v>500</v>
      </c>
      <c r="B28" s="1075" t="e">
        <f>'CNG Table A'!#REF!</f>
        <v>#REF!</v>
      </c>
      <c r="C28" s="1098" t="s">
        <v>383</v>
      </c>
      <c r="D28" s="1066"/>
      <c r="E28" s="2957" t="s">
        <v>535</v>
      </c>
      <c r="F28" s="1068" t="s">
        <v>536</v>
      </c>
      <c r="G28" s="2958">
        <v>0.19500000000000001</v>
      </c>
      <c r="H28" s="2959" t="e">
        <f>+$C$16*G28</f>
        <v>#REF!</v>
      </c>
    </row>
    <row r="29" spans="1:8" ht="29.25" customHeight="1" x14ac:dyDescent="0.2">
      <c r="A29" s="1058"/>
      <c r="B29" s="1072"/>
      <c r="C29" s="1099" t="s">
        <v>283</v>
      </c>
      <c r="D29" s="1066">
        <f>'2016 Summary Table B'!N7</f>
        <v>7837031.1755982321</v>
      </c>
      <c r="E29" s="2957"/>
      <c r="F29" s="1072">
        <f>D43</f>
        <v>16103914.312793145</v>
      </c>
      <c r="G29" s="2958"/>
      <c r="H29" s="2959"/>
    </row>
    <row r="30" spans="1:8" ht="30" hidden="1" customHeight="1" x14ac:dyDescent="0.2">
      <c r="A30" s="1058"/>
      <c r="B30" s="1059"/>
      <c r="C30" s="1099" t="s">
        <v>149</v>
      </c>
      <c r="D30" s="1071"/>
      <c r="E30" s="2957"/>
      <c r="F30" s="1073">
        <v>8826015.5371230152</v>
      </c>
      <c r="G30" s="2958"/>
      <c r="H30" s="2959"/>
    </row>
    <row r="31" spans="1:8" ht="30" hidden="1" customHeight="1" x14ac:dyDescent="0.2">
      <c r="A31" s="1058"/>
      <c r="B31" s="1059"/>
      <c r="C31" s="1099" t="s">
        <v>227</v>
      </c>
      <c r="D31" s="1071"/>
      <c r="E31" s="2957"/>
      <c r="F31" s="1059"/>
      <c r="G31" s="2958"/>
      <c r="H31" s="2959"/>
    </row>
    <row r="32" spans="1:8" ht="30" hidden="1" customHeight="1" x14ac:dyDescent="0.2">
      <c r="A32" s="1058"/>
      <c r="B32" s="1059"/>
      <c r="C32" s="1099" t="s">
        <v>110</v>
      </c>
      <c r="D32" s="1071"/>
      <c r="E32" s="2957"/>
      <c r="F32" s="1059"/>
      <c r="G32" s="2958"/>
      <c r="H32" s="2959"/>
    </row>
    <row r="33" spans="1:8" ht="30" hidden="1" customHeight="1" x14ac:dyDescent="0.2">
      <c r="A33" s="1058"/>
      <c r="B33" s="1059"/>
      <c r="C33" s="1099"/>
      <c r="D33" s="1071"/>
      <c r="E33" s="2957"/>
      <c r="F33" s="1059"/>
      <c r="G33" s="2958"/>
      <c r="H33" s="2959"/>
    </row>
    <row r="34" spans="1:8" ht="30" customHeight="1" x14ac:dyDescent="0.2">
      <c r="A34" s="1058"/>
      <c r="B34" s="1059"/>
      <c r="C34" s="1099" t="s">
        <v>160</v>
      </c>
      <c r="D34" s="1071">
        <f>'2016 Summary Table B'!N11</f>
        <v>7344352.3832203476</v>
      </c>
      <c r="E34" s="2957"/>
      <c r="G34" s="2958"/>
      <c r="H34" s="2959"/>
    </row>
    <row r="35" spans="1:8" ht="30" customHeight="1" x14ac:dyDescent="0.2">
      <c r="A35" s="1058"/>
      <c r="B35" s="1059"/>
      <c r="C35" s="1099" t="s">
        <v>604</v>
      </c>
      <c r="D35" s="1071">
        <f>'2016 Summary Table B'!N15</f>
        <v>6214716.1329202363</v>
      </c>
      <c r="E35" s="2957"/>
      <c r="G35" s="2958"/>
      <c r="H35" s="2959"/>
    </row>
    <row r="36" spans="1:8" ht="30" customHeight="1" x14ac:dyDescent="0.2">
      <c r="A36" s="1058"/>
      <c r="B36" s="1059"/>
      <c r="C36" s="1099" t="s">
        <v>531</v>
      </c>
      <c r="D36" s="1071">
        <f>'2016 Summary Table B'!N18</f>
        <v>157250</v>
      </c>
      <c r="E36" s="2957"/>
      <c r="G36" s="2958"/>
      <c r="H36" s="2959"/>
    </row>
    <row r="37" spans="1:8" ht="30" customHeight="1" x14ac:dyDescent="0.2">
      <c r="A37" s="1058"/>
      <c r="B37" s="1059"/>
      <c r="C37" s="1099" t="s">
        <v>384</v>
      </c>
      <c r="D37" s="1071">
        <f>'2016 Summary Table B'!N21</f>
        <v>2876577.8925753296</v>
      </c>
      <c r="E37" s="2957"/>
      <c r="F37" s="1059"/>
      <c r="G37" s="2958"/>
      <c r="H37" s="2959"/>
    </row>
    <row r="38" spans="1:8" ht="30" hidden="1" customHeight="1" x14ac:dyDescent="0.2">
      <c r="A38" s="1058"/>
      <c r="B38" s="1059"/>
      <c r="C38" s="1099" t="s">
        <v>198</v>
      </c>
      <c r="D38" s="1071">
        <f>'2016 Summary Table B'!N25</f>
        <v>0</v>
      </c>
      <c r="E38" s="2957"/>
      <c r="F38" s="1059"/>
      <c r="G38" s="2958"/>
      <c r="H38" s="2959"/>
    </row>
    <row r="39" spans="1:8" ht="30" customHeight="1" x14ac:dyDescent="0.25">
      <c r="A39" s="1058"/>
      <c r="B39" s="1069"/>
      <c r="C39" s="1098" t="s">
        <v>386</v>
      </c>
      <c r="D39" s="1066">
        <f>SUM(D29:D38)</f>
        <v>24429927.584314145</v>
      </c>
      <c r="E39" s="2957"/>
      <c r="F39" s="1044"/>
      <c r="G39" s="2958"/>
      <c r="H39" s="2959"/>
    </row>
    <row r="40" spans="1:8" ht="12.75" customHeight="1" x14ac:dyDescent="0.25">
      <c r="A40" s="1058"/>
      <c r="B40" s="1069"/>
      <c r="C40" s="1097"/>
      <c r="D40" s="1066"/>
      <c r="E40" s="1068"/>
      <c r="F40" s="1044"/>
      <c r="G40" s="1067"/>
      <c r="H40" s="1057"/>
    </row>
    <row r="41" spans="1:8" ht="30" customHeight="1" x14ac:dyDescent="0.25">
      <c r="A41" s="1062"/>
      <c r="B41" s="1059"/>
      <c r="C41" s="1098" t="s">
        <v>387</v>
      </c>
      <c r="D41" s="1065">
        <f>'2016 Summary Table B'!F63/'2016 Summary Table B'!N63</f>
        <v>0.65918796759483933</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533</v>
      </c>
      <c r="D43" s="1060">
        <f>D39*D41</f>
        <v>16103914.312793145</v>
      </c>
      <c r="E43" s="1059"/>
      <c r="F43" s="1044"/>
      <c r="G43" s="1058"/>
      <c r="H43" s="1057"/>
    </row>
    <row r="44" spans="1:8" ht="31.5" customHeight="1" thickBot="1" x14ac:dyDescent="0.3">
      <c r="A44" s="1051"/>
      <c r="B44" s="1056"/>
      <c r="C44" s="2169" t="s">
        <v>534</v>
      </c>
      <c r="D44" s="2098" t="e">
        <f>D43-B28</f>
        <v>#REF!</v>
      </c>
      <c r="E44" s="1055"/>
      <c r="F44" s="1054" t="e">
        <f>D44</f>
        <v>#REF!</v>
      </c>
      <c r="G44" s="1053">
        <v>0.19500000000000001</v>
      </c>
      <c r="H44" s="1052" t="e">
        <f>+$C$16*G44</f>
        <v>#REF!</v>
      </c>
    </row>
    <row r="45" spans="1:8" ht="44.25" customHeight="1" thickBot="1" x14ac:dyDescent="0.25">
      <c r="A45" s="2096" t="s">
        <v>504</v>
      </c>
      <c r="B45" s="2171" t="e">
        <f>'2016 Summary Table B'!C11</f>
        <v>#REF!</v>
      </c>
      <c r="C45" s="2973" t="s">
        <v>633</v>
      </c>
      <c r="D45" s="2974"/>
      <c r="E45" s="2167" t="s">
        <v>517</v>
      </c>
      <c r="F45" s="2308" t="s">
        <v>634</v>
      </c>
      <c r="G45" s="2094">
        <v>0.06</v>
      </c>
      <c r="H45" s="2095" t="e">
        <f>+$C$16*G45</f>
        <v>#REF!</v>
      </c>
    </row>
    <row r="46" spans="1:8" ht="47.25" customHeight="1" thickBot="1" x14ac:dyDescent="0.25">
      <c r="A46" s="1050" t="s">
        <v>505</v>
      </c>
      <c r="B46" s="2172" t="e">
        <f>'2016 Summary Table B'!C7</f>
        <v>#REF!</v>
      </c>
      <c r="C46" s="2973" t="s">
        <v>518</v>
      </c>
      <c r="D46" s="2974"/>
      <c r="E46" s="2168" t="s">
        <v>518</v>
      </c>
      <c r="F46" s="2170">
        <f>'2016 Summary Table B'!M7</f>
        <v>374926.40128642763</v>
      </c>
      <c r="G46" s="2102">
        <v>0.03</v>
      </c>
      <c r="H46" s="2103" t="e">
        <f>+$C$16*G46</f>
        <v>#REF!</v>
      </c>
    </row>
    <row r="47" spans="1:8" ht="30.75" thickBot="1" x14ac:dyDescent="0.25">
      <c r="A47" s="2100" t="s">
        <v>501</v>
      </c>
      <c r="B47" s="2101" t="e">
        <f>'CNG Table A'!#REF!</f>
        <v>#REF!</v>
      </c>
      <c r="C47" s="1098" t="s">
        <v>383</v>
      </c>
      <c r="D47" s="1066"/>
      <c r="E47" s="2972" t="s">
        <v>539</v>
      </c>
      <c r="F47" s="1068" t="s">
        <v>540</v>
      </c>
      <c r="G47" s="2958">
        <v>0.21</v>
      </c>
      <c r="H47" s="2959" t="e">
        <f>+$C$16*G47</f>
        <v>#REF!</v>
      </c>
    </row>
    <row r="48" spans="1:8" ht="29.25" customHeight="1" x14ac:dyDescent="0.2">
      <c r="A48" s="1058"/>
      <c r="B48" s="1059"/>
      <c r="C48" s="1099" t="s">
        <v>199</v>
      </c>
      <c r="D48" s="1071">
        <f>'2016 Summary Table B'!N32</f>
        <v>7508165.4789902028</v>
      </c>
      <c r="E48" s="2972"/>
      <c r="F48" s="2093">
        <f>D56</f>
        <v>13349962.015149059</v>
      </c>
      <c r="G48" s="2958"/>
      <c r="H48" s="2959"/>
    </row>
    <row r="49" spans="1:8" ht="29.25" customHeight="1" x14ac:dyDescent="0.2">
      <c r="A49" s="1058"/>
      <c r="B49" s="1059"/>
      <c r="C49" s="1099" t="s">
        <v>200</v>
      </c>
      <c r="D49" s="1071">
        <f>'2016 Summary Table B'!N37</f>
        <v>6514177.144002378</v>
      </c>
      <c r="E49" s="2972"/>
      <c r="F49" s="1070"/>
      <c r="G49" s="2958"/>
      <c r="H49" s="2959"/>
    </row>
    <row r="50" spans="1:8" ht="29.25" customHeight="1" x14ac:dyDescent="0.2">
      <c r="A50" s="1058"/>
      <c r="B50" s="1059"/>
      <c r="C50" s="1099" t="s">
        <v>506</v>
      </c>
      <c r="D50" s="1071">
        <f>'2016 Summary Table B'!N41</f>
        <v>2708622.0963730463</v>
      </c>
      <c r="E50" s="2972"/>
      <c r="F50" s="1070"/>
      <c r="G50" s="2958"/>
      <c r="H50" s="2959"/>
    </row>
    <row r="51" spans="1:8" ht="29.25" customHeight="1" x14ac:dyDescent="0.2">
      <c r="A51" s="1058"/>
      <c r="B51" s="1059"/>
      <c r="C51" s="1099" t="s">
        <v>245</v>
      </c>
      <c r="D51" s="1071">
        <f>'2016 Summary Table B'!N45</f>
        <v>859932.15944450011</v>
      </c>
      <c r="E51" s="2972"/>
      <c r="F51" s="1070"/>
      <c r="G51" s="2958"/>
      <c r="H51" s="2959"/>
    </row>
    <row r="52" spans="1:8" ht="29.25" customHeight="1" x14ac:dyDescent="0.25">
      <c r="A52" s="1058"/>
      <c r="B52" s="1069"/>
      <c r="C52" s="1098" t="s">
        <v>386</v>
      </c>
      <c r="D52" s="1066">
        <f>SUM(D48:D51)</f>
        <v>17590896.878810126</v>
      </c>
      <c r="E52" s="2972"/>
      <c r="F52" s="1412"/>
      <c r="G52" s="2958"/>
      <c r="H52" s="2959"/>
    </row>
    <row r="53" spans="1:8" ht="13.5" customHeight="1" x14ac:dyDescent="0.25">
      <c r="A53" s="1058"/>
      <c r="B53" s="1069"/>
      <c r="C53" s="1097"/>
      <c r="D53" s="1066"/>
      <c r="E53" s="1058"/>
      <c r="F53" s="1412"/>
      <c r="G53" s="1067"/>
      <c r="H53" s="1057"/>
    </row>
    <row r="54" spans="1:8" ht="29.25" customHeight="1" x14ac:dyDescent="0.25">
      <c r="A54" s="1062"/>
      <c r="B54" s="1059"/>
      <c r="C54" s="1098" t="s">
        <v>387</v>
      </c>
      <c r="D54" s="1065">
        <f>'2016 Summary Table B'!F67/'2016 Summary Table B'!N67</f>
        <v>0.75891309619524472</v>
      </c>
      <c r="E54" s="1062"/>
      <c r="F54" s="1412"/>
      <c r="G54" s="1058"/>
      <c r="H54" s="1057"/>
    </row>
    <row r="55" spans="1:8" ht="9.75" customHeight="1" x14ac:dyDescent="0.25">
      <c r="A55" s="1062"/>
      <c r="B55" s="1059"/>
      <c r="C55" s="1061"/>
      <c r="D55" s="1064"/>
      <c r="E55" s="2088"/>
      <c r="F55" s="1412"/>
      <c r="G55" s="1058"/>
      <c r="H55" s="1057"/>
    </row>
    <row r="56" spans="1:8" ht="29.25" customHeight="1" thickBot="1" x14ac:dyDescent="0.3">
      <c r="A56" s="1062"/>
      <c r="B56" s="1059"/>
      <c r="C56" s="1407" t="s">
        <v>537</v>
      </c>
      <c r="D56" s="2087">
        <f>D52*D54</f>
        <v>13349962.015149059</v>
      </c>
      <c r="E56" s="2089"/>
      <c r="F56" s="2090"/>
      <c r="G56" s="2091"/>
      <c r="H56" s="2092"/>
    </row>
    <row r="57" spans="1:8" ht="15.75" thickBot="1" x14ac:dyDescent="0.3">
      <c r="A57" s="1051"/>
      <c r="B57" s="1056"/>
      <c r="C57" s="2084" t="s">
        <v>538</v>
      </c>
      <c r="D57" s="2085" t="e">
        <f>D56-B47</f>
        <v>#REF!</v>
      </c>
      <c r="E57" s="1055"/>
      <c r="F57" s="1054" t="e">
        <f>D57</f>
        <v>#REF!</v>
      </c>
      <c r="G57" s="1053">
        <v>0.21</v>
      </c>
      <c r="H57" s="1052" t="e">
        <f>+$C$16*G57</f>
        <v>#REF!</v>
      </c>
    </row>
    <row r="58" spans="1:8" ht="135.75" thickBot="1" x14ac:dyDescent="0.3">
      <c r="A58" s="1050" t="s">
        <v>245</v>
      </c>
      <c r="B58" s="1075" t="e">
        <f>'2016 Summary Table B'!C45</f>
        <v>#REF!</v>
      </c>
      <c r="C58" s="2165" t="s">
        <v>637</v>
      </c>
      <c r="D58" s="2085"/>
      <c r="E58" s="2105" t="s">
        <v>521</v>
      </c>
      <c r="F58" s="2104" t="s">
        <v>527</v>
      </c>
      <c r="G58" s="2102">
        <v>0.05</v>
      </c>
      <c r="H58" s="2103" t="e">
        <f>+$C$16*G58</f>
        <v>#REF!</v>
      </c>
    </row>
    <row r="59" spans="1:8" ht="135.75" thickBot="1" x14ac:dyDescent="0.3">
      <c r="A59" s="1050" t="s">
        <v>532</v>
      </c>
      <c r="B59" s="1075"/>
      <c r="C59" s="2165" t="s">
        <v>638</v>
      </c>
      <c r="D59" s="2085"/>
      <c r="E59" s="2105" t="s">
        <v>521</v>
      </c>
      <c r="F59" s="2104" t="s">
        <v>522</v>
      </c>
      <c r="G59" s="2102">
        <v>0.05</v>
      </c>
      <c r="H59" s="2103" t="e">
        <f>+$C$16*G59</f>
        <v>#REF!</v>
      </c>
    </row>
    <row r="60" spans="1:8" ht="30.75" thickBot="1" x14ac:dyDescent="0.3">
      <c r="A60" s="1050" t="s">
        <v>507</v>
      </c>
      <c r="B60" s="1075"/>
      <c r="C60" s="1050"/>
      <c r="D60" s="2085"/>
      <c r="E60" s="2105"/>
      <c r="F60" s="2104"/>
      <c r="G60" s="2102">
        <f>SUM(G28:G59)</f>
        <v>1</v>
      </c>
      <c r="H60" s="2103" t="e">
        <f>SUM(H28:H59)</f>
        <v>#REF!</v>
      </c>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sheetData>
  <mergeCells count="13">
    <mergeCell ref="E47:E52"/>
    <mergeCell ref="G47:G52"/>
    <mergeCell ref="H47:H52"/>
    <mergeCell ref="E28:E39"/>
    <mergeCell ref="C45:D45"/>
    <mergeCell ref="C46:D46"/>
    <mergeCell ref="G28:G39"/>
    <mergeCell ref="H28:H39"/>
    <mergeCell ref="A5:H5"/>
    <mergeCell ref="A26:B26"/>
    <mergeCell ref="C26:D27"/>
    <mergeCell ref="E26:H26"/>
    <mergeCell ref="A27:B27"/>
  </mergeCells>
  <printOptions horizontalCentered="1"/>
  <pageMargins left="0.5" right="0.5" top="0.75" bottom="0.75" header="0.5" footer="0.25"/>
  <pageSetup scale="66" fitToHeight="0" orientation="landscape" r:id="rId1"/>
  <headerFooter alignWithMargins="0">
    <oddFooter>&amp;C&amp;1#&amp;"Calibri"&amp;12&amp;K008000Internal Use</oddFooter>
  </headerFooter>
  <rowBreaks count="2" manualBreakCount="2">
    <brk id="25" max="7" man="1"/>
    <brk id="46" max="7"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2">
    <tabColor theme="8"/>
    <pageSetUpPr fitToPage="1"/>
  </sheetPr>
  <dimension ref="A1:H92"/>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392</v>
      </c>
      <c r="B1" s="1096"/>
    </row>
    <row r="2" spans="1:8" ht="18.75" x14ac:dyDescent="0.3">
      <c r="A2" s="1096" t="s">
        <v>388</v>
      </c>
      <c r="B2" s="1096"/>
    </row>
    <row r="3" spans="1:8" ht="12.75" customHeight="1" x14ac:dyDescent="0.2">
      <c r="A3" s="1095"/>
      <c r="B3" s="1095"/>
    </row>
    <row r="4" spans="1:8" ht="12.75" customHeight="1" x14ac:dyDescent="0.2">
      <c r="A4" s="1095"/>
      <c r="B4" s="1095"/>
    </row>
    <row r="5" spans="1:8" s="1089" customFormat="1" ht="12.75" customHeight="1" x14ac:dyDescent="0.25">
      <c r="A5" s="2960" t="s">
        <v>389</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378</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1084">
        <v>75</v>
      </c>
      <c r="B13" s="2086">
        <v>2.5000000000000001E-2</v>
      </c>
      <c r="C13" s="1085" t="e">
        <f t="shared" ref="C13:C19" si="0">$B$21*B13</f>
        <v>#REF!</v>
      </c>
      <c r="D13" s="1077"/>
    </row>
    <row r="14" spans="1:8" ht="15.75" x14ac:dyDescent="0.25">
      <c r="A14" s="1084">
        <v>80</v>
      </c>
      <c r="B14" s="2086">
        <v>0.03</v>
      </c>
      <c r="C14" s="1085" t="e">
        <f>$B$21*B14</f>
        <v>#REF!</v>
      </c>
      <c r="D14" s="1077"/>
    </row>
    <row r="15" spans="1:8" ht="15.75" x14ac:dyDescent="0.25">
      <c r="A15" s="1084">
        <v>90</v>
      </c>
      <c r="B15" s="2086">
        <v>0.04</v>
      </c>
      <c r="C15" s="1085" t="e">
        <f t="shared" si="0"/>
        <v>#REF!</v>
      </c>
      <c r="D15" s="1077"/>
    </row>
    <row r="16" spans="1:8" ht="15.75" x14ac:dyDescent="0.25">
      <c r="A16" s="1084">
        <v>100</v>
      </c>
      <c r="B16" s="2086">
        <v>0.05</v>
      </c>
      <c r="C16" s="1085" t="e">
        <f t="shared" si="0"/>
        <v>#REF!</v>
      </c>
      <c r="D16" s="1077"/>
    </row>
    <row r="17" spans="1:8" ht="15.75" x14ac:dyDescent="0.25">
      <c r="A17" s="1084">
        <v>110</v>
      </c>
      <c r="B17" s="2086">
        <v>0.06</v>
      </c>
      <c r="C17" s="1085" t="e">
        <f t="shared" si="0"/>
        <v>#REF!</v>
      </c>
      <c r="D17" s="1077"/>
    </row>
    <row r="18" spans="1:8" ht="15.75" x14ac:dyDescent="0.25">
      <c r="A18" s="1084">
        <v>120</v>
      </c>
      <c r="B18" s="2086">
        <v>7.0000000000000007E-2</v>
      </c>
      <c r="C18" s="1085" t="e">
        <f t="shared" si="0"/>
        <v>#REF!</v>
      </c>
      <c r="D18" s="1077"/>
    </row>
    <row r="19" spans="1:8" ht="15.75" customHeight="1" x14ac:dyDescent="0.25">
      <c r="A19" s="1084">
        <v>130</v>
      </c>
      <c r="B19" s="2086">
        <v>0.08</v>
      </c>
      <c r="C19" s="1085" t="e">
        <f t="shared" si="0"/>
        <v>#REF!</v>
      </c>
      <c r="D19" s="1077"/>
    </row>
    <row r="20" spans="1:8" ht="19.5" customHeight="1" x14ac:dyDescent="0.2">
      <c r="A20" s="1084"/>
      <c r="B20" s="1083"/>
      <c r="C20" s="1080"/>
      <c r="D20" s="1077"/>
    </row>
    <row r="21" spans="1:8" ht="19.5" customHeight="1" x14ac:dyDescent="0.25">
      <c r="A21" s="1082" t="s">
        <v>372</v>
      </c>
      <c r="B21" s="1081" t="e">
        <f>'SCG Table A'!#REF!-'SCG Table A'!#REF!-'SCG Table A'!#REF!-'SCG Table A'!#REF!</f>
        <v>#REF!</v>
      </c>
      <c r="C21" s="1080"/>
      <c r="D21" s="1077"/>
    </row>
    <row r="22" spans="1:8" ht="19.5" customHeight="1" x14ac:dyDescent="0.25">
      <c r="A22" s="1082"/>
      <c r="B22" s="1081"/>
      <c r="C22" s="1080"/>
      <c r="D22" s="1077"/>
    </row>
    <row r="23" spans="1:8" ht="19.5" customHeight="1" thickBot="1" x14ac:dyDescent="0.25">
      <c r="A23" s="1079" t="s">
        <v>371</v>
      </c>
      <c r="C23" s="1078"/>
      <c r="D23" s="1077"/>
    </row>
    <row r="24" spans="1:8" ht="19.5" customHeight="1" thickBot="1" x14ac:dyDescent="0.25">
      <c r="A24" s="2968" t="s">
        <v>502</v>
      </c>
      <c r="B24" s="2969"/>
      <c r="C24" s="2962" t="s">
        <v>370</v>
      </c>
      <c r="D24" s="2963"/>
      <c r="E24" s="2966" t="s">
        <v>369</v>
      </c>
      <c r="F24" s="2966"/>
      <c r="G24" s="2966"/>
      <c r="H24" s="2967"/>
    </row>
    <row r="25" spans="1:8" ht="31.5" customHeight="1" thickBot="1" x14ac:dyDescent="0.25">
      <c r="A25" s="2970" t="s">
        <v>79</v>
      </c>
      <c r="B25" s="2971"/>
      <c r="C25" s="2964"/>
      <c r="D25" s="2965"/>
      <c r="E25" s="2083" t="s">
        <v>368</v>
      </c>
      <c r="F25" s="2083" t="s">
        <v>367</v>
      </c>
      <c r="G25" s="2083" t="s">
        <v>366</v>
      </c>
      <c r="H25" s="2083" t="s">
        <v>365</v>
      </c>
    </row>
    <row r="26" spans="1:8" ht="30" customHeight="1" thickBot="1" x14ac:dyDescent="0.25">
      <c r="A26" s="1050" t="s">
        <v>500</v>
      </c>
      <c r="B26" s="1075" t="e">
        <f>'SCG Table A'!#REF!</f>
        <v>#REF!</v>
      </c>
      <c r="C26" s="1098" t="s">
        <v>383</v>
      </c>
      <c r="D26" s="1066"/>
      <c r="E26" s="2957" t="s">
        <v>535</v>
      </c>
      <c r="F26" s="1068" t="s">
        <v>536</v>
      </c>
      <c r="G26" s="2958">
        <v>0.19500000000000001</v>
      </c>
      <c r="H26" s="2959" t="e">
        <f>+$C$16*G26</f>
        <v>#REF!</v>
      </c>
    </row>
    <row r="27" spans="1:8" ht="29.25" customHeight="1" x14ac:dyDescent="0.2">
      <c r="A27" s="1058"/>
      <c r="B27" s="1072"/>
      <c r="C27" s="1099" t="s">
        <v>283</v>
      </c>
      <c r="D27" s="1066">
        <f>'2014 Summary Table B '!N9</f>
        <v>6633848.8145862157</v>
      </c>
      <c r="E27" s="2957"/>
      <c r="F27" s="1072">
        <f>D40</f>
        <v>14352102.883410539</v>
      </c>
      <c r="G27" s="2958"/>
      <c r="H27" s="2959"/>
    </row>
    <row r="28" spans="1:8" ht="30" hidden="1" customHeight="1" x14ac:dyDescent="0.2">
      <c r="A28" s="1058"/>
      <c r="B28" s="1059"/>
      <c r="C28" s="1099" t="s">
        <v>149</v>
      </c>
      <c r="D28" s="1071"/>
      <c r="E28" s="2957"/>
      <c r="F28" s="1073">
        <v>8826015.5371230152</v>
      </c>
      <c r="G28" s="2958"/>
      <c r="H28" s="2959"/>
    </row>
    <row r="29" spans="1:8" ht="30" hidden="1" customHeight="1" x14ac:dyDescent="0.2">
      <c r="A29" s="1058"/>
      <c r="B29" s="1059"/>
      <c r="C29" s="1099" t="s">
        <v>227</v>
      </c>
      <c r="D29" s="1071"/>
      <c r="E29" s="2957"/>
      <c r="F29" s="1059"/>
      <c r="G29" s="2958"/>
      <c r="H29" s="2959"/>
    </row>
    <row r="30" spans="1:8" ht="30" hidden="1" customHeight="1" x14ac:dyDescent="0.2">
      <c r="A30" s="1058"/>
      <c r="B30" s="1059"/>
      <c r="C30" s="1099" t="s">
        <v>110</v>
      </c>
      <c r="D30" s="1071"/>
      <c r="E30" s="2957"/>
      <c r="F30" s="1059"/>
      <c r="G30" s="2958"/>
      <c r="H30" s="2959"/>
    </row>
    <row r="31" spans="1:8" ht="30" hidden="1" customHeight="1" x14ac:dyDescent="0.2">
      <c r="A31" s="1058"/>
      <c r="B31" s="1059"/>
      <c r="C31" s="1099"/>
      <c r="D31" s="1071"/>
      <c r="E31" s="2957"/>
      <c r="F31" s="1059"/>
      <c r="G31" s="2958"/>
      <c r="H31" s="2959"/>
    </row>
    <row r="32" spans="1:8" ht="30" customHeight="1" x14ac:dyDescent="0.2">
      <c r="A32" s="1058"/>
      <c r="B32" s="1059"/>
      <c r="C32" s="1099" t="s">
        <v>160</v>
      </c>
      <c r="D32" s="1071">
        <f>'2014 Summary Table B '!N13</f>
        <v>7658261.3842356633</v>
      </c>
      <c r="E32" s="2957"/>
      <c r="G32" s="2958"/>
      <c r="H32" s="2959"/>
    </row>
    <row r="33" spans="1:8" ht="30" customHeight="1" x14ac:dyDescent="0.2">
      <c r="A33" s="1058"/>
      <c r="B33" s="1059"/>
      <c r="C33" s="1099" t="s">
        <v>531</v>
      </c>
      <c r="D33" s="1071">
        <f>'2014 Summary Table B '!N16</f>
        <v>1454240.582218348</v>
      </c>
      <c r="E33" s="2957"/>
      <c r="G33" s="2958"/>
      <c r="H33" s="2959"/>
    </row>
    <row r="34" spans="1:8" ht="30" customHeight="1" x14ac:dyDescent="0.2">
      <c r="A34" s="1058"/>
      <c r="B34" s="1059"/>
      <c r="C34" s="1099" t="s">
        <v>384</v>
      </c>
      <c r="D34" s="1071">
        <f>'2014 Summary Table B '!N18</f>
        <v>987584.10782440472</v>
      </c>
      <c r="E34" s="2957"/>
      <c r="F34" s="1059"/>
      <c r="G34" s="2958"/>
      <c r="H34" s="2959"/>
    </row>
    <row r="35" spans="1:8" ht="30" customHeight="1" x14ac:dyDescent="0.2">
      <c r="A35" s="1058"/>
      <c r="B35" s="1059"/>
      <c r="C35" s="1099" t="s">
        <v>198</v>
      </c>
      <c r="D35" s="1071">
        <f>'2014 Summary Table B '!N22</f>
        <v>936670.74450904946</v>
      </c>
      <c r="E35" s="2957"/>
      <c r="F35" s="1059"/>
      <c r="G35" s="2958"/>
      <c r="H35" s="2959"/>
    </row>
    <row r="36" spans="1:8" ht="30" customHeight="1" x14ac:dyDescent="0.25">
      <c r="A36" s="1058"/>
      <c r="B36" s="1069"/>
      <c r="C36" s="1098" t="s">
        <v>386</v>
      </c>
      <c r="D36" s="1066">
        <f>SUM(D27:D35)</f>
        <v>17670605.633373681</v>
      </c>
      <c r="E36" s="2957"/>
      <c r="F36" s="1044"/>
      <c r="G36" s="2958"/>
      <c r="H36" s="2959"/>
    </row>
    <row r="37" spans="1:8" ht="12.75" customHeight="1" x14ac:dyDescent="0.25">
      <c r="A37" s="1058"/>
      <c r="B37" s="1069"/>
      <c r="C37" s="1097"/>
      <c r="D37" s="1066"/>
      <c r="E37" s="1068"/>
      <c r="F37" s="1044"/>
      <c r="G37" s="1067"/>
      <c r="H37" s="1057"/>
    </row>
    <row r="38" spans="1:8" ht="30" customHeight="1" x14ac:dyDescent="0.25">
      <c r="A38" s="1062"/>
      <c r="B38" s="1059"/>
      <c r="C38" s="1098" t="s">
        <v>387</v>
      </c>
      <c r="D38" s="1065">
        <f>'2014 Summary Table B '!F60/'2014 Summary Table B '!N60</f>
        <v>0.81220209319279724</v>
      </c>
      <c r="E38" s="1059"/>
      <c r="F38" s="1044"/>
      <c r="G38" s="1058"/>
      <c r="H38" s="1057"/>
    </row>
    <row r="39" spans="1:8" ht="12" customHeight="1" x14ac:dyDescent="0.25">
      <c r="A39" s="1062"/>
      <c r="B39" s="1059"/>
      <c r="C39" s="1061"/>
      <c r="D39" s="1064"/>
      <c r="E39" s="1063"/>
      <c r="F39" s="1044"/>
      <c r="G39" s="1058"/>
      <c r="H39" s="1057"/>
    </row>
    <row r="40" spans="1:8" ht="30" customHeight="1" thickBot="1" x14ac:dyDescent="0.3">
      <c r="A40" s="1062"/>
      <c r="B40" s="1059"/>
      <c r="C40" s="1061" t="s">
        <v>533</v>
      </c>
      <c r="D40" s="1060">
        <f>D36*D38</f>
        <v>14352102.883410539</v>
      </c>
      <c r="E40" s="1059"/>
      <c r="F40" s="1044"/>
      <c r="G40" s="1058"/>
      <c r="H40" s="1057"/>
    </row>
    <row r="41" spans="1:8" ht="31.5" customHeight="1" thickBot="1" x14ac:dyDescent="0.3">
      <c r="A41" s="1051"/>
      <c r="B41" s="1056"/>
      <c r="C41" s="2169" t="s">
        <v>534</v>
      </c>
      <c r="D41" s="2098" t="e">
        <f>D40-B26</f>
        <v>#REF!</v>
      </c>
      <c r="E41" s="1055"/>
      <c r="F41" s="1054" t="e">
        <f>D41</f>
        <v>#REF!</v>
      </c>
      <c r="G41" s="1053">
        <v>0.19500000000000001</v>
      </c>
      <c r="H41" s="1052" t="e">
        <f>+$C$16*G41</f>
        <v>#REF!</v>
      </c>
    </row>
    <row r="42" spans="1:8" ht="44.25" customHeight="1" thickBot="1" x14ac:dyDescent="0.25">
      <c r="A42" s="2096" t="s">
        <v>198</v>
      </c>
      <c r="B42" s="2171" t="e">
        <f>'2014 Summary Table B '!C22</f>
        <v>#REF!</v>
      </c>
      <c r="C42" s="2973" t="s">
        <v>541</v>
      </c>
      <c r="D42" s="2974"/>
      <c r="E42" s="2166" t="s">
        <v>503</v>
      </c>
      <c r="F42" s="2099">
        <v>300</v>
      </c>
      <c r="G42" s="2094">
        <v>0.01</v>
      </c>
      <c r="H42" s="2095" t="e">
        <f>+$C$16*G42</f>
        <v>#REF!</v>
      </c>
    </row>
    <row r="43" spans="1:8" ht="44.25" customHeight="1" thickBot="1" x14ac:dyDescent="0.25">
      <c r="A43" s="2096" t="s">
        <v>504</v>
      </c>
      <c r="B43" s="2171" t="e">
        <f>'2014 Summary Table B '!C13</f>
        <v>#REF!</v>
      </c>
      <c r="C43" s="2973" t="s">
        <v>516</v>
      </c>
      <c r="D43" s="2974"/>
      <c r="E43" s="2167" t="s">
        <v>517</v>
      </c>
      <c r="F43" s="2164">
        <v>116.6</v>
      </c>
      <c r="G43" s="2094">
        <v>0.05</v>
      </c>
      <c r="H43" s="2095" t="e">
        <f>+$C$16*G43</f>
        <v>#REF!</v>
      </c>
    </row>
    <row r="44" spans="1:8" ht="47.25" customHeight="1" thickBot="1" x14ac:dyDescent="0.25">
      <c r="A44" s="1050" t="s">
        <v>505</v>
      </c>
      <c r="B44" s="2172" t="e">
        <f>'2014 Summary Table B '!C9</f>
        <v>#REF!</v>
      </c>
      <c r="C44" s="2973" t="s">
        <v>518</v>
      </c>
      <c r="D44" s="2974"/>
      <c r="E44" s="2168" t="s">
        <v>518</v>
      </c>
      <c r="F44" s="2170">
        <f>'2014 Summary Table B '!M9</f>
        <v>337721.32290417759</v>
      </c>
      <c r="G44" s="2102">
        <v>0.03</v>
      </c>
      <c r="H44" s="2103" t="e">
        <f>+$C$16*G44</f>
        <v>#REF!</v>
      </c>
    </row>
    <row r="45" spans="1:8" ht="30.75" thickBot="1" x14ac:dyDescent="0.25">
      <c r="A45" s="2100" t="s">
        <v>501</v>
      </c>
      <c r="B45" s="2101" t="e">
        <f>'SCG Table A'!#REF!</f>
        <v>#REF!</v>
      </c>
      <c r="C45" s="1098" t="s">
        <v>383</v>
      </c>
      <c r="D45" s="1066"/>
      <c r="E45" s="2972" t="s">
        <v>539</v>
      </c>
      <c r="F45" s="1068" t="s">
        <v>540</v>
      </c>
      <c r="G45" s="2958">
        <v>0.21</v>
      </c>
      <c r="H45" s="2959" t="e">
        <f>+$C$16*G45</f>
        <v>#REF!</v>
      </c>
    </row>
    <row r="46" spans="1:8" ht="29.25" customHeight="1" x14ac:dyDescent="0.2">
      <c r="A46" s="1058"/>
      <c r="B46" s="1059"/>
      <c r="C46" s="1099" t="s">
        <v>199</v>
      </c>
      <c r="D46" s="1071">
        <f>'2014 Summary Table B '!N29</f>
        <v>3457710.8616483728</v>
      </c>
      <c r="E46" s="2972"/>
      <c r="F46" s="2093">
        <f>D54</f>
        <v>5824186.7126663122</v>
      </c>
      <c r="G46" s="2958"/>
      <c r="H46" s="2959"/>
    </row>
    <row r="47" spans="1:8" ht="29.25" customHeight="1" x14ac:dyDescent="0.2">
      <c r="A47" s="1058"/>
      <c r="B47" s="1059"/>
      <c r="C47" s="1099" t="s">
        <v>200</v>
      </c>
      <c r="D47" s="1071">
        <f>'2014 Summary Table B '!N34</f>
        <v>1770426.1128222048</v>
      </c>
      <c r="E47" s="2972"/>
      <c r="F47" s="1070"/>
      <c r="G47" s="2958"/>
      <c r="H47" s="2959"/>
    </row>
    <row r="48" spans="1:8" ht="29.25" customHeight="1" x14ac:dyDescent="0.2">
      <c r="A48" s="1058"/>
      <c r="B48" s="1059"/>
      <c r="C48" s="1099" t="s">
        <v>506</v>
      </c>
      <c r="D48" s="1071">
        <f>'2014 Summary Table B '!N38</f>
        <v>1560392.8356186626</v>
      </c>
      <c r="E48" s="2972"/>
      <c r="F48" s="1070"/>
      <c r="G48" s="2958"/>
      <c r="H48" s="2959"/>
    </row>
    <row r="49" spans="1:8" ht="29.25" customHeight="1" x14ac:dyDescent="0.2">
      <c r="A49" s="1058"/>
      <c r="B49" s="1059"/>
      <c r="C49" s="1099" t="s">
        <v>245</v>
      </c>
      <c r="D49" s="1071">
        <f>'2014 Summary Table B '!N42</f>
        <v>353167.47390294902</v>
      </c>
      <c r="E49" s="2972"/>
      <c r="F49" s="1070"/>
      <c r="G49" s="2958"/>
      <c r="H49" s="2959"/>
    </row>
    <row r="50" spans="1:8" ht="29.25" customHeight="1" x14ac:dyDescent="0.25">
      <c r="A50" s="1058"/>
      <c r="B50" s="1069"/>
      <c r="C50" s="1098" t="s">
        <v>386</v>
      </c>
      <c r="D50" s="1066">
        <f>SUM(D46:D49)</f>
        <v>7141697.2839921899</v>
      </c>
      <c r="E50" s="2972"/>
      <c r="F50" s="1412"/>
      <c r="G50" s="2958"/>
      <c r="H50" s="2959"/>
    </row>
    <row r="51" spans="1:8" ht="13.5" customHeight="1" x14ac:dyDescent="0.25">
      <c r="A51" s="1058"/>
      <c r="B51" s="1069"/>
      <c r="C51" s="1097"/>
      <c r="D51" s="1066"/>
      <c r="E51" s="1058"/>
      <c r="F51" s="1412"/>
      <c r="G51" s="1067"/>
      <c r="H51" s="1057"/>
    </row>
    <row r="52" spans="1:8" ht="29.25" customHeight="1" x14ac:dyDescent="0.25">
      <c r="A52" s="1062"/>
      <c r="B52" s="1059"/>
      <c r="C52" s="1098" t="s">
        <v>387</v>
      </c>
      <c r="D52" s="1065">
        <f>'2014 Summary Table B '!F64/'2014 Summary Table B '!N64</f>
        <v>0.81551856387430177</v>
      </c>
      <c r="E52" s="1062"/>
      <c r="F52" s="1412"/>
      <c r="G52" s="1058"/>
      <c r="H52" s="1057"/>
    </row>
    <row r="53" spans="1:8" ht="9.75" customHeight="1" x14ac:dyDescent="0.25">
      <c r="A53" s="1062"/>
      <c r="B53" s="1059"/>
      <c r="C53" s="1061"/>
      <c r="D53" s="1064"/>
      <c r="E53" s="2088"/>
      <c r="F53" s="1412"/>
      <c r="G53" s="1058"/>
      <c r="H53" s="1057"/>
    </row>
    <row r="54" spans="1:8" ht="29.25" customHeight="1" thickBot="1" x14ac:dyDescent="0.3">
      <c r="A54" s="1062"/>
      <c r="B54" s="1059"/>
      <c r="C54" s="1407" t="s">
        <v>537</v>
      </c>
      <c r="D54" s="2087">
        <f>D50*D52</f>
        <v>5824186.7126663122</v>
      </c>
      <c r="E54" s="2089"/>
      <c r="F54" s="2090"/>
      <c r="G54" s="2091"/>
      <c r="H54" s="2092"/>
    </row>
    <row r="55" spans="1:8" ht="15.75" thickBot="1" x14ac:dyDescent="0.3">
      <c r="A55" s="1051"/>
      <c r="B55" s="1056"/>
      <c r="C55" s="2084" t="s">
        <v>538</v>
      </c>
      <c r="D55" s="2085" t="e">
        <f>D54-B45</f>
        <v>#REF!</v>
      </c>
      <c r="E55" s="1055"/>
      <c r="F55" s="1054" t="e">
        <f>D55</f>
        <v>#REF!</v>
      </c>
      <c r="G55" s="1053">
        <v>0.21</v>
      </c>
      <c r="H55" s="1052" t="e">
        <f>+$C$16*G55</f>
        <v>#REF!</v>
      </c>
    </row>
    <row r="56" spans="1:8" ht="375.75" thickBot="1" x14ac:dyDescent="0.3">
      <c r="A56" s="1050" t="s">
        <v>245</v>
      </c>
      <c r="B56" s="1075" t="e">
        <f>'2014 Summary Table B '!C42</f>
        <v>#REF!</v>
      </c>
      <c r="C56" s="2165" t="s">
        <v>528</v>
      </c>
      <c r="D56" s="2085"/>
      <c r="E56" s="2105" t="s">
        <v>521</v>
      </c>
      <c r="F56" s="2104" t="s">
        <v>519</v>
      </c>
      <c r="G56" s="2102">
        <v>0.03</v>
      </c>
      <c r="H56" s="2103" t="e">
        <f>+$C$16*G56</f>
        <v>#REF!</v>
      </c>
    </row>
    <row r="57" spans="1:8" ht="165.75" thickBot="1" x14ac:dyDescent="0.3">
      <c r="A57" s="1050" t="s">
        <v>532</v>
      </c>
      <c r="B57" s="1075"/>
      <c r="C57" s="2165" t="s">
        <v>520</v>
      </c>
      <c r="D57" s="2085"/>
      <c r="E57" s="2105" t="s">
        <v>521</v>
      </c>
      <c r="F57" s="2104" t="s">
        <v>522</v>
      </c>
      <c r="G57" s="2102">
        <v>0.03</v>
      </c>
      <c r="H57" s="2103" t="e">
        <f>+$C$16*G57</f>
        <v>#REF!</v>
      </c>
    </row>
    <row r="58" spans="1:8" ht="225.75" thickBot="1" x14ac:dyDescent="0.3">
      <c r="A58" s="1050" t="s">
        <v>523</v>
      </c>
      <c r="B58" s="1075"/>
      <c r="C58" s="2165" t="s">
        <v>524</v>
      </c>
      <c r="D58" s="2085"/>
      <c r="E58" s="2105" t="s">
        <v>525</v>
      </c>
      <c r="F58" s="2105" t="s">
        <v>526</v>
      </c>
      <c r="G58" s="2102">
        <v>0.04</v>
      </c>
      <c r="H58" s="2103" t="e">
        <f>+$C$16*G58</f>
        <v>#REF!</v>
      </c>
    </row>
    <row r="59" spans="1:8" ht="30.75" thickBot="1" x14ac:dyDescent="0.3">
      <c r="A59" s="1050" t="s">
        <v>507</v>
      </c>
      <c r="B59" s="1075"/>
      <c r="C59" s="1050"/>
      <c r="D59" s="2085"/>
      <c r="E59" s="2105"/>
      <c r="F59" s="2104"/>
      <c r="G59" s="2102">
        <f>SUM(G26:G58)</f>
        <v>1</v>
      </c>
      <c r="H59" s="2103" t="e">
        <f>SUM(H26:H58)</f>
        <v>#REF!</v>
      </c>
    </row>
    <row r="60" spans="1:8" ht="14.25" x14ac:dyDescent="0.2">
      <c r="A60" s="1042"/>
      <c r="B60" s="1042"/>
      <c r="C60" s="1042"/>
      <c r="D60" s="1042"/>
      <c r="E60" s="1042"/>
      <c r="F60" s="1042"/>
      <c r="G60" s="1041"/>
      <c r="H60" s="1041"/>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sheetData>
  <mergeCells count="14">
    <mergeCell ref="E45:E50"/>
    <mergeCell ref="G45:G50"/>
    <mergeCell ref="H45:H50"/>
    <mergeCell ref="C44:D44"/>
    <mergeCell ref="E26:E36"/>
    <mergeCell ref="C43:D43"/>
    <mergeCell ref="C42:D42"/>
    <mergeCell ref="G26:G36"/>
    <mergeCell ref="H26:H36"/>
    <mergeCell ref="A5:H5"/>
    <mergeCell ref="A24:B24"/>
    <mergeCell ref="C24:D25"/>
    <mergeCell ref="E24:H24"/>
    <mergeCell ref="A25:B25"/>
  </mergeCells>
  <printOptions horizontalCentered="1"/>
  <pageMargins left="0.5" right="0.5" top="0.75" bottom="0.75" header="0.5" footer="0.25"/>
  <pageSetup scale="67" fitToHeight="0" orientation="landscape" r:id="rId1"/>
  <headerFooter alignWithMargins="0">
    <oddFooter>&amp;C&amp;1#&amp;"Calibri"&amp;12&amp;K008000Internal Use</oddFooter>
  </headerFooter>
  <rowBreaks count="2" manualBreakCount="2">
    <brk id="23" max="7" man="1"/>
    <brk id="44" max="7"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3">
    <tabColor indexed="11"/>
  </sheetPr>
  <dimension ref="A1:T97"/>
  <sheetViews>
    <sheetView workbookViewId="0">
      <pane xSplit="1" ySplit="7" topLeftCell="H20" activePane="bottomRight" state="frozen"/>
      <selection activeCell="J57" sqref="J57"/>
      <selection pane="topRight" activeCell="J57" sqref="J57"/>
      <selection pane="bottomLeft" activeCell="J57" sqref="J57"/>
      <selection pane="bottomRight" activeCell="J57" sqref="J57"/>
    </sheetView>
  </sheetViews>
  <sheetFormatPr defaultRowHeight="12.75" x14ac:dyDescent="0.2"/>
  <cols>
    <col min="1" max="1" width="43.28515625" style="1635" customWidth="1"/>
    <col min="2" max="2" width="13.5703125" style="1697" customWidth="1"/>
    <col min="3" max="3" width="12.85546875" style="1635" bestFit="1" customWidth="1"/>
    <col min="4" max="4" width="9.7109375" style="1635" customWidth="1"/>
    <col min="5" max="5" width="11.28515625" style="1635" bestFit="1" customWidth="1"/>
    <col min="6" max="6" width="11.28515625" style="1188" customWidth="1"/>
    <col min="7" max="7" width="13.85546875" style="1188" customWidth="1"/>
    <col min="8" max="8" width="14" style="1635" bestFit="1" customWidth="1"/>
    <col min="9" max="10" width="13.42578125" style="1188" customWidth="1"/>
    <col min="11" max="13" width="14" style="1635" bestFit="1" customWidth="1"/>
    <col min="14" max="14" width="5.140625" style="1698" customWidth="1"/>
    <col min="15" max="15" width="21.5703125" style="1635" customWidth="1"/>
    <col min="16" max="16384" width="9.140625" style="1635"/>
  </cols>
  <sheetData>
    <row r="1" spans="1:19" ht="12" x14ac:dyDescent="0.2">
      <c r="A1" s="2975" t="s">
        <v>48</v>
      </c>
      <c r="B1" s="2975"/>
      <c r="C1" s="2975"/>
      <c r="D1" s="2975"/>
      <c r="E1" s="2975"/>
      <c r="F1" s="2975"/>
      <c r="G1" s="2975"/>
      <c r="H1" s="2975"/>
      <c r="I1" s="2975"/>
      <c r="J1" s="2975"/>
      <c r="K1" s="2975"/>
      <c r="L1" s="2975"/>
      <c r="M1" s="2975"/>
      <c r="N1" s="2975"/>
    </row>
    <row r="2" spans="1:19" ht="12" x14ac:dyDescent="0.2">
      <c r="A2" s="1636"/>
      <c r="B2" s="1637"/>
      <c r="C2" s="1638"/>
      <c r="D2" s="1638"/>
      <c r="E2" s="1638"/>
      <c r="F2" s="1638"/>
      <c r="G2" s="1638"/>
      <c r="H2" s="1638"/>
      <c r="I2" s="1638"/>
      <c r="J2" s="1638"/>
      <c r="K2" s="1638"/>
      <c r="L2" s="1638"/>
      <c r="M2" s="1638"/>
      <c r="N2" s="1639"/>
    </row>
    <row r="3" spans="1:19" ht="12" x14ac:dyDescent="0.2">
      <c r="A3" s="1640" t="s">
        <v>303</v>
      </c>
      <c r="B3" s="1637"/>
      <c r="C3" s="1638"/>
      <c r="D3" s="1638"/>
      <c r="E3" s="1638"/>
      <c r="F3" s="1638"/>
      <c r="G3" s="1641"/>
      <c r="H3" s="1638"/>
      <c r="I3" s="1638"/>
      <c r="J3" s="1638"/>
      <c r="K3" s="1638"/>
      <c r="L3" s="1638"/>
      <c r="M3" s="1638"/>
      <c r="N3" s="1639"/>
    </row>
    <row r="4" spans="1:19" ht="12" x14ac:dyDescent="0.2">
      <c r="A4" s="1636"/>
      <c r="B4" s="1637"/>
      <c r="C4" s="1638"/>
      <c r="D4" s="1638"/>
      <c r="E4" s="1638"/>
      <c r="F4" s="1638"/>
      <c r="G4" s="1638"/>
      <c r="H4" s="1638"/>
      <c r="I4" s="1638"/>
      <c r="J4" s="1638"/>
      <c r="K4" s="1638"/>
      <c r="L4" s="1638"/>
      <c r="M4" s="1638"/>
      <c r="N4" s="1639"/>
    </row>
    <row r="5" spans="1:19" ht="12" x14ac:dyDescent="0.2">
      <c r="A5" s="1642"/>
      <c r="B5" s="1637"/>
      <c r="C5" s="1638"/>
      <c r="D5" s="1638"/>
      <c r="E5" s="1638"/>
      <c r="F5" s="1643"/>
      <c r="G5" s="1643"/>
      <c r="H5" s="1638"/>
      <c r="I5" s="1643"/>
      <c r="J5" s="1643"/>
      <c r="K5" s="1638"/>
      <c r="L5" s="1638"/>
      <c r="M5" s="1638"/>
      <c r="N5" s="1639"/>
    </row>
    <row r="6" spans="1:19" s="1644" customFormat="1" x14ac:dyDescent="0.2">
      <c r="A6" s="1642"/>
      <c r="B6" s="1634">
        <v>2006</v>
      </c>
      <c r="C6" s="1634">
        <v>2007</v>
      </c>
      <c r="D6" s="1634">
        <v>2008</v>
      </c>
      <c r="E6" s="1634">
        <v>2009</v>
      </c>
      <c r="F6" s="1634">
        <v>2010</v>
      </c>
      <c r="G6" s="1634">
        <v>2011</v>
      </c>
      <c r="H6" s="1634">
        <v>2012</v>
      </c>
      <c r="I6" s="1634">
        <v>2012</v>
      </c>
      <c r="J6" s="1634">
        <v>2012</v>
      </c>
      <c r="K6" s="1634">
        <v>2013</v>
      </c>
      <c r="L6" s="1634">
        <v>2014</v>
      </c>
      <c r="M6" s="1634">
        <v>2015</v>
      </c>
      <c r="N6" s="1639"/>
    </row>
    <row r="7" spans="1:19" s="1644" customFormat="1" x14ac:dyDescent="0.2">
      <c r="A7" s="1640" t="s">
        <v>44</v>
      </c>
      <c r="B7" s="1645" t="s">
        <v>148</v>
      </c>
      <c r="C7" s="1645" t="s">
        <v>148</v>
      </c>
      <c r="D7" s="1645" t="s">
        <v>148</v>
      </c>
      <c r="E7" s="1645" t="s">
        <v>148</v>
      </c>
      <c r="F7" s="1645" t="s">
        <v>148</v>
      </c>
      <c r="G7" s="1645" t="s">
        <v>148</v>
      </c>
      <c r="H7" s="1645" t="s">
        <v>1</v>
      </c>
      <c r="I7" s="1645" t="s">
        <v>442</v>
      </c>
      <c r="J7" s="1645" t="s">
        <v>212</v>
      </c>
      <c r="K7" s="1645" t="s">
        <v>1</v>
      </c>
      <c r="L7" s="1645" t="s">
        <v>1</v>
      </c>
      <c r="M7" s="1645" t="s">
        <v>1</v>
      </c>
      <c r="N7" s="1639"/>
    </row>
    <row r="8" spans="1:19" s="1644" customFormat="1" x14ac:dyDescent="0.2">
      <c r="A8" s="1637"/>
      <c r="B8" s="1638"/>
      <c r="C8" s="1638"/>
      <c r="D8" s="1638"/>
      <c r="E8" s="1638"/>
      <c r="F8" s="1638"/>
      <c r="G8" s="1638"/>
      <c r="H8" s="1638"/>
      <c r="I8" s="1638"/>
      <c r="J8" s="1638"/>
      <c r="K8" s="1638"/>
      <c r="L8" s="1638"/>
      <c r="M8" s="1638"/>
      <c r="N8" s="1639"/>
    </row>
    <row r="9" spans="1:19" s="1644" customFormat="1" x14ac:dyDescent="0.2">
      <c r="A9" s="1637" t="s">
        <v>53</v>
      </c>
      <c r="B9" s="1646">
        <v>39223</v>
      </c>
      <c r="C9" s="1646">
        <v>70812</v>
      </c>
      <c r="D9" s="1646">
        <v>74616</v>
      </c>
      <c r="E9" s="1646">
        <v>85041</v>
      </c>
      <c r="F9" s="1646">
        <v>107390.08</v>
      </c>
      <c r="G9" s="1646">
        <v>171855.92</v>
      </c>
      <c r="H9" s="1646">
        <v>175500</v>
      </c>
      <c r="I9" s="1646">
        <v>91197.11</v>
      </c>
      <c r="J9" s="1646">
        <v>156337.90285714285</v>
      </c>
      <c r="K9" s="1646">
        <v>242900</v>
      </c>
      <c r="L9" s="1646">
        <v>254550</v>
      </c>
      <c r="M9" s="1646">
        <v>266200</v>
      </c>
      <c r="N9" s="1639"/>
    </row>
    <row r="10" spans="1:19" s="1644" customFormat="1" x14ac:dyDescent="0.2">
      <c r="A10" s="1637" t="s">
        <v>4</v>
      </c>
      <c r="B10" s="1646">
        <v>28379</v>
      </c>
      <c r="C10" s="1646">
        <v>32610</v>
      </c>
      <c r="D10" s="1646">
        <v>72802</v>
      </c>
      <c r="E10" s="1646">
        <v>36830</v>
      </c>
      <c r="F10" s="1646">
        <v>45922.04</v>
      </c>
      <c r="G10" s="1647">
        <v>128535.93</v>
      </c>
      <c r="H10" s="1648">
        <v>180000</v>
      </c>
      <c r="I10" s="1646">
        <v>33360.69999999999</v>
      </c>
      <c r="J10" s="1646">
        <v>46925</v>
      </c>
      <c r="K10" s="1646">
        <v>75396</v>
      </c>
      <c r="L10" s="1646">
        <v>70674</v>
      </c>
      <c r="M10" s="1646">
        <v>71756.704220862404</v>
      </c>
      <c r="N10" s="1639"/>
    </row>
    <row r="11" spans="1:19" s="1644" customFormat="1" x14ac:dyDescent="0.2">
      <c r="A11" s="1637" t="s">
        <v>19</v>
      </c>
      <c r="B11" s="1646">
        <v>261</v>
      </c>
      <c r="C11" s="1646">
        <v>0</v>
      </c>
      <c r="D11" s="1646">
        <v>331</v>
      </c>
      <c r="E11" s="1646">
        <v>607</v>
      </c>
      <c r="F11" s="1646">
        <v>677.81</v>
      </c>
      <c r="G11" s="1649">
        <v>76.819999999999993</v>
      </c>
      <c r="H11" s="1646">
        <v>3500</v>
      </c>
      <c r="I11" s="1646">
        <v>0</v>
      </c>
      <c r="J11" s="1646">
        <v>0</v>
      </c>
      <c r="K11" s="1646">
        <v>1590</v>
      </c>
      <c r="L11" s="1646">
        <v>1650.7640788816107</v>
      </c>
      <c r="M11" s="1646">
        <v>1711.9034892105592</v>
      </c>
      <c r="N11" s="1639"/>
    </row>
    <row r="12" spans="1:19" s="1644" customFormat="1" ht="13.5" x14ac:dyDescent="0.2">
      <c r="A12" s="1637" t="s">
        <v>2</v>
      </c>
      <c r="B12" s="1646">
        <v>334759</v>
      </c>
      <c r="C12" s="1646">
        <v>343427</v>
      </c>
      <c r="D12" s="1646">
        <v>560711</v>
      </c>
      <c r="E12" s="1646">
        <v>818189</v>
      </c>
      <c r="F12" s="1646">
        <v>887830.08999999927</v>
      </c>
      <c r="G12" s="1646">
        <v>1553261.6</v>
      </c>
      <c r="H12" s="1646">
        <v>1835000</v>
      </c>
      <c r="I12" s="1646">
        <v>1018983.7599999993</v>
      </c>
      <c r="J12" s="1646">
        <f>3106962-SUM(J9,J10,J11,J13,J14)</f>
        <v>2837611.097142857</v>
      </c>
      <c r="K12" s="1646">
        <v>2057224</v>
      </c>
      <c r="L12" s="1646">
        <v>2159424.9981344002</v>
      </c>
      <c r="M12" s="1646">
        <v>2261625.9239912299</v>
      </c>
      <c r="N12" s="1639" t="s">
        <v>443</v>
      </c>
    </row>
    <row r="13" spans="1:19" s="1644" customFormat="1" ht="13.5" x14ac:dyDescent="0.2">
      <c r="A13" s="1637" t="s">
        <v>14</v>
      </c>
      <c r="B13" s="1646">
        <v>1284</v>
      </c>
      <c r="C13" s="1646">
        <v>26453</v>
      </c>
      <c r="D13" s="1646">
        <v>2944</v>
      </c>
      <c r="E13" s="1646">
        <v>7403</v>
      </c>
      <c r="F13" s="1646">
        <v>8984.9699999999993</v>
      </c>
      <c r="G13" s="1647">
        <v>37460.480000000003</v>
      </c>
      <c r="H13" s="1646">
        <v>20000</v>
      </c>
      <c r="I13" s="1646">
        <v>47124.03</v>
      </c>
      <c r="J13" s="1646">
        <v>64746</v>
      </c>
      <c r="K13" s="1646">
        <v>43900</v>
      </c>
      <c r="L13" s="1646">
        <v>50903.170405949997</v>
      </c>
      <c r="M13" s="1646">
        <v>52100.695235799903</v>
      </c>
      <c r="N13" s="1639" t="s">
        <v>444</v>
      </c>
    </row>
    <row r="14" spans="1:19" s="1644" customFormat="1" ht="15" x14ac:dyDescent="0.35">
      <c r="A14" s="1637" t="s">
        <v>46</v>
      </c>
      <c r="B14" s="1650">
        <v>543</v>
      </c>
      <c r="C14" s="1650">
        <v>196</v>
      </c>
      <c r="D14" s="1650">
        <v>1398</v>
      </c>
      <c r="E14" s="1650">
        <v>3672</v>
      </c>
      <c r="F14" s="1650">
        <v>4147.42</v>
      </c>
      <c r="G14" s="1651">
        <v>3069.91</v>
      </c>
      <c r="H14" s="1650">
        <v>2500</v>
      </c>
      <c r="I14" s="1652">
        <v>1006.78</v>
      </c>
      <c r="J14" s="1650">
        <v>1342</v>
      </c>
      <c r="K14" s="1650">
        <v>7990</v>
      </c>
      <c r="L14" s="1650">
        <v>8297.4597392204269</v>
      </c>
      <c r="M14" s="1650">
        <v>8605</v>
      </c>
      <c r="N14" s="1639"/>
    </row>
    <row r="15" spans="1:19" s="1644" customFormat="1" x14ac:dyDescent="0.2">
      <c r="A15" s="1637" t="s">
        <v>47</v>
      </c>
      <c r="B15" s="1646">
        <f t="shared" ref="B15:G15" si="0">SUM(B9:B14)</f>
        <v>404449</v>
      </c>
      <c r="C15" s="1648">
        <f t="shared" si="0"/>
        <v>473498</v>
      </c>
      <c r="D15" s="1646">
        <f t="shared" si="0"/>
        <v>712802</v>
      </c>
      <c r="E15" s="1646">
        <f t="shared" si="0"/>
        <v>951742</v>
      </c>
      <c r="F15" s="1646">
        <f t="shared" si="0"/>
        <v>1054952.4099999992</v>
      </c>
      <c r="G15" s="1646">
        <f t="shared" si="0"/>
        <v>1894260.66</v>
      </c>
      <c r="H15" s="1646">
        <f t="shared" ref="H15:M15" si="1">SUM(H9:H14)</f>
        <v>2216500</v>
      </c>
      <c r="I15" s="1646">
        <f t="shared" si="1"/>
        <v>1191672.3799999994</v>
      </c>
      <c r="J15" s="1646">
        <f t="shared" si="1"/>
        <v>3106962</v>
      </c>
      <c r="K15" s="1646">
        <f t="shared" si="1"/>
        <v>2429000</v>
      </c>
      <c r="L15" s="1646">
        <f t="shared" si="1"/>
        <v>2545500.3923584521</v>
      </c>
      <c r="M15" s="1646">
        <f t="shared" si="1"/>
        <v>2662000.2269371031</v>
      </c>
      <c r="N15" s="1639" t="s">
        <v>201</v>
      </c>
    </row>
    <row r="16" spans="1:19" s="1644" customFormat="1" x14ac:dyDescent="0.2">
      <c r="A16" s="1637"/>
      <c r="B16" s="1653"/>
      <c r="C16" s="1653"/>
      <c r="D16" s="1654"/>
      <c r="E16" s="1655"/>
      <c r="F16" s="1643"/>
      <c r="G16" s="1647"/>
      <c r="H16" s="1638"/>
      <c r="I16" s="1643"/>
      <c r="J16" s="1643"/>
      <c r="K16" s="1638"/>
      <c r="L16" s="1638"/>
      <c r="M16" s="1638"/>
      <c r="N16" s="1639"/>
      <c r="P16" s="1286"/>
      <c r="Q16" s="1286"/>
      <c r="R16" s="1286"/>
      <c r="S16" s="1286"/>
    </row>
    <row r="17" spans="1:20" s="1644" customFormat="1" x14ac:dyDescent="0.2">
      <c r="A17" s="1637"/>
      <c r="B17" s="1653"/>
      <c r="C17" s="1653"/>
      <c r="D17" s="1653"/>
      <c r="E17" s="1656"/>
      <c r="F17" s="1638"/>
      <c r="G17" s="1638"/>
      <c r="H17" s="1656"/>
      <c r="I17" s="1638"/>
      <c r="J17" s="1638"/>
      <c r="K17" s="1656"/>
      <c r="L17" s="1656"/>
      <c r="M17" s="1656"/>
      <c r="N17" s="1639"/>
      <c r="O17" s="1657"/>
      <c r="P17" s="1286"/>
      <c r="Q17" s="1286"/>
      <c r="R17" s="1286"/>
      <c r="S17" s="1286"/>
    </row>
    <row r="18" spans="1:20" s="1644" customFormat="1" ht="24" x14ac:dyDescent="0.2">
      <c r="A18" s="1640" t="s">
        <v>83</v>
      </c>
      <c r="B18" s="1658" t="s">
        <v>192</v>
      </c>
      <c r="C18" s="1658" t="s">
        <v>176</v>
      </c>
      <c r="D18" s="1658" t="s">
        <v>208</v>
      </c>
      <c r="E18" s="1658" t="s">
        <v>218</v>
      </c>
      <c r="F18" s="1658" t="s">
        <v>257</v>
      </c>
      <c r="G18" s="1658" t="s">
        <v>321</v>
      </c>
      <c r="H18" s="1658" t="s">
        <v>445</v>
      </c>
      <c r="I18" s="1658" t="s">
        <v>317</v>
      </c>
      <c r="J18" s="1658" t="s">
        <v>446</v>
      </c>
      <c r="K18" s="1658" t="s">
        <v>447</v>
      </c>
      <c r="L18" s="1658" t="s">
        <v>448</v>
      </c>
      <c r="M18" s="1658" t="s">
        <v>449</v>
      </c>
      <c r="N18" s="1639"/>
      <c r="P18" s="1286"/>
      <c r="Q18" s="1229"/>
      <c r="R18" s="1286"/>
      <c r="S18" s="1286"/>
    </row>
    <row r="19" spans="1:20" s="1644" customFormat="1" x14ac:dyDescent="0.2">
      <c r="A19" s="1638"/>
      <c r="B19" s="1659"/>
      <c r="C19" s="1638"/>
      <c r="D19" s="1638"/>
      <c r="E19" s="1638"/>
      <c r="F19" s="1638"/>
      <c r="G19" s="1639"/>
      <c r="H19" s="1638"/>
      <c r="I19" s="1660"/>
      <c r="J19" s="1634"/>
      <c r="K19" s="1638"/>
      <c r="L19" s="1638"/>
      <c r="M19" s="1638"/>
      <c r="N19" s="1639"/>
      <c r="P19" s="1286"/>
      <c r="Q19" s="1229"/>
      <c r="R19" s="1286"/>
      <c r="S19" s="1286"/>
    </row>
    <row r="20" spans="1:20" s="1644" customFormat="1" x14ac:dyDescent="0.2">
      <c r="A20" s="1638" t="s">
        <v>49</v>
      </c>
      <c r="B20" s="1661">
        <v>45734</v>
      </c>
      <c r="C20" s="1662">
        <v>101407</v>
      </c>
      <c r="D20" s="1662">
        <v>94054</v>
      </c>
      <c r="E20" s="1663">
        <v>195280</v>
      </c>
      <c r="F20" s="1663">
        <v>194946</v>
      </c>
      <c r="G20" s="1662">
        <v>359607</v>
      </c>
      <c r="H20" s="1664">
        <v>315965</v>
      </c>
      <c r="I20" s="1664">
        <v>144493</v>
      </c>
      <c r="J20" s="1665">
        <f>I20/I15*J15</f>
        <v>376726.24439445365</v>
      </c>
      <c r="K20" s="1664">
        <v>511007.71796961169</v>
      </c>
      <c r="L20" s="1664">
        <v>549292.98202343134</v>
      </c>
      <c r="M20" s="1664">
        <v>560916.84590846358</v>
      </c>
      <c r="N20" s="1639" t="s">
        <v>64</v>
      </c>
      <c r="P20" s="1286"/>
      <c r="Q20" s="1229"/>
      <c r="R20" s="1286"/>
      <c r="S20" s="1286"/>
    </row>
    <row r="21" spans="1:20" s="1644" customFormat="1" x14ac:dyDescent="0.2">
      <c r="A21" s="1638" t="s">
        <v>50</v>
      </c>
      <c r="B21" s="1661">
        <v>941555</v>
      </c>
      <c r="C21" s="1662">
        <v>1396219</v>
      </c>
      <c r="D21" s="1662">
        <v>1617301</v>
      </c>
      <c r="E21" s="1663">
        <v>3534308</v>
      </c>
      <c r="F21" s="1663">
        <v>2616614</v>
      </c>
      <c r="G21" s="1662">
        <v>6081081</v>
      </c>
      <c r="H21" s="1664">
        <v>5920875</v>
      </c>
      <c r="I21" s="1664">
        <v>2962795</v>
      </c>
      <c r="J21" s="1665">
        <f>I21/I15*J15</f>
        <v>7724683.0867977357</v>
      </c>
      <c r="K21" s="1664">
        <v>10221175.610011879</v>
      </c>
      <c r="L21" s="1664">
        <v>10986957.404315496</v>
      </c>
      <c r="M21" s="1664">
        <v>11219457.912346676</v>
      </c>
      <c r="N21" s="1639" t="s">
        <v>10</v>
      </c>
      <c r="P21" s="1286"/>
      <c r="Q21" s="1286"/>
      <c r="R21" s="1286"/>
      <c r="S21" s="1286"/>
    </row>
    <row r="22" spans="1:20" s="1644" customFormat="1" x14ac:dyDescent="0.2">
      <c r="A22" s="1638"/>
      <c r="B22" s="1659"/>
      <c r="C22" s="1666" t="s">
        <v>3</v>
      </c>
      <c r="D22" s="1638"/>
      <c r="E22" s="1638"/>
      <c r="F22" s="1638"/>
      <c r="G22" s="1662"/>
      <c r="H22" s="1638"/>
      <c r="I22" s="1667"/>
      <c r="J22" s="1667"/>
      <c r="K22" s="1638"/>
      <c r="L22" s="1638"/>
      <c r="M22" s="1638"/>
      <c r="N22" s="1639"/>
      <c r="P22" s="1286"/>
      <c r="Q22" s="1286"/>
      <c r="R22" s="1286"/>
      <c r="S22" s="1286"/>
    </row>
    <row r="23" spans="1:20" s="1644" customFormat="1" x14ac:dyDescent="0.2">
      <c r="A23" s="1638" t="s">
        <v>51</v>
      </c>
      <c r="B23" s="1668">
        <f t="shared" ref="B23:G23" si="2">SUM(B15/B20)</f>
        <v>8.8435081121266457</v>
      </c>
      <c r="C23" s="1668">
        <f t="shared" si="2"/>
        <v>4.6692831855789052</v>
      </c>
      <c r="D23" s="1668">
        <f t="shared" si="2"/>
        <v>7.5786463095668442</v>
      </c>
      <c r="E23" s="1668">
        <f t="shared" si="2"/>
        <v>4.8737300286767722</v>
      </c>
      <c r="F23" s="1668">
        <f t="shared" si="2"/>
        <v>5.4115109312322343</v>
      </c>
      <c r="G23" s="1668">
        <f t="shared" si="2"/>
        <v>5.2675856142956059</v>
      </c>
      <c r="H23" s="1669">
        <v>7.6810989683006428</v>
      </c>
      <c r="I23" s="1670">
        <f>SUM(I15/I20)</f>
        <v>8.2472672032555163</v>
      </c>
      <c r="J23" s="1670">
        <f>SUM(J15/J20)</f>
        <v>8.2472672032555163</v>
      </c>
      <c r="K23" s="1668">
        <f>SUM(K15/K20)</f>
        <v>4.7533528645147518</v>
      </c>
      <c r="L23" s="1668">
        <f>SUM(L15/L20)</f>
        <v>4.6341396589149726</v>
      </c>
      <c r="M23" s="1668">
        <f>SUM(M15/M20)</f>
        <v>4.745801889094122</v>
      </c>
      <c r="N23" s="1639" t="s">
        <v>65</v>
      </c>
      <c r="P23" s="1286"/>
      <c r="Q23" s="1286"/>
      <c r="R23" s="1286"/>
      <c r="S23" s="1286"/>
    </row>
    <row r="24" spans="1:20" s="1644" customFormat="1" x14ac:dyDescent="0.2">
      <c r="A24" s="1638" t="s">
        <v>52</v>
      </c>
      <c r="B24" s="1668">
        <f t="shared" ref="B24:G24" si="3">SUM(B15/B21)</f>
        <v>0.42955430112951448</v>
      </c>
      <c r="C24" s="1668">
        <f t="shared" si="3"/>
        <v>0.33912874699456175</v>
      </c>
      <c r="D24" s="1668">
        <f t="shared" si="3"/>
        <v>0.4407355217117902</v>
      </c>
      <c r="E24" s="1668">
        <f t="shared" si="3"/>
        <v>0.26928666092485432</v>
      </c>
      <c r="F24" s="1668">
        <f t="shared" si="3"/>
        <v>0.40317464096729561</v>
      </c>
      <c r="G24" s="1668">
        <f t="shared" si="3"/>
        <v>0.3115006460200086</v>
      </c>
      <c r="H24" s="1669">
        <v>0.40989913931916794</v>
      </c>
      <c r="I24" s="1670">
        <f>SUM(I15/I21)</f>
        <v>0.40221222865571171</v>
      </c>
      <c r="J24" s="1670">
        <f>SUM(J15/J21)</f>
        <v>0.40221222865571171</v>
      </c>
      <c r="K24" s="1668">
        <f>SUM(K15/K21)</f>
        <v>0.23764389661994828</v>
      </c>
      <c r="L24" s="1668">
        <f>SUM(L15/L21)</f>
        <v>0.23168383190041508</v>
      </c>
      <c r="M24" s="1668">
        <f>SUM(M15/M21)</f>
        <v>0.23726638557177099</v>
      </c>
      <c r="N24" s="1639" t="s">
        <v>66</v>
      </c>
    </row>
    <row r="25" spans="1:20" s="1644" customFormat="1" x14ac:dyDescent="0.2">
      <c r="A25" s="1638"/>
      <c r="B25" s="1659"/>
      <c r="C25" s="1666"/>
      <c r="D25" s="1638"/>
      <c r="E25" s="1638"/>
      <c r="F25" s="1638"/>
      <c r="G25" s="1662"/>
      <c r="H25" s="1638"/>
      <c r="I25" s="1667"/>
      <c r="J25" s="1667"/>
      <c r="K25" s="1638"/>
      <c r="L25" s="1638"/>
      <c r="M25" s="1638"/>
      <c r="N25" s="1639"/>
    </row>
    <row r="26" spans="1:20" s="1644" customFormat="1" x14ac:dyDescent="0.2">
      <c r="A26" s="1638" t="s">
        <v>84</v>
      </c>
      <c r="B26" s="1649">
        <v>664294</v>
      </c>
      <c r="C26" s="1648">
        <f>835829/1396219*1396219</f>
        <v>835829.00000000012</v>
      </c>
      <c r="D26" s="1648">
        <v>987487</v>
      </c>
      <c r="E26" s="1648">
        <v>3423552.6165663255</v>
      </c>
      <c r="F26" s="1648">
        <v>2924501.301807431</v>
      </c>
      <c r="G26" s="1646">
        <f>2169027/G21*G21</f>
        <v>2169027</v>
      </c>
      <c r="H26" s="1649">
        <v>2996924</v>
      </c>
      <c r="I26" s="1671">
        <f>H26/H21*I21</f>
        <v>1499655.2777385099</v>
      </c>
      <c r="J26" s="1671">
        <f>H26/H21*J21</f>
        <v>3909943.7389268</v>
      </c>
      <c r="K26" s="1664">
        <v>5422765.8369812034</v>
      </c>
      <c r="L26" s="1664">
        <v>6057182.8974144543</v>
      </c>
      <c r="M26" s="1664">
        <v>6410043.3024173072</v>
      </c>
      <c r="N26" s="1639" t="s">
        <v>67</v>
      </c>
    </row>
    <row r="27" spans="1:20" s="1644" customFormat="1" x14ac:dyDescent="0.2">
      <c r="A27" s="1638" t="s">
        <v>85</v>
      </c>
      <c r="B27" s="1672">
        <f t="shared" ref="B27:G27" si="4">SUM(B26/B15)</f>
        <v>1.6424666645238337</v>
      </c>
      <c r="C27" s="1672">
        <f t="shared" si="4"/>
        <v>1.7652218171988057</v>
      </c>
      <c r="D27" s="1672">
        <f t="shared" si="4"/>
        <v>1.3853594686883595</v>
      </c>
      <c r="E27" s="1672">
        <f t="shared" si="4"/>
        <v>3.5971435710164368</v>
      </c>
      <c r="F27" s="1672">
        <f t="shared" si="4"/>
        <v>2.7721641982005929</v>
      </c>
      <c r="G27" s="1672">
        <f t="shared" si="4"/>
        <v>1.1450520225658913</v>
      </c>
      <c r="H27" s="1672">
        <v>1.2348460401342511</v>
      </c>
      <c r="I27" s="1673">
        <f>SUM(I26/I15)</f>
        <v>1.2584459478187375</v>
      </c>
      <c r="J27" s="1673">
        <f>SUM(J26/J15)</f>
        <v>1.2584459478187373</v>
      </c>
      <c r="K27" s="1672">
        <f>SUM(K26/K15)</f>
        <v>2.2325096076497339</v>
      </c>
      <c r="L27" s="1672">
        <f>SUM(L26/L15)</f>
        <v>2.3795647078264111</v>
      </c>
      <c r="M27" s="1672">
        <f>SUM(M26/M15)</f>
        <v>2.4079799984813306</v>
      </c>
      <c r="N27" s="1639" t="s">
        <v>68</v>
      </c>
      <c r="O27" s="1229"/>
      <c r="P27" s="1674"/>
      <c r="Q27" s="1675"/>
      <c r="R27" s="1675"/>
      <c r="S27" s="1675"/>
      <c r="T27" s="1286"/>
    </row>
    <row r="28" spans="1:20" s="1644" customFormat="1" x14ac:dyDescent="0.2">
      <c r="A28" s="1638" t="s">
        <v>63</v>
      </c>
      <c r="B28" s="1637">
        <v>574</v>
      </c>
      <c r="C28" s="1663">
        <v>1238</v>
      </c>
      <c r="D28" s="1663">
        <v>1350</v>
      </c>
      <c r="E28" s="1663">
        <v>1932</v>
      </c>
      <c r="F28" s="1663">
        <v>2497</v>
      </c>
      <c r="G28" s="1662">
        <v>2347</v>
      </c>
      <c r="H28" s="1676">
        <v>3270</v>
      </c>
      <c r="I28" s="1677">
        <v>733</v>
      </c>
      <c r="J28" s="1665">
        <f>I28/I15*J15</f>
        <v>1911.0983725241674</v>
      </c>
      <c r="K28" s="1676">
        <v>3348.2315506497071</v>
      </c>
      <c r="L28" s="1676">
        <v>3599.0847658208663</v>
      </c>
      <c r="M28" s="1676">
        <v>3675.2468010147008</v>
      </c>
      <c r="N28" s="1639" t="s">
        <v>69</v>
      </c>
      <c r="O28" s="1229"/>
      <c r="P28" s="1674"/>
      <c r="Q28" s="1678"/>
      <c r="R28" s="1678"/>
      <c r="S28" s="1678"/>
      <c r="T28" s="1286"/>
    </row>
    <row r="29" spans="1:20" s="1644" customFormat="1" x14ac:dyDescent="0.2">
      <c r="A29" s="1638" t="s">
        <v>74</v>
      </c>
      <c r="B29" s="1662">
        <f t="shared" ref="B29:G29" si="5">SUM(B21/B28)</f>
        <v>1640.3397212543555</v>
      </c>
      <c r="C29" s="1662">
        <f t="shared" si="5"/>
        <v>1127.8021001615509</v>
      </c>
      <c r="D29" s="1662">
        <f t="shared" si="5"/>
        <v>1198.0007407407406</v>
      </c>
      <c r="E29" s="1662">
        <f t="shared" si="5"/>
        <v>1829.351966873706</v>
      </c>
      <c r="F29" s="1662">
        <f t="shared" si="5"/>
        <v>1047.9030837004404</v>
      </c>
      <c r="G29" s="1662">
        <f t="shared" si="5"/>
        <v>2591.0017043033658</v>
      </c>
      <c r="H29" s="1679">
        <v>1810.6860037754559</v>
      </c>
      <c r="I29" s="1677">
        <f>SUM(I21/I28)</f>
        <v>4042.012278308322</v>
      </c>
      <c r="J29" s="1677">
        <f>SUM(J21/J28)</f>
        <v>4042.0122783083216</v>
      </c>
      <c r="K29" s="1679">
        <f>SUM(K21/K28)</f>
        <v>3052.7087076843636</v>
      </c>
      <c r="L29" s="1679">
        <f>SUM(L21/L28)</f>
        <v>3052.7087076843632</v>
      </c>
      <c r="M29" s="1679">
        <f>SUM(M21/M28)</f>
        <v>3052.7087076843627</v>
      </c>
      <c r="N29" s="1639" t="s">
        <v>70</v>
      </c>
      <c r="O29" s="1229"/>
      <c r="P29" s="1674"/>
      <c r="Q29" s="1678"/>
      <c r="R29" s="1678"/>
      <c r="S29" s="1678"/>
      <c r="T29" s="1286"/>
    </row>
    <row r="30" spans="1:20" s="1644" customFormat="1" x14ac:dyDescent="0.2">
      <c r="A30" s="1638" t="s">
        <v>71</v>
      </c>
      <c r="B30" s="1648">
        <f t="shared" ref="B30:G30" si="6">SUM(B15/B28)</f>
        <v>704.61498257839719</v>
      </c>
      <c r="C30" s="1648">
        <f t="shared" si="6"/>
        <v>382.47011308562196</v>
      </c>
      <c r="D30" s="1648">
        <f t="shared" si="6"/>
        <v>528.00148148148151</v>
      </c>
      <c r="E30" s="1648">
        <f t="shared" si="6"/>
        <v>492.62008281573497</v>
      </c>
      <c r="F30" s="1648">
        <f t="shared" si="6"/>
        <v>422.48794953944702</v>
      </c>
      <c r="G30" s="1648">
        <f t="shared" si="6"/>
        <v>807.09870472944181</v>
      </c>
      <c r="H30" s="1648">
        <v>742.19863452482298</v>
      </c>
      <c r="I30" s="1680">
        <f>SUM(I15/I28)</f>
        <v>1625.7467667121412</v>
      </c>
      <c r="J30" s="1681">
        <f>SUM(J15/J28)</f>
        <v>1625.7467667121409</v>
      </c>
      <c r="K30" s="1648">
        <f>SUM(K15/K28)</f>
        <v>725.45759253975882</v>
      </c>
      <c r="L30" s="1648">
        <f>SUM(L15/L28)</f>
        <v>707.26325107207731</v>
      </c>
      <c r="M30" s="1648">
        <f>SUM(M15/M28)</f>
        <v>724.30516127574072</v>
      </c>
      <c r="N30" s="1639" t="s">
        <v>72</v>
      </c>
      <c r="O30" s="1229"/>
      <c r="P30" s="1674"/>
      <c r="Q30" s="1682"/>
      <c r="R30" s="1682"/>
      <c r="S30" s="1682"/>
      <c r="T30" s="1286"/>
    </row>
    <row r="31" spans="1:20" s="1644" customFormat="1" x14ac:dyDescent="0.2">
      <c r="A31" s="1638" t="s">
        <v>62</v>
      </c>
      <c r="B31" s="1648">
        <f t="shared" ref="B31:G31" si="7">SUM(B26/B28)</f>
        <v>1157.3066202090592</v>
      </c>
      <c r="C31" s="1648">
        <f t="shared" si="7"/>
        <v>675.14458804523429</v>
      </c>
      <c r="D31" s="1648">
        <f t="shared" si="7"/>
        <v>731.47185185185185</v>
      </c>
      <c r="E31" s="1648">
        <f t="shared" si="7"/>
        <v>1772.0251638542059</v>
      </c>
      <c r="F31" s="1648">
        <f t="shared" si="7"/>
        <v>1171.2059678844337</v>
      </c>
      <c r="G31" s="1648">
        <f t="shared" si="7"/>
        <v>924.17000426075845</v>
      </c>
      <c r="H31" s="1648">
        <v>916.50104483602604</v>
      </c>
      <c r="I31" s="1680">
        <f>SUM(I26/I28)</f>
        <v>2045.9144307483082</v>
      </c>
      <c r="J31" s="1680">
        <f>SUM(J26/J28)</f>
        <v>2045.9144307483082</v>
      </c>
      <c r="K31" s="1648">
        <f>SUM(K26/K28)</f>
        <v>1619.5910452874573</v>
      </c>
      <c r="L31" s="1648">
        <f>SUM(L26/L28)</f>
        <v>1682.9786713936853</v>
      </c>
      <c r="M31" s="1648">
        <f>SUM(M26/M28)</f>
        <v>1744.1123411487781</v>
      </c>
      <c r="N31" s="1639" t="s">
        <v>73</v>
      </c>
      <c r="O31" s="1229"/>
      <c r="P31" s="1674"/>
      <c r="Q31" s="1675"/>
      <c r="R31" s="1675"/>
      <c r="S31" s="1675"/>
      <c r="T31" s="1286"/>
    </row>
    <row r="32" spans="1:20" s="1644" customFormat="1" ht="13.5" x14ac:dyDescent="0.2">
      <c r="A32" s="1638" t="s">
        <v>450</v>
      </c>
      <c r="B32" s="1683">
        <f t="shared" ref="B32:K32" si="8">B12/B21</f>
        <v>0.35553844438190013</v>
      </c>
      <c r="C32" s="1683">
        <f t="shared" si="8"/>
        <v>0.24596929278286572</v>
      </c>
      <c r="D32" s="1683">
        <f t="shared" si="8"/>
        <v>0.34669551308012547</v>
      </c>
      <c r="E32" s="1683">
        <f t="shared" si="8"/>
        <v>0.23149906572941578</v>
      </c>
      <c r="F32" s="1683">
        <f t="shared" si="8"/>
        <v>0.33930495288949736</v>
      </c>
      <c r="G32" s="1683">
        <f t="shared" si="8"/>
        <v>0.25542524429455882</v>
      </c>
      <c r="H32" s="1683">
        <f t="shared" si="8"/>
        <v>0.30992040872337279</v>
      </c>
      <c r="I32" s="1683">
        <f t="shared" si="8"/>
        <v>0.34392651533433777</v>
      </c>
      <c r="J32" s="1683">
        <f t="shared" si="8"/>
        <v>0.36734336739232981</v>
      </c>
      <c r="K32" s="1683">
        <f t="shared" si="8"/>
        <v>0.20127078121863998</v>
      </c>
      <c r="L32" s="1683">
        <f>L12/L21</f>
        <v>0.19654440430307063</v>
      </c>
      <c r="M32" s="1683">
        <f>M12/M21</f>
        <v>0.20158067721813713</v>
      </c>
      <c r="N32" s="1639" t="s">
        <v>451</v>
      </c>
      <c r="O32" s="1229"/>
      <c r="P32" s="1674"/>
      <c r="Q32" s="1674"/>
      <c r="R32" s="1674"/>
      <c r="S32" s="1674"/>
      <c r="T32" s="1286"/>
    </row>
    <row r="33" spans="1:20" s="1644" customFormat="1" ht="13.5" x14ac:dyDescent="0.2">
      <c r="A33" s="1638" t="s">
        <v>452</v>
      </c>
      <c r="B33" s="1683">
        <f t="shared" ref="B33:K33" si="9">B13/B21</f>
        <v>1.3637015362883741E-3</v>
      </c>
      <c r="C33" s="1683">
        <f t="shared" si="9"/>
        <v>1.8946168187082398E-2</v>
      </c>
      <c r="D33" s="1683">
        <f t="shared" si="9"/>
        <v>1.8203166881118605E-3</v>
      </c>
      <c r="E33" s="1683">
        <f t="shared" si="9"/>
        <v>2.0946108828093081E-3</v>
      </c>
      <c r="F33" s="1683">
        <f t="shared" si="9"/>
        <v>3.4338156105562377E-3</v>
      </c>
      <c r="G33" s="1683">
        <f t="shared" si="9"/>
        <v>6.1601679043577946E-3</v>
      </c>
      <c r="H33" s="1683">
        <f t="shared" si="9"/>
        <v>3.3778791141512022E-3</v>
      </c>
      <c r="I33" s="1683">
        <f t="shared" si="9"/>
        <v>1.590526175452571E-2</v>
      </c>
      <c r="J33" s="1683">
        <f t="shared" si="9"/>
        <v>8.3817030773285003E-3</v>
      </c>
      <c r="K33" s="1683">
        <f t="shared" si="9"/>
        <v>4.2950049656713587E-3</v>
      </c>
      <c r="L33" s="1683">
        <f>L13/L21</f>
        <v>4.6330543145599225E-3</v>
      </c>
      <c r="M33" s="1683">
        <f>M13/M21</f>
        <v>4.6437800865997865E-3</v>
      </c>
      <c r="N33" s="1639" t="s">
        <v>453</v>
      </c>
      <c r="O33" s="1229"/>
      <c r="P33" s="1674"/>
      <c r="Q33" s="1674"/>
      <c r="R33" s="1674"/>
      <c r="S33" s="1674"/>
      <c r="T33" s="1286"/>
    </row>
    <row r="34" spans="1:20" s="1644" customFormat="1" x14ac:dyDescent="0.2">
      <c r="A34" s="1638"/>
      <c r="B34" s="1659"/>
      <c r="C34" s="1666"/>
      <c r="D34" s="1638"/>
      <c r="E34" s="1638"/>
      <c r="F34" s="1638"/>
      <c r="G34" s="1638"/>
      <c r="H34" s="1638"/>
      <c r="I34" s="1638"/>
      <c r="J34" s="1638"/>
      <c r="K34" s="1638"/>
      <c r="L34" s="1638"/>
      <c r="M34" s="1638"/>
      <c r="N34" s="1639"/>
      <c r="O34" s="1229"/>
      <c r="P34" s="1674"/>
      <c r="Q34" s="1678"/>
      <c r="R34" s="1678"/>
      <c r="S34" s="1678"/>
      <c r="T34" s="1286"/>
    </row>
    <row r="35" spans="1:20" s="1644" customFormat="1" x14ac:dyDescent="0.2">
      <c r="A35" s="1640"/>
      <c r="B35" s="1684"/>
      <c r="C35" s="1684"/>
      <c r="D35" s="1684"/>
      <c r="E35" s="1684"/>
      <c r="F35" s="1638"/>
      <c r="G35" s="1638"/>
      <c r="H35" s="1638"/>
      <c r="I35" s="1638"/>
      <c r="J35" s="1638"/>
      <c r="K35" s="1638"/>
      <c r="L35" s="1638"/>
      <c r="M35" s="1638"/>
      <c r="N35" s="1639"/>
      <c r="O35" s="1229"/>
      <c r="P35" s="1674"/>
      <c r="Q35" s="1675"/>
      <c r="R35" s="1675"/>
      <c r="S35" s="1675"/>
      <c r="T35" s="1286"/>
    </row>
    <row r="36" spans="1:20" s="1644" customFormat="1" x14ac:dyDescent="0.2">
      <c r="A36" s="1645" t="s">
        <v>194</v>
      </c>
      <c r="B36" s="1685"/>
      <c r="C36" s="1686"/>
      <c r="D36" s="1638"/>
      <c r="E36" s="1638"/>
      <c r="F36" s="1638"/>
      <c r="G36" s="1638"/>
      <c r="H36" s="1638"/>
      <c r="I36" s="1638"/>
      <c r="J36" s="1638"/>
      <c r="K36" s="1638"/>
      <c r="L36" s="1638"/>
      <c r="M36" s="1638"/>
      <c r="N36" s="1639"/>
      <c r="O36" s="1229"/>
      <c r="P36" s="1674"/>
      <c r="Q36" s="1675"/>
      <c r="R36" s="1675"/>
      <c r="S36" s="1675"/>
      <c r="T36" s="1286"/>
    </row>
    <row r="37" spans="1:20" s="1644" customFormat="1" x14ac:dyDescent="0.2">
      <c r="A37" s="1687" t="s">
        <v>185</v>
      </c>
      <c r="B37" s="1688" t="s">
        <v>1</v>
      </c>
      <c r="C37" s="1688" t="s">
        <v>186</v>
      </c>
      <c r="D37" s="1688" t="s">
        <v>18</v>
      </c>
      <c r="E37" s="1638"/>
      <c r="F37" s="1638"/>
      <c r="G37" s="1638"/>
      <c r="H37" s="1638"/>
      <c r="I37" s="1638"/>
      <c r="J37" s="1638"/>
      <c r="K37" s="1638"/>
      <c r="L37" s="1638"/>
      <c r="M37" s="1638"/>
      <c r="N37" s="1639"/>
    </row>
    <row r="38" spans="1:20" s="1644" customFormat="1" x14ac:dyDescent="0.2">
      <c r="A38" s="1687">
        <v>2006</v>
      </c>
      <c r="B38" s="1689">
        <v>243933</v>
      </c>
      <c r="C38" s="1689">
        <f>B15</f>
        <v>404449</v>
      </c>
      <c r="D38" s="1690">
        <f t="shared" ref="D38:D48" si="10">IF(ISERROR(C38/B38),"-",(C38/B38))</f>
        <v>1.6580331484464996</v>
      </c>
      <c r="E38" s="1638"/>
      <c r="F38" s="1638"/>
      <c r="G38" s="1638"/>
      <c r="H38" s="1638"/>
      <c r="I38" s="1638"/>
      <c r="J38" s="1638"/>
      <c r="K38" s="1638"/>
      <c r="L38" s="1638"/>
      <c r="M38" s="1638"/>
      <c r="N38" s="1639"/>
    </row>
    <row r="39" spans="1:20" s="1644" customFormat="1" x14ac:dyDescent="0.2">
      <c r="A39" s="1687">
        <v>2007</v>
      </c>
      <c r="B39" s="1689">
        <v>400000</v>
      </c>
      <c r="C39" s="1689">
        <f>C15</f>
        <v>473498</v>
      </c>
      <c r="D39" s="1690">
        <f t="shared" si="10"/>
        <v>1.183745</v>
      </c>
      <c r="E39" s="1638"/>
      <c r="F39" s="1638"/>
      <c r="G39" s="1638"/>
      <c r="H39" s="1638"/>
      <c r="I39" s="1638"/>
      <c r="J39" s="1638"/>
      <c r="K39" s="1638"/>
      <c r="L39" s="1638"/>
      <c r="M39" s="1638"/>
      <c r="N39" s="1639"/>
    </row>
    <row r="40" spans="1:20" s="1644" customFormat="1" x14ac:dyDescent="0.2">
      <c r="A40" s="1687">
        <v>2008</v>
      </c>
      <c r="B40" s="1689">
        <v>400000</v>
      </c>
      <c r="C40" s="1689">
        <f>D15</f>
        <v>712802</v>
      </c>
      <c r="D40" s="1690">
        <f t="shared" si="10"/>
        <v>1.7820050000000001</v>
      </c>
      <c r="E40" s="1638"/>
      <c r="F40" s="1638"/>
      <c r="G40" s="1638"/>
      <c r="H40" s="1638"/>
      <c r="I40" s="1638"/>
      <c r="J40" s="1638"/>
      <c r="K40" s="1638"/>
      <c r="L40" s="1638"/>
      <c r="M40" s="1638"/>
      <c r="N40" s="1639"/>
    </row>
    <row r="41" spans="1:20" s="1644" customFormat="1" x14ac:dyDescent="0.2">
      <c r="A41" s="1687">
        <v>2009</v>
      </c>
      <c r="B41" s="1689">
        <v>925000</v>
      </c>
      <c r="C41" s="1689">
        <f>E15</f>
        <v>951742</v>
      </c>
      <c r="D41" s="1690">
        <f t="shared" si="10"/>
        <v>1.0289102702702704</v>
      </c>
      <c r="E41" s="1638"/>
      <c r="F41" s="1638"/>
      <c r="G41" s="1638"/>
      <c r="H41" s="1638"/>
      <c r="I41" s="1638"/>
      <c r="J41" s="1638"/>
      <c r="K41" s="1638"/>
      <c r="L41" s="1638"/>
      <c r="M41" s="1638"/>
      <c r="N41" s="1639"/>
    </row>
    <row r="42" spans="1:20" s="1644" customFormat="1" x14ac:dyDescent="0.2">
      <c r="A42" s="1687">
        <v>2010</v>
      </c>
      <c r="B42" s="1689">
        <v>925000</v>
      </c>
      <c r="C42" s="1689">
        <f>F15</f>
        <v>1054952.4099999992</v>
      </c>
      <c r="D42" s="1690">
        <f t="shared" si="10"/>
        <v>1.1404890918918911</v>
      </c>
      <c r="E42" s="1638"/>
      <c r="F42" s="1638"/>
      <c r="G42" s="1638"/>
      <c r="H42" s="1638"/>
      <c r="I42" s="1638"/>
      <c r="J42" s="1638"/>
      <c r="K42" s="1638"/>
      <c r="L42" s="1638"/>
      <c r="M42" s="1638"/>
      <c r="N42" s="1639"/>
    </row>
    <row r="43" spans="1:20" s="1644" customFormat="1" x14ac:dyDescent="0.2">
      <c r="A43" s="1687">
        <v>2011</v>
      </c>
      <c r="B43" s="1689">
        <v>1900000</v>
      </c>
      <c r="C43" s="1689">
        <f>G15</f>
        <v>1894260.66</v>
      </c>
      <c r="D43" s="1690">
        <f t="shared" si="10"/>
        <v>0.9969792947368421</v>
      </c>
      <c r="E43" s="1638"/>
      <c r="F43" s="1638"/>
      <c r="G43" s="1638"/>
      <c r="H43" s="1638"/>
      <c r="I43" s="1638"/>
      <c r="J43" s="1638"/>
      <c r="K43" s="1638"/>
      <c r="L43" s="1638"/>
      <c r="M43" s="1638"/>
      <c r="N43" s="1639"/>
    </row>
    <row r="44" spans="1:20" s="1644" customFormat="1" x14ac:dyDescent="0.2">
      <c r="A44" s="1687" t="s">
        <v>319</v>
      </c>
      <c r="B44" s="1689">
        <f>H15</f>
        <v>2216500</v>
      </c>
      <c r="C44" s="1689">
        <f>I15</f>
        <v>1191672.3799999994</v>
      </c>
      <c r="D44" s="1690">
        <f t="shared" si="10"/>
        <v>0.53763698623956657</v>
      </c>
      <c r="E44" s="1638"/>
      <c r="F44" s="1638"/>
      <c r="G44" s="1638"/>
      <c r="H44" s="1638"/>
      <c r="I44" s="1638"/>
      <c r="J44" s="1638"/>
      <c r="K44" s="1638"/>
      <c r="L44" s="1638"/>
      <c r="M44" s="1638"/>
      <c r="N44" s="1639"/>
    </row>
    <row r="45" spans="1:20" s="1644" customFormat="1" x14ac:dyDescent="0.2">
      <c r="A45" s="1687" t="s">
        <v>318</v>
      </c>
      <c r="B45" s="1689">
        <f>H15</f>
        <v>2216500</v>
      </c>
      <c r="C45" s="1689">
        <f>J15</f>
        <v>3106962</v>
      </c>
      <c r="D45" s="1690">
        <f t="shared" si="10"/>
        <v>1.4017423866456125</v>
      </c>
      <c r="E45" s="1638"/>
      <c r="F45" s="1638"/>
      <c r="G45" s="1638"/>
      <c r="H45" s="1638"/>
      <c r="I45" s="1638"/>
      <c r="J45" s="1638"/>
      <c r="K45" s="1638"/>
      <c r="L45" s="1638"/>
      <c r="M45" s="1638"/>
      <c r="N45" s="1639"/>
    </row>
    <row r="46" spans="1:20" s="1644" customFormat="1" x14ac:dyDescent="0.2">
      <c r="A46" s="1687">
        <v>2013</v>
      </c>
      <c r="B46" s="1689">
        <f>K15</f>
        <v>2429000</v>
      </c>
      <c r="C46" s="1689" t="s">
        <v>195</v>
      </c>
      <c r="D46" s="1690" t="str">
        <f t="shared" si="10"/>
        <v>-</v>
      </c>
      <c r="E46" s="1638"/>
      <c r="F46" s="1638"/>
      <c r="G46" s="1638"/>
      <c r="H46" s="1638"/>
      <c r="I46" s="1638"/>
      <c r="J46" s="1638"/>
      <c r="K46" s="1638"/>
      <c r="L46" s="1638"/>
      <c r="M46" s="1638"/>
      <c r="N46" s="1639"/>
    </row>
    <row r="47" spans="1:20" s="1644" customFormat="1" x14ac:dyDescent="0.2">
      <c r="A47" s="1687">
        <v>2014</v>
      </c>
      <c r="B47" s="1689">
        <f>L15</f>
        <v>2545500.3923584521</v>
      </c>
      <c r="C47" s="1689" t="s">
        <v>195</v>
      </c>
      <c r="D47" s="1690" t="str">
        <f t="shared" si="10"/>
        <v>-</v>
      </c>
      <c r="E47" s="1638"/>
      <c r="F47" s="1638"/>
      <c r="G47" s="1638"/>
      <c r="H47" s="1638"/>
      <c r="I47" s="1638"/>
      <c r="J47" s="1638"/>
      <c r="K47" s="1638"/>
      <c r="L47" s="1638"/>
      <c r="M47" s="1638"/>
      <c r="N47" s="1639"/>
    </row>
    <row r="48" spans="1:20" s="1644" customFormat="1" x14ac:dyDescent="0.2">
      <c r="A48" s="1687">
        <v>2015</v>
      </c>
      <c r="B48" s="1689">
        <f>M15</f>
        <v>2662000.2269371031</v>
      </c>
      <c r="C48" s="1689" t="s">
        <v>195</v>
      </c>
      <c r="D48" s="1690" t="str">
        <f t="shared" si="10"/>
        <v>-</v>
      </c>
      <c r="E48" s="1638"/>
      <c r="F48" s="1638"/>
      <c r="G48" s="1638"/>
      <c r="H48" s="1638"/>
      <c r="I48" s="1638"/>
      <c r="J48" s="1638"/>
      <c r="K48" s="1638"/>
      <c r="L48" s="1638"/>
      <c r="M48" s="1638"/>
      <c r="N48" s="1639"/>
    </row>
    <row r="49" spans="1:14" s="1644" customFormat="1" x14ac:dyDescent="0.2">
      <c r="A49" s="1687"/>
      <c r="B49" s="1689"/>
      <c r="C49" s="1689"/>
      <c r="D49" s="1690"/>
      <c r="E49" s="1638"/>
      <c r="F49" s="1638"/>
      <c r="G49" s="1638"/>
      <c r="H49" s="1638"/>
      <c r="I49" s="1638"/>
      <c r="J49" s="1638"/>
      <c r="K49" s="1638"/>
      <c r="L49" s="1638"/>
      <c r="M49" s="1638"/>
      <c r="N49" s="1639"/>
    </row>
    <row r="50" spans="1:14" s="1644" customFormat="1" x14ac:dyDescent="0.2">
      <c r="A50" s="1691" t="s">
        <v>193</v>
      </c>
      <c r="B50" s="1692"/>
      <c r="C50" s="1692"/>
      <c r="D50" s="1637"/>
      <c r="E50" s="1638"/>
      <c r="F50" s="1638"/>
      <c r="G50" s="1638"/>
      <c r="H50" s="1638"/>
      <c r="I50" s="1638"/>
      <c r="J50" s="1638"/>
      <c r="K50" s="1638"/>
      <c r="L50" s="1638"/>
      <c r="M50" s="1638"/>
      <c r="N50" s="1639"/>
    </row>
    <row r="51" spans="1:14" s="1644" customFormat="1" x14ac:dyDescent="0.2">
      <c r="A51" s="1687" t="s">
        <v>185</v>
      </c>
      <c r="B51" s="1688" t="s">
        <v>188</v>
      </c>
      <c r="C51" s="1688" t="s">
        <v>186</v>
      </c>
      <c r="D51" s="1688" t="s">
        <v>189</v>
      </c>
      <c r="E51" s="1638"/>
      <c r="F51" s="1638"/>
      <c r="G51" s="1638"/>
      <c r="H51" s="1638"/>
      <c r="I51" s="1638"/>
      <c r="J51" s="1638"/>
      <c r="K51" s="1638"/>
      <c r="L51" s="1638"/>
      <c r="M51" s="1638"/>
      <c r="N51" s="1639"/>
    </row>
    <row r="52" spans="1:14" s="1644" customFormat="1" x14ac:dyDescent="0.2">
      <c r="A52" s="1687">
        <v>2006</v>
      </c>
      <c r="B52" s="1693">
        <v>301</v>
      </c>
      <c r="C52" s="1693">
        <v>574</v>
      </c>
      <c r="D52" s="1690">
        <f t="shared" ref="D52:D60" si="11">IF(ISERROR(C52/B52),"-",(C52/B52))</f>
        <v>1.9069767441860466</v>
      </c>
      <c r="E52" s="1638"/>
      <c r="F52" s="1638"/>
      <c r="G52" s="1638"/>
      <c r="H52" s="1638"/>
      <c r="I52" s="1638"/>
      <c r="J52" s="1638"/>
      <c r="K52" s="1638"/>
      <c r="L52" s="1638"/>
      <c r="M52" s="1638"/>
      <c r="N52" s="1639"/>
    </row>
    <row r="53" spans="1:14" s="1644" customFormat="1" x14ac:dyDescent="0.2">
      <c r="A53" s="1687">
        <v>2007</v>
      </c>
      <c r="B53" s="1693">
        <v>660</v>
      </c>
      <c r="C53" s="1693">
        <v>1238</v>
      </c>
      <c r="D53" s="1690">
        <f t="shared" si="11"/>
        <v>1.8757575757575757</v>
      </c>
      <c r="E53" s="1638"/>
      <c r="F53" s="1638"/>
      <c r="G53" s="1638"/>
      <c r="H53" s="1638"/>
      <c r="I53" s="1638"/>
      <c r="J53" s="1638"/>
      <c r="K53" s="1638"/>
      <c r="L53" s="1638"/>
      <c r="M53" s="1638"/>
      <c r="N53" s="1639"/>
    </row>
    <row r="54" spans="1:14" s="1644" customFormat="1" x14ac:dyDescent="0.2">
      <c r="A54" s="1687">
        <v>2008</v>
      </c>
      <c r="B54" s="1693">
        <v>1225</v>
      </c>
      <c r="C54" s="1693">
        <v>1350</v>
      </c>
      <c r="D54" s="1690">
        <f t="shared" si="11"/>
        <v>1.1020408163265305</v>
      </c>
      <c r="E54" s="1638"/>
      <c r="F54" s="1638"/>
      <c r="G54" s="1638"/>
      <c r="H54" s="1638"/>
      <c r="I54" s="1638"/>
      <c r="J54" s="1638"/>
      <c r="K54" s="1638"/>
      <c r="L54" s="1638"/>
      <c r="M54" s="1638"/>
      <c r="N54" s="1639"/>
    </row>
    <row r="55" spans="1:14" s="1644" customFormat="1" x14ac:dyDescent="0.2">
      <c r="A55" s="1687">
        <v>2009</v>
      </c>
      <c r="B55" s="1693">
        <v>1659.399868591009</v>
      </c>
      <c r="C55" s="1693">
        <v>1932</v>
      </c>
      <c r="D55" s="1690">
        <f t="shared" si="11"/>
        <v>1.1642763366255144</v>
      </c>
      <c r="E55" s="1638"/>
      <c r="F55" s="1638"/>
      <c r="G55" s="1638"/>
      <c r="H55" s="1638"/>
      <c r="I55" s="1638"/>
      <c r="J55" s="1638"/>
      <c r="K55" s="1638"/>
      <c r="L55" s="1638"/>
      <c r="M55" s="1638"/>
      <c r="N55" s="1639"/>
    </row>
    <row r="56" spans="1:14" s="1644" customFormat="1" x14ac:dyDescent="0.2">
      <c r="A56" s="1687">
        <v>2010</v>
      </c>
      <c r="B56" s="1693">
        <v>1147</v>
      </c>
      <c r="C56" s="1693">
        <v>2497</v>
      </c>
      <c r="D56" s="1690">
        <f t="shared" si="11"/>
        <v>2.1769834350479513</v>
      </c>
      <c r="E56" s="1638"/>
      <c r="F56" s="1638"/>
      <c r="G56" s="1638"/>
      <c r="H56" s="1638"/>
      <c r="I56" s="1638"/>
      <c r="J56" s="1638"/>
      <c r="K56" s="1638"/>
      <c r="L56" s="1638"/>
      <c r="M56" s="1638"/>
      <c r="N56" s="1639"/>
    </row>
    <row r="57" spans="1:14" s="1644" customFormat="1" x14ac:dyDescent="0.2">
      <c r="A57" s="1687">
        <v>2011</v>
      </c>
      <c r="B57" s="1693">
        <f>1179</f>
        <v>1179</v>
      </c>
      <c r="C57" s="1694">
        <f>G28</f>
        <v>2347</v>
      </c>
      <c r="D57" s="1690">
        <f t="shared" si="11"/>
        <v>1.9906700593723494</v>
      </c>
      <c r="E57" s="1638"/>
      <c r="F57" s="1638"/>
      <c r="G57" s="1638"/>
      <c r="H57" s="1638"/>
      <c r="I57" s="1638"/>
      <c r="J57" s="1638"/>
      <c r="K57" s="1638"/>
      <c r="L57" s="1638"/>
      <c r="M57" s="1638"/>
      <c r="N57" s="1639"/>
    </row>
    <row r="58" spans="1:14" s="1644" customFormat="1" x14ac:dyDescent="0.2">
      <c r="A58" s="1687" t="s">
        <v>319</v>
      </c>
      <c r="B58" s="1693">
        <f>H28</f>
        <v>3270</v>
      </c>
      <c r="C58" s="1693">
        <f>I28</f>
        <v>733</v>
      </c>
      <c r="D58" s="1690">
        <f t="shared" si="11"/>
        <v>0.22415902140672783</v>
      </c>
      <c r="E58" s="1638"/>
      <c r="F58" s="1638"/>
      <c r="G58" s="1638"/>
      <c r="H58" s="1638"/>
      <c r="I58" s="1638"/>
      <c r="J58" s="1638"/>
      <c r="K58" s="1638"/>
      <c r="L58" s="1638"/>
      <c r="M58" s="1638"/>
      <c r="N58" s="1639"/>
    </row>
    <row r="59" spans="1:14" s="1644" customFormat="1" x14ac:dyDescent="0.2">
      <c r="A59" s="1687" t="s">
        <v>318</v>
      </c>
      <c r="B59" s="1693">
        <f>H28</f>
        <v>3270</v>
      </c>
      <c r="C59" s="1693">
        <f>K28</f>
        <v>3348.2315506497071</v>
      </c>
      <c r="D59" s="1690">
        <f t="shared" si="11"/>
        <v>1.0239240216054151</v>
      </c>
      <c r="E59" s="1638"/>
      <c r="F59" s="1638"/>
      <c r="G59" s="1638"/>
      <c r="H59" s="1638"/>
      <c r="I59" s="1638"/>
      <c r="J59" s="1638"/>
      <c r="K59" s="1638"/>
      <c r="L59" s="1638"/>
      <c r="M59" s="1638"/>
      <c r="N59" s="1639"/>
    </row>
    <row r="60" spans="1:14" s="1644" customFormat="1" x14ac:dyDescent="0.2">
      <c r="A60" s="1687">
        <v>2013</v>
      </c>
      <c r="B60" s="1693">
        <f>K28</f>
        <v>3348.2315506497071</v>
      </c>
      <c r="C60" s="1689" t="s">
        <v>195</v>
      </c>
      <c r="D60" s="1690" t="str">
        <f t="shared" si="11"/>
        <v>-</v>
      </c>
      <c r="E60" s="1638"/>
      <c r="F60" s="1638"/>
      <c r="G60" s="1638"/>
      <c r="H60" s="1638"/>
      <c r="I60" s="1638"/>
      <c r="J60" s="1638"/>
      <c r="K60" s="1638"/>
      <c r="L60" s="1638"/>
      <c r="M60" s="1638"/>
      <c r="N60" s="1639"/>
    </row>
    <row r="61" spans="1:14" s="1644" customFormat="1" x14ac:dyDescent="0.2">
      <c r="A61" s="1687">
        <v>2014</v>
      </c>
      <c r="B61" s="1693">
        <f>L28</f>
        <v>3599.0847658208663</v>
      </c>
      <c r="C61" s="1689" t="s">
        <v>195</v>
      </c>
      <c r="D61" s="1690" t="str">
        <f>IF(ISERROR(C61/B61),"-",(C61/B61))</f>
        <v>-</v>
      </c>
      <c r="E61" s="1638"/>
      <c r="F61" s="1638"/>
      <c r="G61" s="1638"/>
      <c r="H61" s="1638"/>
      <c r="I61" s="1638"/>
      <c r="J61" s="1638"/>
      <c r="K61" s="1638"/>
      <c r="L61" s="1638"/>
      <c r="M61" s="1638"/>
      <c r="N61" s="1639"/>
    </row>
    <row r="62" spans="1:14" s="1644" customFormat="1" x14ac:dyDescent="0.2">
      <c r="A62" s="1687">
        <v>2015</v>
      </c>
      <c r="B62" s="1693">
        <f>M28</f>
        <v>3675.2468010147008</v>
      </c>
      <c r="C62" s="1689" t="s">
        <v>195</v>
      </c>
      <c r="D62" s="1690" t="str">
        <f>IF(ISERROR(C62/B62),"-",(C62/B62))</f>
        <v>-</v>
      </c>
      <c r="E62" s="1638"/>
      <c r="F62" s="1638"/>
      <c r="G62" s="1638"/>
      <c r="H62" s="1638"/>
      <c r="I62" s="1638"/>
      <c r="J62" s="1638"/>
      <c r="K62" s="1638"/>
      <c r="L62" s="1638"/>
      <c r="M62" s="1638"/>
      <c r="N62" s="1639"/>
    </row>
    <row r="63" spans="1:14" s="1644" customFormat="1" x14ac:dyDescent="0.2">
      <c r="A63" s="1687"/>
      <c r="B63" s="1689"/>
      <c r="C63" s="1689"/>
      <c r="D63" s="1689"/>
      <c r="E63" s="1638"/>
      <c r="F63" s="1638"/>
      <c r="G63" s="1638"/>
      <c r="H63" s="1638"/>
      <c r="I63" s="1638"/>
      <c r="J63" s="1638"/>
      <c r="K63" s="1638"/>
      <c r="L63" s="1638"/>
      <c r="M63" s="1638"/>
      <c r="N63" s="1639"/>
    </row>
    <row r="64" spans="1:14" s="1644" customFormat="1" x14ac:dyDescent="0.2">
      <c r="A64" s="1691" t="s">
        <v>191</v>
      </c>
      <c r="B64" s="1691"/>
      <c r="C64" s="1691"/>
      <c r="D64" s="1638"/>
      <c r="E64" s="1638"/>
      <c r="F64" s="1638"/>
      <c r="G64" s="1638"/>
      <c r="H64" s="1638"/>
      <c r="I64" s="1638"/>
      <c r="J64" s="1638"/>
      <c r="K64" s="1638"/>
      <c r="L64" s="1638"/>
      <c r="M64" s="1638"/>
      <c r="N64" s="1639"/>
    </row>
    <row r="65" spans="1:14" s="1644" customFormat="1" x14ac:dyDescent="0.2">
      <c r="A65" s="1687" t="s">
        <v>185</v>
      </c>
      <c r="B65" s="1688" t="s">
        <v>188</v>
      </c>
      <c r="C65" s="1688" t="s">
        <v>186</v>
      </c>
      <c r="D65" s="1688" t="s">
        <v>189</v>
      </c>
      <c r="E65" s="1638"/>
      <c r="F65" s="1638"/>
      <c r="G65" s="1638"/>
      <c r="H65" s="1638"/>
      <c r="I65" s="1638"/>
      <c r="J65" s="1638"/>
      <c r="K65" s="1638"/>
      <c r="L65" s="1638"/>
      <c r="M65" s="1638"/>
      <c r="N65" s="1639"/>
    </row>
    <row r="66" spans="1:14" s="1644" customFormat="1" x14ac:dyDescent="0.2">
      <c r="A66" s="1687">
        <v>2006</v>
      </c>
      <c r="B66" s="1693">
        <v>35150</v>
      </c>
      <c r="C66" s="1693">
        <v>45734</v>
      </c>
      <c r="D66" s="1690">
        <f t="shared" ref="D66:D74" si="12">IF(ISERROR(C66/B66),"-",(C66/B66))</f>
        <v>1.3011095305832148</v>
      </c>
      <c r="E66" s="1638"/>
      <c r="F66" s="1638"/>
      <c r="G66" s="1638"/>
      <c r="H66" s="1638"/>
      <c r="I66" s="1638"/>
      <c r="J66" s="1638"/>
      <c r="K66" s="1638"/>
      <c r="L66" s="1638"/>
      <c r="M66" s="1638"/>
      <c r="N66" s="1639"/>
    </row>
    <row r="67" spans="1:14" s="1644" customFormat="1" x14ac:dyDescent="0.2">
      <c r="A67" s="1687">
        <v>2007</v>
      </c>
      <c r="B67" s="1693">
        <v>56432</v>
      </c>
      <c r="C67" s="1693">
        <v>101407</v>
      </c>
      <c r="D67" s="1690">
        <f t="shared" si="12"/>
        <v>1.7969768925432379</v>
      </c>
      <c r="E67" s="1638"/>
      <c r="F67" s="1638"/>
      <c r="G67" s="1638"/>
      <c r="H67" s="1638"/>
      <c r="I67" s="1638"/>
      <c r="J67" s="1638"/>
      <c r="K67" s="1638"/>
      <c r="L67" s="1638"/>
      <c r="M67" s="1638"/>
      <c r="N67" s="1639"/>
    </row>
    <row r="68" spans="1:14" s="1644" customFormat="1" x14ac:dyDescent="0.2">
      <c r="A68" s="1687">
        <v>2008</v>
      </c>
      <c r="B68" s="1693">
        <v>74675</v>
      </c>
      <c r="C68" s="1693">
        <f>D20</f>
        <v>94054</v>
      </c>
      <c r="D68" s="1690">
        <f t="shared" si="12"/>
        <v>1.2595112152661534</v>
      </c>
      <c r="E68" s="1638"/>
      <c r="F68" s="1638"/>
      <c r="G68" s="1638"/>
      <c r="H68" s="1638"/>
      <c r="I68" s="1638"/>
      <c r="J68" s="1638"/>
      <c r="K68" s="1638"/>
      <c r="L68" s="1638"/>
      <c r="M68" s="1638"/>
      <c r="N68" s="1639"/>
    </row>
    <row r="69" spans="1:14" s="1644" customFormat="1" x14ac:dyDescent="0.2">
      <c r="A69" s="1687">
        <v>2009</v>
      </c>
      <c r="B69" s="1693">
        <v>104319.87311167864</v>
      </c>
      <c r="C69" s="1693">
        <v>195280</v>
      </c>
      <c r="D69" s="1690">
        <f t="shared" si="12"/>
        <v>1.8719347922417895</v>
      </c>
      <c r="E69" s="1638"/>
      <c r="F69" s="1638"/>
      <c r="G69" s="1638"/>
      <c r="H69" s="1638"/>
      <c r="I69" s="1638"/>
      <c r="J69" s="1638"/>
      <c r="K69" s="1638"/>
      <c r="L69" s="1638"/>
      <c r="M69" s="1638"/>
      <c r="N69" s="1639"/>
    </row>
    <row r="70" spans="1:14" s="1644" customFormat="1" x14ac:dyDescent="0.2">
      <c r="A70" s="1687">
        <v>2010</v>
      </c>
      <c r="B70" s="1693">
        <v>142173</v>
      </c>
      <c r="C70" s="1693">
        <v>194946</v>
      </c>
      <c r="D70" s="1690">
        <f t="shared" si="12"/>
        <v>1.3711886223122534</v>
      </c>
      <c r="E70" s="1638"/>
      <c r="F70" s="1638"/>
      <c r="G70" s="1638"/>
      <c r="H70" s="1638"/>
      <c r="I70" s="1638"/>
      <c r="J70" s="1638"/>
      <c r="K70" s="1638"/>
      <c r="L70" s="1638"/>
      <c r="M70" s="1638"/>
      <c r="N70" s="1639"/>
    </row>
    <row r="71" spans="1:14" s="1644" customFormat="1" x14ac:dyDescent="0.2">
      <c r="A71" s="1687">
        <v>2011</v>
      </c>
      <c r="B71" s="1693">
        <v>156774</v>
      </c>
      <c r="C71" s="1695">
        <f>G20</f>
        <v>359607</v>
      </c>
      <c r="D71" s="1690">
        <f t="shared" si="12"/>
        <v>2.2937923380152321</v>
      </c>
      <c r="E71" s="1638"/>
      <c r="F71" s="1638"/>
      <c r="G71" s="1638"/>
      <c r="H71" s="1638"/>
      <c r="I71" s="1638"/>
      <c r="J71" s="1638"/>
      <c r="K71" s="1638"/>
      <c r="L71" s="1638"/>
      <c r="M71" s="1638"/>
      <c r="N71" s="1639"/>
    </row>
    <row r="72" spans="1:14" s="1644" customFormat="1" x14ac:dyDescent="0.2">
      <c r="A72" s="1687" t="s">
        <v>319</v>
      </c>
      <c r="B72" s="1693">
        <v>315965</v>
      </c>
      <c r="C72" s="1695">
        <f>I20</f>
        <v>144493</v>
      </c>
      <c r="D72" s="1690">
        <f t="shared" si="12"/>
        <v>0.45730698020350358</v>
      </c>
      <c r="E72" s="1638"/>
      <c r="F72" s="1638"/>
      <c r="G72" s="1638"/>
      <c r="H72" s="1638"/>
      <c r="I72" s="1638"/>
      <c r="J72" s="1638"/>
      <c r="K72" s="1638"/>
      <c r="L72" s="1638"/>
      <c r="M72" s="1638"/>
      <c r="N72" s="1639"/>
    </row>
    <row r="73" spans="1:14" s="1644" customFormat="1" x14ac:dyDescent="0.2">
      <c r="A73" s="1687" t="s">
        <v>318</v>
      </c>
      <c r="B73" s="1694">
        <v>315965</v>
      </c>
      <c r="C73" s="1695">
        <f>J20</f>
        <v>376726.24439445365</v>
      </c>
      <c r="D73" s="1690">
        <f t="shared" si="12"/>
        <v>1.1923037184322747</v>
      </c>
      <c r="E73" s="1638"/>
      <c r="F73" s="1638"/>
      <c r="G73" s="1638"/>
      <c r="H73" s="1638"/>
      <c r="I73" s="1638"/>
      <c r="J73" s="1638"/>
      <c r="K73" s="1638"/>
      <c r="L73" s="1638"/>
      <c r="M73" s="1638"/>
      <c r="N73" s="1639"/>
    </row>
    <row r="74" spans="1:14" s="1644" customFormat="1" x14ac:dyDescent="0.2">
      <c r="A74" s="1687">
        <v>2013</v>
      </c>
      <c r="B74" s="1694">
        <f>K20</f>
        <v>511007.71796961169</v>
      </c>
      <c r="C74" s="1689" t="s">
        <v>195</v>
      </c>
      <c r="D74" s="1690" t="str">
        <f t="shared" si="12"/>
        <v>-</v>
      </c>
      <c r="E74" s="1638"/>
      <c r="F74" s="1638"/>
      <c r="G74" s="1638"/>
      <c r="H74" s="1638"/>
      <c r="I74" s="1638"/>
      <c r="J74" s="1638"/>
      <c r="K74" s="1638"/>
      <c r="L74" s="1638"/>
      <c r="M74" s="1638"/>
      <c r="N74" s="1639"/>
    </row>
    <row r="75" spans="1:14" s="1644" customFormat="1" x14ac:dyDescent="0.2">
      <c r="A75" s="1687">
        <v>2014</v>
      </c>
      <c r="B75" s="1694">
        <f>L20</f>
        <v>549292.98202343134</v>
      </c>
      <c r="C75" s="1689" t="s">
        <v>195</v>
      </c>
      <c r="D75" s="1690" t="str">
        <f>IF(ISERROR(C75/B75),"-",(C75/B75))</f>
        <v>-</v>
      </c>
      <c r="E75" s="1638"/>
      <c r="F75" s="1638"/>
      <c r="G75" s="1638"/>
      <c r="H75" s="1638"/>
      <c r="I75" s="1638"/>
      <c r="J75" s="1638"/>
      <c r="K75" s="1638"/>
      <c r="L75" s="1638"/>
      <c r="M75" s="1638"/>
      <c r="N75" s="1639"/>
    </row>
    <row r="76" spans="1:14" s="1644" customFormat="1" x14ac:dyDescent="0.2">
      <c r="A76" s="1687">
        <v>2015</v>
      </c>
      <c r="B76" s="1694">
        <f>M20</f>
        <v>560916.84590846358</v>
      </c>
      <c r="C76" s="1689" t="s">
        <v>195</v>
      </c>
      <c r="D76" s="1690" t="str">
        <f>IF(ISERROR(C76/B76),"-",(C76/B76))</f>
        <v>-</v>
      </c>
      <c r="E76" s="1638"/>
      <c r="F76" s="1638"/>
      <c r="G76" s="1638"/>
      <c r="H76" s="1638"/>
      <c r="I76" s="1638"/>
      <c r="J76" s="1638"/>
      <c r="K76" s="1638"/>
      <c r="L76" s="1638"/>
      <c r="M76" s="1638"/>
      <c r="N76" s="1639"/>
    </row>
    <row r="77" spans="1:14" s="1644" customFormat="1" x14ac:dyDescent="0.2">
      <c r="A77" s="1687"/>
      <c r="B77" s="1696"/>
      <c r="C77" s="1696"/>
      <c r="D77" s="1696"/>
      <c r="E77" s="1638"/>
      <c r="F77" s="1638"/>
      <c r="G77" s="1638"/>
      <c r="H77" s="1638"/>
      <c r="I77" s="1638"/>
      <c r="J77" s="1638"/>
      <c r="K77" s="1638"/>
      <c r="L77" s="1638"/>
      <c r="M77" s="1638"/>
      <c r="N77" s="1639"/>
    </row>
    <row r="78" spans="1:14" s="1644" customFormat="1" x14ac:dyDescent="0.2">
      <c r="A78" s="1691" t="s">
        <v>190</v>
      </c>
      <c r="B78" s="1691"/>
      <c r="C78" s="1691"/>
      <c r="D78" s="1691"/>
      <c r="E78" s="1638"/>
      <c r="F78" s="1638"/>
      <c r="G78" s="1638"/>
      <c r="H78" s="1638"/>
      <c r="I78" s="1638"/>
      <c r="J78" s="1638"/>
      <c r="K78" s="1638"/>
      <c r="L78" s="1638"/>
      <c r="M78" s="1638"/>
      <c r="N78" s="1639"/>
    </row>
    <row r="79" spans="1:14" s="1644" customFormat="1" x14ac:dyDescent="0.2">
      <c r="A79" s="1687" t="s">
        <v>185</v>
      </c>
      <c r="B79" s="1688" t="s">
        <v>188</v>
      </c>
      <c r="C79" s="1688" t="s">
        <v>186</v>
      </c>
      <c r="D79" s="1688" t="s">
        <v>189</v>
      </c>
      <c r="E79" s="1638"/>
      <c r="F79" s="1638"/>
      <c r="G79" s="1638"/>
      <c r="H79" s="1638"/>
      <c r="I79" s="1638"/>
      <c r="J79" s="1638"/>
      <c r="K79" s="1638"/>
      <c r="L79" s="1638"/>
      <c r="M79" s="1638"/>
      <c r="N79" s="1639"/>
    </row>
    <row r="80" spans="1:14" s="1644" customFormat="1" x14ac:dyDescent="0.2">
      <c r="A80" s="1687">
        <v>2006</v>
      </c>
      <c r="B80" s="1693">
        <v>572388</v>
      </c>
      <c r="C80" s="1693">
        <v>941555</v>
      </c>
      <c r="D80" s="1690">
        <f t="shared" ref="D80:D90" si="13">IF(ISERROR(C80/B80),"-",(C80/B80))</f>
        <v>1.6449593632291384</v>
      </c>
      <c r="E80" s="1638"/>
      <c r="F80" s="1638"/>
      <c r="G80" s="1638"/>
      <c r="H80" s="1638"/>
      <c r="I80" s="1638"/>
      <c r="J80" s="1638"/>
      <c r="K80" s="1638"/>
      <c r="L80" s="1638"/>
      <c r="M80" s="1638"/>
      <c r="N80" s="1639"/>
    </row>
    <row r="81" spans="1:14" s="1644" customFormat="1" x14ac:dyDescent="0.2">
      <c r="A81" s="1687">
        <v>2007</v>
      </c>
      <c r="B81" s="1693">
        <v>1172876</v>
      </c>
      <c r="C81" s="1693">
        <v>1396219</v>
      </c>
      <c r="D81" s="1690">
        <f t="shared" si="13"/>
        <v>1.1904233695633639</v>
      </c>
      <c r="E81" s="1638"/>
      <c r="F81" s="1638"/>
      <c r="G81" s="1638"/>
      <c r="H81" s="1638"/>
      <c r="I81" s="1638"/>
      <c r="J81" s="1638"/>
      <c r="K81" s="1638"/>
      <c r="L81" s="1638"/>
      <c r="M81" s="1638"/>
      <c r="N81" s="1639"/>
    </row>
    <row r="82" spans="1:14" s="1644" customFormat="1" x14ac:dyDescent="0.2">
      <c r="A82" s="1687">
        <v>2008</v>
      </c>
      <c r="B82" s="1693">
        <v>970771</v>
      </c>
      <c r="C82" s="1693">
        <f>D21</f>
        <v>1617301</v>
      </c>
      <c r="D82" s="1690">
        <f t="shared" si="13"/>
        <v>1.6659964090398252</v>
      </c>
      <c r="E82" s="1638"/>
      <c r="F82" s="1638"/>
      <c r="G82" s="1638"/>
      <c r="H82" s="1638"/>
      <c r="I82" s="1638"/>
      <c r="J82" s="1638"/>
      <c r="K82" s="1638"/>
      <c r="L82" s="1638"/>
      <c r="M82" s="1638"/>
      <c r="N82" s="1639"/>
    </row>
    <row r="83" spans="1:14" s="1644" customFormat="1" x14ac:dyDescent="0.2">
      <c r="A83" s="1687">
        <v>2009</v>
      </c>
      <c r="B83" s="1693">
        <v>1599520.3014143936</v>
      </c>
      <c r="C83" s="1693">
        <f>E21</f>
        <v>3534308</v>
      </c>
      <c r="D83" s="1690">
        <f t="shared" si="13"/>
        <v>2.2096049652353575</v>
      </c>
      <c r="E83" s="1638"/>
      <c r="F83" s="1638"/>
      <c r="G83" s="1638"/>
      <c r="H83" s="1638"/>
      <c r="I83" s="1638"/>
      <c r="J83" s="1638"/>
      <c r="K83" s="1638"/>
      <c r="L83" s="1638"/>
      <c r="M83" s="1638"/>
      <c r="N83" s="1639"/>
    </row>
    <row r="84" spans="1:14" s="1644" customFormat="1" x14ac:dyDescent="0.2">
      <c r="A84" s="1687">
        <v>2010</v>
      </c>
      <c r="B84" s="1693">
        <v>2536750</v>
      </c>
      <c r="C84" s="1663">
        <v>2616614</v>
      </c>
      <c r="D84" s="1690">
        <f t="shared" si="13"/>
        <v>1.0314828027988567</v>
      </c>
      <c r="E84" s="1638"/>
      <c r="F84" s="1638"/>
      <c r="G84" s="1638"/>
      <c r="H84" s="1638"/>
      <c r="I84" s="1638"/>
      <c r="J84" s="1638"/>
      <c r="K84" s="1638"/>
      <c r="L84" s="1638"/>
      <c r="M84" s="1638"/>
      <c r="N84" s="1639"/>
    </row>
    <row r="85" spans="1:14" s="1644" customFormat="1" x14ac:dyDescent="0.2">
      <c r="A85" s="1687">
        <v>2011</v>
      </c>
      <c r="B85" s="1694">
        <v>2394163</v>
      </c>
      <c r="C85" s="1694">
        <f>G21</f>
        <v>6081081</v>
      </c>
      <c r="D85" s="1690">
        <f t="shared" si="13"/>
        <v>2.5399611471733547</v>
      </c>
      <c r="E85" s="1638"/>
      <c r="F85" s="1638"/>
      <c r="G85" s="1638"/>
      <c r="H85" s="1638"/>
      <c r="I85" s="1638"/>
      <c r="J85" s="1638"/>
      <c r="K85" s="1638"/>
      <c r="L85" s="1638"/>
      <c r="M85" s="1638"/>
      <c r="N85" s="1639"/>
    </row>
    <row r="86" spans="1:14" s="1644" customFormat="1" x14ac:dyDescent="0.2">
      <c r="A86" s="1687" t="s">
        <v>319</v>
      </c>
      <c r="B86" s="1694">
        <v>5920875</v>
      </c>
      <c r="C86" s="1694">
        <f>I21</f>
        <v>2962795</v>
      </c>
      <c r="D86" s="1690">
        <f t="shared" si="13"/>
        <v>0.50039816750058053</v>
      </c>
      <c r="E86" s="1638"/>
      <c r="F86" s="1638"/>
      <c r="G86" s="1638"/>
      <c r="H86" s="1638"/>
      <c r="I86" s="1638"/>
      <c r="J86" s="1638"/>
      <c r="K86" s="1638"/>
      <c r="L86" s="1638"/>
      <c r="M86" s="1638"/>
      <c r="N86" s="1639"/>
    </row>
    <row r="87" spans="1:14" s="1644" customFormat="1" x14ac:dyDescent="0.2">
      <c r="A87" s="1687" t="s">
        <v>318</v>
      </c>
      <c r="B87" s="1694">
        <v>5920875</v>
      </c>
      <c r="C87" s="1695">
        <f>J21</f>
        <v>7724683.0867977357</v>
      </c>
      <c r="D87" s="1690">
        <f t="shared" si="13"/>
        <v>1.3046522831165555</v>
      </c>
      <c r="E87" s="1638"/>
      <c r="F87" s="1638"/>
      <c r="G87" s="1638"/>
      <c r="H87" s="1638"/>
      <c r="I87" s="1638"/>
      <c r="J87" s="1638"/>
      <c r="K87" s="1638"/>
      <c r="L87" s="1638"/>
      <c r="M87" s="1638"/>
      <c r="N87" s="1639"/>
    </row>
    <row r="88" spans="1:14" ht="12" x14ac:dyDescent="0.2">
      <c r="A88" s="1687">
        <v>2013</v>
      </c>
      <c r="B88" s="1694">
        <f>K21</f>
        <v>10221175.610011879</v>
      </c>
      <c r="C88" s="1689" t="s">
        <v>195</v>
      </c>
      <c r="D88" s="1690" t="str">
        <f t="shared" si="13"/>
        <v>-</v>
      </c>
      <c r="E88" s="1638"/>
      <c r="F88" s="1638"/>
      <c r="G88" s="1638"/>
      <c r="H88" s="1638"/>
      <c r="I88" s="1638"/>
      <c r="J88" s="1638"/>
      <c r="K88" s="1638"/>
      <c r="L88" s="1638"/>
      <c r="M88" s="1638"/>
      <c r="N88" s="1639"/>
    </row>
    <row r="89" spans="1:14" ht="12" x14ac:dyDescent="0.2">
      <c r="A89" s="1687">
        <v>2014</v>
      </c>
      <c r="B89" s="1694">
        <f>L21</f>
        <v>10986957.404315496</v>
      </c>
      <c r="C89" s="1689" t="s">
        <v>195</v>
      </c>
      <c r="D89" s="1690" t="str">
        <f t="shared" si="13"/>
        <v>-</v>
      </c>
      <c r="E89" s="1638"/>
      <c r="F89" s="1638"/>
      <c r="G89" s="1638"/>
      <c r="H89" s="1638"/>
      <c r="I89" s="1638"/>
      <c r="J89" s="1638"/>
      <c r="K89" s="1638"/>
      <c r="L89" s="1638"/>
      <c r="M89" s="1638"/>
      <c r="N89" s="1639"/>
    </row>
    <row r="90" spans="1:14" ht="12" x14ac:dyDescent="0.2">
      <c r="A90" s="1687">
        <v>2015</v>
      </c>
      <c r="B90" s="1694">
        <f>M21</f>
        <v>11219457.912346676</v>
      </c>
      <c r="C90" s="1689" t="s">
        <v>195</v>
      </c>
      <c r="D90" s="1690" t="str">
        <f t="shared" si="13"/>
        <v>-</v>
      </c>
      <c r="E90" s="1638"/>
      <c r="F90" s="1638"/>
      <c r="G90" s="1638"/>
      <c r="H90" s="1638"/>
      <c r="I90" s="1638"/>
      <c r="J90" s="1638"/>
      <c r="K90" s="1638"/>
      <c r="L90" s="1638"/>
      <c r="M90" s="1638"/>
      <c r="N90" s="1639"/>
    </row>
    <row r="91" spans="1:14" ht="12" x14ac:dyDescent="0.2">
      <c r="A91" s="1638"/>
      <c r="B91" s="1637"/>
      <c r="C91" s="1638"/>
      <c r="D91" s="1638"/>
      <c r="E91" s="1638"/>
      <c r="F91" s="1638"/>
      <c r="G91" s="1638"/>
      <c r="H91" s="1638"/>
      <c r="I91" s="1638"/>
      <c r="J91" s="1638"/>
      <c r="K91" s="1638"/>
      <c r="L91" s="1638"/>
      <c r="M91" s="1638"/>
      <c r="N91" s="1639"/>
    </row>
    <row r="92" spans="1:14" ht="12" x14ac:dyDescent="0.2">
      <c r="A92" s="1638"/>
      <c r="B92" s="1637"/>
      <c r="C92" s="1638"/>
      <c r="D92" s="1638"/>
      <c r="E92" s="1638"/>
      <c r="F92" s="1638"/>
      <c r="G92" s="1638"/>
      <c r="H92" s="1638"/>
      <c r="I92" s="1638"/>
      <c r="J92" s="1638"/>
      <c r="K92" s="1638"/>
      <c r="L92" s="1638"/>
      <c r="M92" s="1638"/>
      <c r="N92" s="1639"/>
    </row>
    <row r="93" spans="1:14" ht="12" x14ac:dyDescent="0.2">
      <c r="A93" s="1638"/>
      <c r="B93" s="1637"/>
      <c r="C93" s="1638"/>
      <c r="D93" s="1638"/>
      <c r="E93" s="1638"/>
      <c r="F93" s="1638"/>
      <c r="G93" s="1638"/>
      <c r="H93" s="1638"/>
      <c r="I93" s="1638"/>
      <c r="J93" s="1638"/>
      <c r="K93" s="1638"/>
      <c r="L93" s="1638"/>
      <c r="M93" s="1638"/>
      <c r="N93" s="1639"/>
    </row>
    <row r="94" spans="1:14" ht="12" x14ac:dyDescent="0.2">
      <c r="A94" s="1638"/>
      <c r="B94" s="1637"/>
      <c r="C94" s="1638"/>
      <c r="D94" s="1638"/>
      <c r="E94" s="1638"/>
      <c r="F94" s="1638"/>
      <c r="G94" s="1638"/>
      <c r="H94" s="1638"/>
      <c r="I94" s="1638"/>
      <c r="J94" s="1638"/>
      <c r="K94" s="1638"/>
      <c r="L94" s="1638"/>
      <c r="M94" s="1638"/>
      <c r="N94" s="1639"/>
    </row>
    <row r="95" spans="1:14" ht="12" x14ac:dyDescent="0.2">
      <c r="A95" s="1638"/>
      <c r="B95" s="1637"/>
      <c r="C95" s="1638"/>
      <c r="D95" s="1638"/>
      <c r="E95" s="1638"/>
      <c r="F95" s="1638"/>
      <c r="G95" s="1638"/>
      <c r="H95" s="1638"/>
      <c r="I95" s="1638"/>
      <c r="J95" s="1638"/>
      <c r="K95" s="1638"/>
      <c r="L95" s="1638"/>
      <c r="M95" s="1638"/>
      <c r="N95" s="1639"/>
    </row>
    <row r="96" spans="1:14" ht="12" x14ac:dyDescent="0.2">
      <c r="A96" s="1638"/>
      <c r="B96" s="1637"/>
      <c r="C96" s="1638"/>
      <c r="D96" s="1638"/>
      <c r="E96" s="1638"/>
      <c r="F96" s="1638"/>
      <c r="G96" s="1638"/>
      <c r="H96" s="1638"/>
      <c r="I96" s="1638"/>
      <c r="J96" s="1638"/>
      <c r="K96" s="1638"/>
      <c r="L96" s="1638"/>
      <c r="M96" s="1638"/>
      <c r="N96" s="1639"/>
    </row>
    <row r="97" spans="1:14" ht="12" x14ac:dyDescent="0.2">
      <c r="A97" s="1638"/>
      <c r="B97" s="1637"/>
      <c r="C97" s="1638"/>
      <c r="D97" s="1638"/>
      <c r="E97" s="1638"/>
      <c r="F97" s="1638"/>
      <c r="G97" s="1638"/>
      <c r="H97" s="1638"/>
      <c r="I97" s="1638"/>
      <c r="J97" s="1638"/>
      <c r="K97" s="1638"/>
      <c r="L97" s="1638"/>
      <c r="M97" s="1638"/>
      <c r="N97" s="1639"/>
    </row>
  </sheetData>
  <mergeCells count="1">
    <mergeCell ref="A1:N1"/>
  </mergeCells>
  <pageMargins left="0" right="0" top="0.4" bottom="1" header="0.5" footer="0.5"/>
  <pageSetup scale="60" orientation="landscape" r:id="rId1"/>
  <headerFooter alignWithMargins="0">
    <oddFooter>&amp;C&amp;1#&amp;"Calibri"&amp;12&amp;K008000Internal Use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1"/>
  </sheetPr>
  <dimension ref="A1:H67"/>
  <sheetViews>
    <sheetView zoomScale="75" workbookViewId="0">
      <pane xSplit="2" ySplit="11" topLeftCell="C12" activePane="bottomRight" state="frozen"/>
      <selection activeCell="C9" sqref="C9:E10"/>
      <selection pane="topRight" activeCell="C9" sqref="C9:E10"/>
      <selection pane="bottomLeft" activeCell="C9" sqref="C9:E10"/>
      <selection pane="bottomRight" activeCell="C9" sqref="C9:E10"/>
    </sheetView>
  </sheetViews>
  <sheetFormatPr defaultRowHeight="12.75" x14ac:dyDescent="0.2"/>
  <cols>
    <col min="1" max="1" width="4.5703125" customWidth="1"/>
    <col min="2" max="2" width="60.7109375" customWidth="1"/>
    <col min="3" max="3" width="17.140625" customWidth="1"/>
    <col min="4" max="4" width="16" customWidth="1"/>
    <col min="5" max="5" width="17.42578125" customWidth="1"/>
    <col min="6" max="6" width="23.140625" customWidth="1"/>
    <col min="7" max="7" width="11.28515625" bestFit="1" customWidth="1"/>
    <col min="8" max="8" width="12.5703125" customWidth="1"/>
  </cols>
  <sheetData>
    <row r="1" spans="1:7" ht="23.25" x14ac:dyDescent="0.35">
      <c r="B1" s="501"/>
    </row>
    <row r="2" spans="1:7" ht="20.25" customHeight="1" x14ac:dyDescent="0.3">
      <c r="B2" s="2848" t="s">
        <v>231</v>
      </c>
      <c r="C2" s="2848"/>
      <c r="D2" s="2848"/>
      <c r="E2" s="2848"/>
    </row>
    <row r="3" spans="1:7" ht="20.25" customHeight="1" x14ac:dyDescent="0.3">
      <c r="A3" s="3"/>
      <c r="B3" s="2848" t="s">
        <v>59</v>
      </c>
      <c r="C3" s="2848"/>
      <c r="D3" s="2848"/>
      <c r="E3" s="2848"/>
    </row>
    <row r="4" spans="1:7" ht="20.25" customHeight="1" x14ac:dyDescent="0.3">
      <c r="A4" s="3"/>
      <c r="B4" s="2848" t="s">
        <v>409</v>
      </c>
      <c r="C4" s="2848"/>
      <c r="D4" s="2848"/>
      <c r="E4" s="2848"/>
    </row>
    <row r="5" spans="1:7" ht="20.25" customHeight="1" x14ac:dyDescent="0.3">
      <c r="A5" s="3"/>
      <c r="B5" s="949"/>
      <c r="C5" s="949"/>
      <c r="D5" s="949"/>
      <c r="E5" s="949"/>
    </row>
    <row r="6" spans="1:7" ht="20.25" customHeight="1" thickBot="1" x14ac:dyDescent="0.35">
      <c r="A6" s="3"/>
      <c r="B6" s="213"/>
      <c r="C6" s="502"/>
      <c r="D6" s="502"/>
    </row>
    <row r="7" spans="1:7" s="6" customFormat="1" ht="17.25" customHeight="1" x14ac:dyDescent="0.25">
      <c r="A7" s="15"/>
      <c r="B7" s="92"/>
      <c r="C7" s="157">
        <v>2013</v>
      </c>
      <c r="D7" s="157">
        <v>2014</v>
      </c>
      <c r="E7" s="157">
        <v>2015</v>
      </c>
    </row>
    <row r="8" spans="1:7" ht="17.25" customHeight="1" x14ac:dyDescent="0.25">
      <c r="A8" s="15"/>
      <c r="B8" s="93"/>
      <c r="C8" s="94" t="s">
        <v>36</v>
      </c>
      <c r="D8" s="94" t="s">
        <v>36</v>
      </c>
      <c r="E8" s="94" t="s">
        <v>36</v>
      </c>
    </row>
    <row r="9" spans="1:7" ht="16.5" customHeight="1" x14ac:dyDescent="0.25">
      <c r="A9" s="15"/>
      <c r="B9" s="95" t="s">
        <v>109</v>
      </c>
      <c r="C9" s="94" t="s">
        <v>477</v>
      </c>
      <c r="D9" s="94" t="s">
        <v>476</v>
      </c>
      <c r="E9" s="94" t="s">
        <v>476</v>
      </c>
    </row>
    <row r="10" spans="1:7" ht="47.25" customHeight="1" thickBot="1" x14ac:dyDescent="0.3">
      <c r="A10" s="15"/>
      <c r="B10" s="753"/>
      <c r="C10" s="145" t="s">
        <v>474</v>
      </c>
      <c r="D10" s="145" t="s">
        <v>1</v>
      </c>
      <c r="E10" s="145" t="s">
        <v>1</v>
      </c>
    </row>
    <row r="11" spans="1:7" s="13" customFormat="1" ht="17.25" customHeight="1" thickBot="1" x14ac:dyDescent="0.3">
      <c r="A11" s="15"/>
      <c r="B11" s="697" t="s">
        <v>115</v>
      </c>
      <c r="C11" s="3"/>
      <c r="D11" s="3"/>
      <c r="E11" s="3"/>
    </row>
    <row r="12" spans="1:7" s="15" customFormat="1" ht="15" x14ac:dyDescent="0.2">
      <c r="A12" s="16" t="s">
        <v>3</v>
      </c>
      <c r="B12" s="100" t="s">
        <v>342</v>
      </c>
      <c r="C12" s="770">
        <f>3029000-600000</f>
        <v>2429000</v>
      </c>
      <c r="D12" s="770">
        <f>3145500-600000</f>
        <v>2545500</v>
      </c>
      <c r="E12" s="771">
        <f>3262000-600000</f>
        <v>2662000</v>
      </c>
      <c r="F12" s="875"/>
    </row>
    <row r="13" spans="1:7" s="3" customFormat="1" ht="15" x14ac:dyDescent="0.2">
      <c r="A13" s="16" t="s">
        <v>9</v>
      </c>
      <c r="B13" s="871" t="s">
        <v>149</v>
      </c>
      <c r="C13" s="1858">
        <v>3635000</v>
      </c>
      <c r="D13" s="1858">
        <f>(3412000+50000)+600000</f>
        <v>4062000</v>
      </c>
      <c r="E13" s="1862">
        <f>(3942000+50000)+600000</f>
        <v>4592000</v>
      </c>
      <c r="F13" s="174"/>
      <c r="G13" s="1859"/>
    </row>
    <row r="14" spans="1:7" s="3" customFormat="1" ht="15" x14ac:dyDescent="0.2">
      <c r="A14" s="16" t="s">
        <v>9</v>
      </c>
      <c r="B14" s="871" t="s">
        <v>227</v>
      </c>
      <c r="C14" s="760">
        <v>650000</v>
      </c>
      <c r="D14" s="760">
        <v>770000</v>
      </c>
      <c r="E14" s="772">
        <v>939000</v>
      </c>
      <c r="F14" s="174"/>
    </row>
    <row r="15" spans="1:7" s="3" customFormat="1" ht="15.75" thickBot="1" x14ac:dyDescent="0.25">
      <c r="A15" s="16" t="s">
        <v>9</v>
      </c>
      <c r="B15" s="969" t="s">
        <v>110</v>
      </c>
      <c r="C15" s="773">
        <v>70000</v>
      </c>
      <c r="D15" s="773">
        <v>83000</v>
      </c>
      <c r="E15" s="774">
        <v>102000</v>
      </c>
      <c r="F15" s="174"/>
    </row>
    <row r="16" spans="1:7" ht="15.75" x14ac:dyDescent="0.25">
      <c r="A16" s="15"/>
      <c r="B16" s="1860" t="s">
        <v>30</v>
      </c>
      <c r="C16" s="1861">
        <f>SUM(C12:C15)</f>
        <v>6784000</v>
      </c>
      <c r="D16" s="1861">
        <f>SUM(D12:D15)</f>
        <v>7460500</v>
      </c>
      <c r="E16" s="1861">
        <f>SUM(E12:E15)</f>
        <v>8295000</v>
      </c>
      <c r="F16" s="174"/>
    </row>
    <row r="17" spans="1:6" s="3" customFormat="1" ht="15.75" x14ac:dyDescent="0.25">
      <c r="A17" s="15"/>
      <c r="B17" s="164"/>
      <c r="C17" s="161"/>
      <c r="D17" s="161"/>
      <c r="E17" s="161"/>
      <c r="F17" s="174"/>
    </row>
    <row r="18" spans="1:6" s="3" customFormat="1" ht="15.75" x14ac:dyDescent="0.25">
      <c r="A18" s="13"/>
      <c r="B18" s="164" t="s">
        <v>6</v>
      </c>
      <c r="F18" s="174"/>
    </row>
    <row r="19" spans="1:6" ht="17.25" customHeight="1" thickBot="1" x14ac:dyDescent="0.3">
      <c r="A19" s="13"/>
      <c r="B19" s="935" t="s">
        <v>111</v>
      </c>
      <c r="F19" s="174"/>
    </row>
    <row r="20" spans="1:6" ht="15.75" thickBot="1" x14ac:dyDescent="0.25">
      <c r="A20" s="18" t="s">
        <v>10</v>
      </c>
      <c r="B20" s="179" t="s">
        <v>112</v>
      </c>
      <c r="C20" s="770">
        <f>1984000+25000</f>
        <v>2009000</v>
      </c>
      <c r="D20" s="770">
        <f>2352000+50000</f>
        <v>2402000</v>
      </c>
      <c r="E20" s="771">
        <f>2869000+75000</f>
        <v>2944000</v>
      </c>
      <c r="F20" s="174"/>
    </row>
    <row r="21" spans="1:6" s="163" customFormat="1" ht="16.5" thickBot="1" x14ac:dyDescent="0.3">
      <c r="A21" s="15"/>
      <c r="B21" s="227" t="s">
        <v>113</v>
      </c>
      <c r="C21" s="215">
        <f>SUM(C20)</f>
        <v>2009000</v>
      </c>
      <c r="D21" s="215">
        <f>SUM(D20)</f>
        <v>2402000</v>
      </c>
      <c r="E21" s="215">
        <f>SUM(E20)</f>
        <v>2944000</v>
      </c>
      <c r="F21" s="174"/>
    </row>
    <row r="22" spans="1:6" s="163" customFormat="1" ht="16.5" thickBot="1" x14ac:dyDescent="0.3">
      <c r="A22" s="15"/>
      <c r="B22" s="27" t="s">
        <v>114</v>
      </c>
      <c r="F22" s="174"/>
    </row>
    <row r="23" spans="1:6" ht="17.25" customHeight="1" x14ac:dyDescent="0.2">
      <c r="A23" s="18" t="s">
        <v>10</v>
      </c>
      <c r="B23" s="100" t="s">
        <v>116</v>
      </c>
      <c r="C23" s="770">
        <f>1300000+75000</f>
        <v>1375000</v>
      </c>
      <c r="D23" s="770">
        <f>1541000+150000</f>
        <v>1691000</v>
      </c>
      <c r="E23" s="771">
        <f>1880000+225000</f>
        <v>2105000</v>
      </c>
      <c r="F23" s="174"/>
    </row>
    <row r="24" spans="1:6" ht="17.25" customHeight="1" thickBot="1" x14ac:dyDescent="0.25">
      <c r="A24" s="18" t="s">
        <v>10</v>
      </c>
      <c r="B24" s="490" t="s">
        <v>117</v>
      </c>
      <c r="C24" s="760">
        <f>210000+150000</f>
        <v>360000</v>
      </c>
      <c r="D24" s="760">
        <f>249000+150000</f>
        <v>399000</v>
      </c>
      <c r="E24" s="772">
        <f>304000+150000</f>
        <v>454000</v>
      </c>
      <c r="F24" s="174"/>
    </row>
    <row r="25" spans="1:6" ht="16.5" thickBot="1" x14ac:dyDescent="0.3">
      <c r="A25" s="15"/>
      <c r="B25" s="978" t="s">
        <v>118</v>
      </c>
      <c r="C25" s="783">
        <f>SUM(C23:C24)</f>
        <v>1735000</v>
      </c>
      <c r="D25" s="216">
        <f>SUM(D23:D24)</f>
        <v>2090000</v>
      </c>
      <c r="E25" s="216">
        <f>SUM(E23:E24)</f>
        <v>2559000</v>
      </c>
      <c r="F25" s="174"/>
    </row>
    <row r="26" spans="1:6" ht="15.75" thickBot="1" x14ac:dyDescent="0.25">
      <c r="A26" s="18" t="s">
        <v>10</v>
      </c>
      <c r="B26" s="930" t="s">
        <v>245</v>
      </c>
      <c r="C26" s="760">
        <f>297000-150000</f>
        <v>147000</v>
      </c>
      <c r="D26" s="760">
        <f>325000-150000</f>
        <v>175000</v>
      </c>
      <c r="E26" s="772">
        <f>373000-150000</f>
        <v>223000</v>
      </c>
      <c r="F26" s="174"/>
    </row>
    <row r="27" spans="1:6" s="1" customFormat="1" ht="16.5" thickBot="1" x14ac:dyDescent="0.3">
      <c r="A27" s="19"/>
      <c r="B27" s="26" t="s">
        <v>206</v>
      </c>
      <c r="C27" s="101">
        <f>SUM(C21+C25+C26)</f>
        <v>3891000</v>
      </c>
      <c r="D27" s="101">
        <f>SUM(D21+D25+D26)</f>
        <v>4667000</v>
      </c>
      <c r="E27" s="101">
        <f>SUM(E21+E25+E26)</f>
        <v>5726000</v>
      </c>
      <c r="F27" s="174"/>
    </row>
    <row r="28" spans="1:6" ht="15.75" x14ac:dyDescent="0.25">
      <c r="B28" s="651"/>
      <c r="C28" s="161"/>
      <c r="D28" s="161"/>
      <c r="E28" s="161"/>
    </row>
    <row r="29" spans="1:6" ht="16.5" thickBot="1" x14ac:dyDescent="0.3">
      <c r="B29" s="651" t="s">
        <v>335</v>
      </c>
      <c r="C29" s="146"/>
      <c r="D29" s="146"/>
      <c r="E29" s="146"/>
    </row>
    <row r="30" spans="1:6" ht="15" x14ac:dyDescent="0.2">
      <c r="B30" s="953" t="s">
        <v>336</v>
      </c>
      <c r="C30" s="770">
        <v>150000</v>
      </c>
      <c r="D30" s="770">
        <v>150000</v>
      </c>
      <c r="E30" s="771">
        <v>150000</v>
      </c>
    </row>
    <row r="31" spans="1:6" ht="15" x14ac:dyDescent="0.2">
      <c r="B31" s="693" t="s">
        <v>411</v>
      </c>
      <c r="C31" s="762">
        <v>50000</v>
      </c>
      <c r="D31" s="762">
        <v>50000</v>
      </c>
      <c r="E31" s="776">
        <v>50000</v>
      </c>
    </row>
    <row r="32" spans="1:6" s="1" customFormat="1" ht="16.5" thickBot="1" x14ac:dyDescent="0.3">
      <c r="A32" s="19"/>
      <c r="B32" s="954" t="s">
        <v>337</v>
      </c>
      <c r="C32" s="955">
        <f>SUM(C30:C31)</f>
        <v>200000</v>
      </c>
      <c r="D32" s="955">
        <f>SUM(D30:D31)</f>
        <v>200000</v>
      </c>
      <c r="E32" s="955">
        <f>SUM(E30:E31)</f>
        <v>200000</v>
      </c>
    </row>
    <row r="33" spans="1:6" s="1" customFormat="1" ht="15.75" x14ac:dyDescent="0.25">
      <c r="A33" s="19"/>
      <c r="B33" s="27"/>
      <c r="C33" s="161"/>
      <c r="D33" s="485"/>
      <c r="E33" s="485"/>
      <c r="F33" s="174"/>
    </row>
    <row r="34" spans="1:6" ht="16.5" thickBot="1" x14ac:dyDescent="0.3">
      <c r="A34" s="15"/>
      <c r="B34" s="27" t="s">
        <v>108</v>
      </c>
      <c r="C34" s="146"/>
      <c r="D34" s="13"/>
      <c r="E34" s="13"/>
      <c r="F34" s="174"/>
    </row>
    <row r="35" spans="1:6" s="3" customFormat="1" ht="15.75" x14ac:dyDescent="0.2">
      <c r="A35" s="17" t="s">
        <v>9</v>
      </c>
      <c r="B35" s="692" t="s">
        <v>147</v>
      </c>
      <c r="C35" s="770">
        <v>75000</v>
      </c>
      <c r="D35" s="770">
        <v>89000</v>
      </c>
      <c r="E35" s="771">
        <v>109000</v>
      </c>
      <c r="F35" s="174"/>
    </row>
    <row r="36" spans="1:6" s="3" customFormat="1" ht="15" x14ac:dyDescent="0.2">
      <c r="A36" s="17" t="s">
        <v>9</v>
      </c>
      <c r="B36" s="693" t="s">
        <v>178</v>
      </c>
      <c r="C36" s="760">
        <v>100000</v>
      </c>
      <c r="D36" s="760">
        <v>119000</v>
      </c>
      <c r="E36" s="772">
        <v>145000</v>
      </c>
      <c r="F36" s="174"/>
    </row>
    <row r="37" spans="1:6" s="3" customFormat="1" ht="16.5" thickBot="1" x14ac:dyDescent="0.25">
      <c r="A37" s="17" t="s">
        <v>10</v>
      </c>
      <c r="B37" s="694" t="s">
        <v>179</v>
      </c>
      <c r="C37" s="773">
        <f>75000</f>
        <v>75000</v>
      </c>
      <c r="D37" s="773">
        <v>89000</v>
      </c>
      <c r="E37" s="774">
        <v>109000</v>
      </c>
      <c r="F37" s="174"/>
    </row>
    <row r="38" spans="1:6" s="1" customFormat="1" ht="16.5" thickBot="1" x14ac:dyDescent="0.3">
      <c r="A38" s="19"/>
      <c r="B38" s="232" t="s">
        <v>119</v>
      </c>
      <c r="C38" s="489">
        <f>SUM(C35:C37)</f>
        <v>250000</v>
      </c>
      <c r="D38" s="489">
        <f>SUM(D35:D37)</f>
        <v>297000</v>
      </c>
      <c r="E38" s="489">
        <f>SUM(E35:E37)</f>
        <v>363000</v>
      </c>
      <c r="F38" s="174"/>
    </row>
    <row r="39" spans="1:6" s="163" customFormat="1" ht="16.5" thickBot="1" x14ac:dyDescent="0.3">
      <c r="A39" s="13"/>
      <c r="B39" s="651"/>
      <c r="C39" s="161"/>
      <c r="D39" s="161"/>
      <c r="E39" s="161"/>
    </row>
    <row r="40" spans="1:6" s="163" customFormat="1" ht="15.75" thickBot="1" x14ac:dyDescent="0.25">
      <c r="A40" s="15" t="s">
        <v>11</v>
      </c>
      <c r="B40" s="958" t="s">
        <v>338</v>
      </c>
      <c r="C40" s="770">
        <v>50000</v>
      </c>
      <c r="D40" s="770">
        <v>59000</v>
      </c>
      <c r="E40" s="771">
        <v>72000</v>
      </c>
    </row>
    <row r="41" spans="1:6" s="163" customFormat="1" ht="16.5" thickBot="1" x14ac:dyDescent="0.3">
      <c r="A41" s="15" t="s">
        <v>11</v>
      </c>
      <c r="B41" s="962" t="s">
        <v>339</v>
      </c>
      <c r="C41" s="963">
        <f>SUM(C40)</f>
        <v>50000</v>
      </c>
      <c r="D41" s="963">
        <f>SUM(D40)</f>
        <v>59000</v>
      </c>
      <c r="E41" s="963">
        <f>SUM(E40)</f>
        <v>72000</v>
      </c>
    </row>
    <row r="42" spans="1:6" s="163" customFormat="1" ht="15.75" x14ac:dyDescent="0.25">
      <c r="A42" s="15" t="s">
        <v>11</v>
      </c>
      <c r="B42" s="27"/>
      <c r="C42" s="161"/>
      <c r="D42" s="161"/>
      <c r="E42" s="161"/>
    </row>
    <row r="43" spans="1:6" s="1" customFormat="1" ht="15.75" x14ac:dyDescent="0.25">
      <c r="A43" s="19"/>
      <c r="B43" s="27"/>
      <c r="F43" s="174"/>
    </row>
    <row r="44" spans="1:6" s="163" customFormat="1" ht="16.5" thickBot="1" x14ac:dyDescent="0.3">
      <c r="A44" s="13"/>
      <c r="B44" s="27" t="s">
        <v>120</v>
      </c>
      <c r="F44" s="174"/>
    </row>
    <row r="45" spans="1:6" s="163" customFormat="1" ht="15" x14ac:dyDescent="0.2">
      <c r="A45" s="13"/>
      <c r="B45" s="695" t="s">
        <v>340</v>
      </c>
      <c r="C45" s="770">
        <v>65000</v>
      </c>
      <c r="D45" s="770">
        <v>65000</v>
      </c>
      <c r="E45" s="771">
        <v>65000</v>
      </c>
    </row>
    <row r="46" spans="1:6" s="4" customFormat="1" ht="15" x14ac:dyDescent="0.2">
      <c r="A46" s="20"/>
      <c r="B46" s="99" t="s">
        <v>341</v>
      </c>
      <c r="C46" s="760">
        <f>75000</f>
        <v>75000</v>
      </c>
      <c r="D46" s="760">
        <v>100000</v>
      </c>
      <c r="E46" s="772">
        <v>105000</v>
      </c>
    </row>
    <row r="47" spans="1:6" s="163" customFormat="1" ht="15" x14ac:dyDescent="0.2">
      <c r="A47" s="15" t="s">
        <v>11</v>
      </c>
      <c r="B47" s="966" t="s">
        <v>168</v>
      </c>
      <c r="C47" s="760">
        <v>60000</v>
      </c>
      <c r="D47" s="760">
        <v>60000</v>
      </c>
      <c r="E47" s="772">
        <v>60000</v>
      </c>
      <c r="F47" s="174"/>
    </row>
    <row r="48" spans="1:6" s="163" customFormat="1" ht="15" x14ac:dyDescent="0.2">
      <c r="A48" s="15" t="s">
        <v>11</v>
      </c>
      <c r="B48" s="99" t="s">
        <v>121</v>
      </c>
      <c r="C48" s="760">
        <v>76500</v>
      </c>
      <c r="D48" s="760">
        <v>80000</v>
      </c>
      <c r="E48" s="772">
        <v>85000</v>
      </c>
      <c r="F48" s="174"/>
    </row>
    <row r="49" spans="1:8" s="163" customFormat="1" ht="15" x14ac:dyDescent="0.2">
      <c r="A49" s="15" t="s">
        <v>11</v>
      </c>
      <c r="B49" s="99" t="s">
        <v>122</v>
      </c>
      <c r="C49" s="760">
        <v>535000</v>
      </c>
      <c r="D49" s="760">
        <v>535000</v>
      </c>
      <c r="E49" s="772">
        <v>535000</v>
      </c>
      <c r="F49" s="174"/>
    </row>
    <row r="50" spans="1:8" s="163" customFormat="1" ht="15" x14ac:dyDescent="0.2">
      <c r="A50" s="15" t="s">
        <v>11</v>
      </c>
      <c r="B50" s="490" t="s">
        <v>221</v>
      </c>
      <c r="C50" s="760">
        <v>24750</v>
      </c>
      <c r="D50" s="760">
        <v>24750</v>
      </c>
      <c r="E50" s="772">
        <v>24750</v>
      </c>
      <c r="F50" s="174"/>
    </row>
    <row r="51" spans="1:8" ht="15.75" thickBot="1" x14ac:dyDescent="0.25">
      <c r="B51" s="969" t="s">
        <v>343</v>
      </c>
      <c r="C51" s="762">
        <f>594325+5000</f>
        <v>599325</v>
      </c>
      <c r="D51" s="762">
        <f>666175+10000</f>
        <v>676175</v>
      </c>
      <c r="E51" s="776">
        <f>760300+15000</f>
        <v>775300</v>
      </c>
    </row>
    <row r="52" spans="1:8" s="1" customFormat="1" ht="16.5" thickBot="1" x14ac:dyDescent="0.3">
      <c r="A52" s="19"/>
      <c r="B52" s="648" t="s">
        <v>207</v>
      </c>
      <c r="C52" s="1835">
        <f>SUM(C45:C51)</f>
        <v>1435575</v>
      </c>
      <c r="D52" s="1835">
        <f>SUM(D45:D51)</f>
        <v>1540925</v>
      </c>
      <c r="E52" s="1835">
        <f>SUM(E45:E51)</f>
        <v>1650050</v>
      </c>
      <c r="F52" s="174"/>
    </row>
    <row r="53" spans="1:8" s="163" customFormat="1" ht="16.5" thickBot="1" x14ac:dyDescent="0.3">
      <c r="A53" s="13"/>
      <c r="B53" s="226" t="s">
        <v>123</v>
      </c>
      <c r="C53" s="161"/>
      <c r="F53" s="174"/>
    </row>
    <row r="54" spans="1:8" s="4" customFormat="1" ht="15.75" x14ac:dyDescent="0.25">
      <c r="A54" s="20"/>
      <c r="B54" s="223" t="s">
        <v>7</v>
      </c>
      <c r="C54" s="224">
        <f>C16+C32*0.8+C35+C36+C46*0.8</f>
        <v>7179000</v>
      </c>
      <c r="D54" s="224">
        <f>D16+D32*0.8+D35+D36+D46*0.8</f>
        <v>7908500</v>
      </c>
      <c r="E54" s="224">
        <f>E16+E32*0.8+E35+E36+E46*0.8</f>
        <v>8793000</v>
      </c>
      <c r="F54" s="174"/>
      <c r="H54" s="484"/>
    </row>
    <row r="55" spans="1:8" s="4" customFormat="1" ht="15.75" x14ac:dyDescent="0.25">
      <c r="A55" s="20"/>
      <c r="B55" s="225" t="s">
        <v>8</v>
      </c>
      <c r="C55" s="218">
        <f>C27+C32*0.2+C37+C46*0.2</f>
        <v>4021000</v>
      </c>
      <c r="D55" s="218">
        <f>D27+D32*0.2+D37+D46*0.2</f>
        <v>4816000</v>
      </c>
      <c r="E55" s="218">
        <f>E27+E32*0.2+E37+E46*0.2</f>
        <v>5896000</v>
      </c>
      <c r="F55" s="174"/>
    </row>
    <row r="56" spans="1:8" s="4" customFormat="1" ht="16.5" thickBot="1" x14ac:dyDescent="0.3">
      <c r="A56" s="13"/>
      <c r="B56" s="491" t="s">
        <v>12</v>
      </c>
      <c r="C56" s="235">
        <f>C41+C45+SUM(C47:C51)</f>
        <v>1410575</v>
      </c>
      <c r="D56" s="235">
        <f>D41+D45+SUM(D47:D51)</f>
        <v>1499925</v>
      </c>
      <c r="E56" s="235">
        <f>E41+E45+SUM(E47:E51)</f>
        <v>1617050</v>
      </c>
      <c r="F56" s="174"/>
    </row>
    <row r="57" spans="1:8" s="1" customFormat="1" ht="16.5" thickBot="1" x14ac:dyDescent="0.3">
      <c r="A57" s="13"/>
      <c r="B57" s="26" t="s">
        <v>33</v>
      </c>
      <c r="C57" s="234">
        <f>SUM(C54:C56)</f>
        <v>12610575</v>
      </c>
      <c r="D57" s="480">
        <f>SUM(D54:D56)</f>
        <v>14224425</v>
      </c>
      <c r="E57" s="480">
        <f>SUM(E54:E56)</f>
        <v>16306050</v>
      </c>
      <c r="F57" s="174"/>
    </row>
    <row r="58" spans="1:8" x14ac:dyDescent="0.2">
      <c r="A58" s="19"/>
      <c r="C58" s="14"/>
      <c r="D58" s="14"/>
    </row>
    <row r="59" spans="1:8" x14ac:dyDescent="0.2">
      <c r="B59" s="15"/>
    </row>
    <row r="60" spans="1:8" x14ac:dyDescent="0.2">
      <c r="B60" s="15"/>
    </row>
    <row r="61" spans="1:8" x14ac:dyDescent="0.2">
      <c r="B61" s="3"/>
    </row>
    <row r="63" spans="1:8" x14ac:dyDescent="0.2">
      <c r="B63" s="3"/>
    </row>
    <row r="64" spans="1:8" x14ac:dyDescent="0.2">
      <c r="B64" s="3"/>
    </row>
    <row r="65" spans="2:2" ht="20.25" x14ac:dyDescent="0.3">
      <c r="B65" s="213"/>
    </row>
    <row r="66" spans="2:2" ht="20.25" x14ac:dyDescent="0.3">
      <c r="B66" s="213"/>
    </row>
    <row r="67" spans="2:2" ht="20.25" x14ac:dyDescent="0.3">
      <c r="B67" s="213"/>
    </row>
  </sheetData>
  <mergeCells count="3">
    <mergeCell ref="B4:E4"/>
    <mergeCell ref="B2:E2"/>
    <mergeCell ref="B3:E3"/>
  </mergeCells>
  <phoneticPr fontId="10" type="noConversion"/>
  <printOptions horizontalCentered="1" verticalCentered="1"/>
  <pageMargins left="0.5" right="0.5" top="0.22" bottom="1.18" header="0.22" footer="0.23"/>
  <pageSetup scale="60" orientation="portrait" r:id="rId1"/>
  <headerFooter alignWithMargins="0">
    <oddFooter>&amp;R&amp;14
&amp;C&amp;"Arial"&amp;11&amp;K000000
Totals may vary due to rounding_x000D_&amp;1#&amp;"Calibri"&amp;12&amp;K008000Internal Use</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4">
    <tabColor indexed="11"/>
    <pageSetUpPr fitToPage="1"/>
  </sheetPr>
  <dimension ref="A1:U118"/>
  <sheetViews>
    <sheetView topLeftCell="F1" workbookViewId="0">
      <selection activeCell="J57" sqref="J57"/>
    </sheetView>
  </sheetViews>
  <sheetFormatPr defaultRowHeight="12.75" x14ac:dyDescent="0.2"/>
  <cols>
    <col min="1" max="1" width="39.140625" style="1635" customWidth="1"/>
    <col min="2" max="2" width="11.42578125" style="1635" bestFit="1" customWidth="1"/>
    <col min="3" max="3" width="12.140625" style="1635" bestFit="1" customWidth="1"/>
    <col min="4" max="4" width="11.7109375" style="1635" bestFit="1" customWidth="1"/>
    <col min="5" max="5" width="11.28515625" style="1635" bestFit="1" customWidth="1"/>
    <col min="6" max="6" width="11.28515625" style="1635" customWidth="1"/>
    <col min="7" max="7" width="12.85546875" style="1635" customWidth="1"/>
    <col min="8" max="8" width="12" style="1188" customWidth="1"/>
    <col min="9" max="9" width="13.140625" style="1188" customWidth="1"/>
    <col min="10" max="13" width="12.42578125" style="1635" customWidth="1"/>
    <col min="14" max="14" width="6" style="1635" customWidth="1"/>
    <col min="15" max="15" width="18.85546875" style="1635" customWidth="1"/>
    <col min="16" max="16" width="5.85546875" style="1635" customWidth="1"/>
    <col min="17" max="17" width="11.42578125" style="1635" customWidth="1"/>
    <col min="18" max="18" width="10.7109375" style="1635" customWidth="1"/>
    <col min="19" max="19" width="12.28515625" style="1635" customWidth="1"/>
    <col min="20" max="16384" width="9.140625" style="1635"/>
  </cols>
  <sheetData>
    <row r="1" spans="1:17" ht="15.75" x14ac:dyDescent="0.25">
      <c r="A1" s="2976" t="s">
        <v>48</v>
      </c>
      <c r="B1" s="2976"/>
      <c r="C1" s="2976"/>
      <c r="D1" s="2976"/>
      <c r="E1" s="2976"/>
      <c r="F1" s="2976"/>
      <c r="G1" s="2976"/>
      <c r="H1" s="2976"/>
      <c r="I1" s="2976"/>
      <c r="J1" s="2976"/>
      <c r="K1" s="2976"/>
      <c r="L1" s="2976"/>
      <c r="M1" s="2976"/>
      <c r="N1" s="2976"/>
    </row>
    <row r="2" spans="1:17" x14ac:dyDescent="0.2">
      <c r="A2" s="1699"/>
    </row>
    <row r="3" spans="1:17" ht="15.75" x14ac:dyDescent="0.25">
      <c r="A3" s="1700" t="s">
        <v>160</v>
      </c>
    </row>
    <row r="4" spans="1:17" x14ac:dyDescent="0.2">
      <c r="A4" s="1699"/>
    </row>
    <row r="5" spans="1:17" s="1644" customFormat="1" x14ac:dyDescent="0.2">
      <c r="A5" s="1701"/>
      <c r="H5" s="1702"/>
      <c r="I5" s="1702"/>
    </row>
    <row r="6" spans="1:17"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c r="O6" s="1703"/>
    </row>
    <row r="7" spans="1:17"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row>
    <row r="8" spans="1:17" s="1644" customFormat="1" x14ac:dyDescent="0.2">
      <c r="A8" s="1286"/>
      <c r="H8" s="1705"/>
      <c r="I8" s="1705"/>
    </row>
    <row r="9" spans="1:17" s="1644" customFormat="1" x14ac:dyDescent="0.2">
      <c r="A9" s="1286" t="s">
        <v>53</v>
      </c>
      <c r="B9" s="1706">
        <v>22989</v>
      </c>
      <c r="C9" s="1707">
        <v>47180</v>
      </c>
      <c r="D9" s="1707">
        <v>68131</v>
      </c>
      <c r="E9" s="1707">
        <v>105026.84</v>
      </c>
      <c r="F9" s="1707">
        <v>118080.37</v>
      </c>
      <c r="G9" s="1707">
        <v>145539</v>
      </c>
      <c r="H9" s="1708">
        <v>300000</v>
      </c>
      <c r="I9" s="1708">
        <v>72877</v>
      </c>
      <c r="J9" s="1707">
        <v>128642</v>
      </c>
      <c r="K9" s="1707">
        <v>327150</v>
      </c>
      <c r="L9" s="1707">
        <v>345270</v>
      </c>
      <c r="M9" s="1707">
        <v>367360</v>
      </c>
      <c r="O9" s="1709"/>
      <c r="P9" s="1709"/>
    </row>
    <row r="10" spans="1:17" s="1644" customFormat="1" x14ac:dyDescent="0.2">
      <c r="A10" s="1286" t="s">
        <v>45</v>
      </c>
      <c r="B10" s="1706">
        <v>30474</v>
      </c>
      <c r="C10" s="1707">
        <v>158176</v>
      </c>
      <c r="D10" s="1707">
        <v>276457</v>
      </c>
      <c r="E10" s="1707">
        <v>90936.13</v>
      </c>
      <c r="F10" s="1707">
        <v>252965.29</v>
      </c>
      <c r="G10" s="1707">
        <v>213729</v>
      </c>
      <c r="H10" s="1708">
        <v>156874</v>
      </c>
      <c r="I10" s="1708">
        <v>37411</v>
      </c>
      <c r="J10" s="1707">
        <v>50408</v>
      </c>
      <c r="K10" s="1707">
        <v>145400</v>
      </c>
      <c r="L10" s="1707">
        <v>142170</v>
      </c>
      <c r="M10" s="1707">
        <v>160720.00000000003</v>
      </c>
      <c r="N10" s="1709"/>
      <c r="O10" s="1709"/>
      <c r="P10" s="1709"/>
    </row>
    <row r="11" spans="1:17" s="1644" customFormat="1" x14ac:dyDescent="0.2">
      <c r="A11" s="1286" t="s">
        <v>19</v>
      </c>
      <c r="B11" s="1706">
        <v>424</v>
      </c>
      <c r="C11" s="1707">
        <v>0</v>
      </c>
      <c r="D11" s="1707">
        <v>2137</v>
      </c>
      <c r="E11" s="1707">
        <v>651.27</v>
      </c>
      <c r="F11" s="1707">
        <v>286.06</v>
      </c>
      <c r="G11" s="1707">
        <v>0</v>
      </c>
      <c r="H11" s="1708">
        <v>5000</v>
      </c>
      <c r="I11" s="1708">
        <v>0</v>
      </c>
      <c r="J11" s="1707">
        <v>0</v>
      </c>
      <c r="K11" s="1707">
        <v>1857.2275319413191</v>
      </c>
      <c r="L11" s="1707">
        <v>2118.5244532391584</v>
      </c>
      <c r="M11" s="1707">
        <v>2442.8508426720741</v>
      </c>
    </row>
    <row r="12" spans="1:17" s="1644" customFormat="1" x14ac:dyDescent="0.2">
      <c r="A12" s="1286" t="s">
        <v>2</v>
      </c>
      <c r="B12" s="1706">
        <v>37466</v>
      </c>
      <c r="C12" s="1707">
        <v>293384</v>
      </c>
      <c r="D12" s="1707">
        <v>438638</v>
      </c>
      <c r="E12" s="1707">
        <v>268685.64</v>
      </c>
      <c r="F12" s="1707">
        <v>908397.86</v>
      </c>
      <c r="G12" s="1707">
        <v>793505</v>
      </c>
      <c r="H12" s="1708">
        <v>2611825</v>
      </c>
      <c r="I12" s="1708">
        <v>602008</v>
      </c>
      <c r="J12" s="1707">
        <f>1492130-SUM(,J9,J10,J11,J13,J14)</f>
        <v>1236706</v>
      </c>
      <c r="K12" s="1707">
        <v>3089750</v>
      </c>
      <c r="L12" s="1707">
        <v>3493320</v>
      </c>
      <c r="M12" s="1707">
        <v>3949120</v>
      </c>
      <c r="O12" s="1710"/>
      <c r="P12" s="1709"/>
      <c r="Q12" s="1710"/>
    </row>
    <row r="13" spans="1:17" s="1644" customFormat="1" x14ac:dyDescent="0.2">
      <c r="A13" s="1286" t="s">
        <v>14</v>
      </c>
      <c r="B13" s="1706">
        <v>3173</v>
      </c>
      <c r="C13" s="1707">
        <v>11560</v>
      </c>
      <c r="D13" s="1707">
        <v>9650</v>
      </c>
      <c r="E13" s="1707">
        <v>49382.98</v>
      </c>
      <c r="F13" s="1707">
        <v>25058.3</v>
      </c>
      <c r="G13" s="1707">
        <v>41085</v>
      </c>
      <c r="H13" s="1708">
        <v>20000</v>
      </c>
      <c r="I13" s="1708">
        <v>50084</v>
      </c>
      <c r="J13" s="1707">
        <v>72304</v>
      </c>
      <c r="K13" s="1707">
        <v>62859</v>
      </c>
      <c r="L13" s="1707">
        <v>70014.317812956404</v>
      </c>
      <c r="M13" s="1707">
        <v>101855</v>
      </c>
    </row>
    <row r="14" spans="1:17" s="1644" customFormat="1" ht="15" x14ac:dyDescent="0.35">
      <c r="A14" s="1286" t="s">
        <v>46</v>
      </c>
      <c r="B14" s="1711">
        <v>290</v>
      </c>
      <c r="C14" s="1712">
        <v>101</v>
      </c>
      <c r="D14" s="1712">
        <v>1033</v>
      </c>
      <c r="E14" s="1712">
        <v>1032.8399999999999</v>
      </c>
      <c r="F14" s="1712">
        <v>6678.62</v>
      </c>
      <c r="G14" s="1712">
        <v>3287</v>
      </c>
      <c r="H14" s="1713">
        <v>8160</v>
      </c>
      <c r="I14" s="1713">
        <v>3053</v>
      </c>
      <c r="J14" s="1712">
        <v>4070</v>
      </c>
      <c r="K14" s="1712">
        <v>7984.1153321282491</v>
      </c>
      <c r="L14" s="1712">
        <v>9107.4159076863252</v>
      </c>
      <c r="M14" s="1712">
        <v>10501.676575240848</v>
      </c>
    </row>
    <row r="15" spans="1:17" s="1644" customFormat="1" x14ac:dyDescent="0.2">
      <c r="A15" s="1286" t="s">
        <v>86</v>
      </c>
      <c r="B15" s="1707">
        <f t="shared" ref="B15:M15" si="0">SUM(B9:B14)</f>
        <v>94816</v>
      </c>
      <c r="C15" s="1714">
        <f t="shared" si="0"/>
        <v>510401</v>
      </c>
      <c r="D15" s="1707">
        <f t="shared" si="0"/>
        <v>796046</v>
      </c>
      <c r="E15" s="1707">
        <f t="shared" si="0"/>
        <v>515715.7</v>
      </c>
      <c r="F15" s="1707">
        <f t="shared" si="0"/>
        <v>1311466.5000000002</v>
      </c>
      <c r="G15" s="1707">
        <f t="shared" si="0"/>
        <v>1197145</v>
      </c>
      <c r="H15" s="1715">
        <f t="shared" si="0"/>
        <v>3101859</v>
      </c>
      <c r="I15" s="1716">
        <f t="shared" si="0"/>
        <v>765433</v>
      </c>
      <c r="J15" s="1717">
        <f t="shared" si="0"/>
        <v>1492130</v>
      </c>
      <c r="K15" s="1717">
        <f t="shared" si="0"/>
        <v>3635000.3428640696</v>
      </c>
      <c r="L15" s="1717">
        <f t="shared" si="0"/>
        <v>4062000.2581738816</v>
      </c>
      <c r="M15" s="1717">
        <f t="shared" si="0"/>
        <v>4591999.5274179131</v>
      </c>
      <c r="N15" s="1703" t="s">
        <v>201</v>
      </c>
    </row>
    <row r="16" spans="1:17" s="1644" customFormat="1" x14ac:dyDescent="0.2">
      <c r="A16" s="1286"/>
      <c r="B16" s="1718"/>
      <c r="C16" s="1719"/>
      <c r="D16" s="1720"/>
      <c r="H16" s="1721"/>
      <c r="I16" s="1721"/>
    </row>
    <row r="17" spans="1:21" s="1644" customFormat="1" ht="15" x14ac:dyDescent="0.35">
      <c r="A17" s="1722"/>
      <c r="C17" s="1723"/>
      <c r="D17" s="1723"/>
      <c r="N17" s="1724"/>
    </row>
    <row r="18" spans="1:21" s="1644" customFormat="1" ht="24" x14ac:dyDescent="0.2">
      <c r="A18" s="1704" t="s">
        <v>83</v>
      </c>
      <c r="B18" s="1658" t="s">
        <v>192</v>
      </c>
      <c r="C18" s="1658" t="s">
        <v>176</v>
      </c>
      <c r="D18" s="1658" t="s">
        <v>208</v>
      </c>
      <c r="E18" s="1658" t="s">
        <v>218</v>
      </c>
      <c r="F18" s="1658" t="s">
        <v>257</v>
      </c>
      <c r="G18" s="1658" t="s">
        <v>321</v>
      </c>
      <c r="H18" s="1658" t="s">
        <v>445</v>
      </c>
      <c r="I18" s="1658" t="s">
        <v>317</v>
      </c>
      <c r="J18" s="1658" t="s">
        <v>323</v>
      </c>
      <c r="K18" s="1658" t="s">
        <v>447</v>
      </c>
      <c r="L18" s="1658" t="s">
        <v>448</v>
      </c>
      <c r="M18" s="1658" t="s">
        <v>449</v>
      </c>
      <c r="N18" s="1703"/>
      <c r="O18" s="1286"/>
      <c r="P18" s="1286"/>
      <c r="Q18" s="1286"/>
      <c r="R18" s="1286"/>
      <c r="S18" s="1286"/>
      <c r="T18" s="1286"/>
      <c r="U18" s="1286"/>
    </row>
    <row r="19" spans="1:21" s="1644" customFormat="1" x14ac:dyDescent="0.2">
      <c r="H19" s="1709"/>
      <c r="N19" s="1703"/>
      <c r="O19" s="1725"/>
      <c r="P19" s="1725"/>
      <c r="Q19" s="1229"/>
      <c r="R19" s="1229"/>
      <c r="S19" s="1229"/>
      <c r="T19" s="1286"/>
      <c r="U19" s="1286"/>
    </row>
    <row r="20" spans="1:21" s="1644" customFormat="1" x14ac:dyDescent="0.2">
      <c r="A20" s="1644" t="s">
        <v>49</v>
      </c>
      <c r="B20" s="1726">
        <v>11295</v>
      </c>
      <c r="C20" s="1726">
        <v>86333</v>
      </c>
      <c r="D20" s="1727">
        <v>98698</v>
      </c>
      <c r="E20" s="1727">
        <v>55728</v>
      </c>
      <c r="F20" s="1727">
        <v>222581</v>
      </c>
      <c r="G20" s="1727">
        <v>172026</v>
      </c>
      <c r="H20" s="1726">
        <v>490733</v>
      </c>
      <c r="I20" s="1726">
        <v>137248</v>
      </c>
      <c r="J20" s="1665">
        <f>I20/I15*J15</f>
        <v>267550.33848814986</v>
      </c>
      <c r="K20" s="1727">
        <v>537602.68820395495</v>
      </c>
      <c r="L20" s="1727">
        <v>613332.99121519877</v>
      </c>
      <c r="M20" s="1727">
        <v>714166.28874890122</v>
      </c>
      <c r="N20" s="1703" t="s">
        <v>64</v>
      </c>
      <c r="O20" s="1725"/>
      <c r="P20" s="1725"/>
      <c r="Q20" s="1728"/>
      <c r="R20" s="1728"/>
      <c r="S20" s="1728"/>
      <c r="T20" s="1286"/>
      <c r="U20" s="1286"/>
    </row>
    <row r="21" spans="1:21" s="1644" customFormat="1" x14ac:dyDescent="0.2">
      <c r="A21" s="1644" t="s">
        <v>50</v>
      </c>
      <c r="B21" s="1726">
        <v>213599</v>
      </c>
      <c r="C21" s="1726">
        <v>1324880</v>
      </c>
      <c r="D21" s="1727">
        <v>1770065</v>
      </c>
      <c r="E21" s="1727">
        <v>1172933</v>
      </c>
      <c r="F21" s="1727">
        <v>4768051</v>
      </c>
      <c r="G21" s="1727">
        <v>3118836</v>
      </c>
      <c r="H21" s="1726">
        <v>8975876</v>
      </c>
      <c r="I21" s="1726">
        <v>2325369</v>
      </c>
      <c r="J21" s="1665">
        <f>I21/I15*J15</f>
        <v>4533058.8646818204</v>
      </c>
      <c r="K21" s="1727">
        <v>10763827.541621631</v>
      </c>
      <c r="L21" s="1727">
        <v>12408233.530521275</v>
      </c>
      <c r="M21" s="1727">
        <v>14602820.149593182</v>
      </c>
      <c r="N21" s="1703" t="s">
        <v>10</v>
      </c>
      <c r="O21" s="1229"/>
      <c r="P21" s="1674"/>
      <c r="Q21" s="1675"/>
      <c r="R21" s="1675"/>
      <c r="S21" s="1675"/>
      <c r="T21" s="1286"/>
      <c r="U21" s="1286"/>
    </row>
    <row r="22" spans="1:21" s="1644" customFormat="1" x14ac:dyDescent="0.2">
      <c r="C22" s="1729" t="s">
        <v>3</v>
      </c>
      <c r="I22" s="1730"/>
      <c r="N22" s="1703"/>
      <c r="O22" s="1229"/>
      <c r="P22" s="1674"/>
      <c r="Q22" s="1678"/>
      <c r="R22" s="1678"/>
      <c r="S22" s="1678"/>
      <c r="T22" s="1286"/>
      <c r="U22" s="1286"/>
    </row>
    <row r="23" spans="1:21" s="1644" customFormat="1" x14ac:dyDescent="0.2">
      <c r="A23" s="1644" t="s">
        <v>51</v>
      </c>
      <c r="B23" s="1731">
        <f t="shared" ref="B23:J23" si="1">SUM(B15/B20)</f>
        <v>8.3945108455068613</v>
      </c>
      <c r="C23" s="1731">
        <f t="shared" si="1"/>
        <v>5.9120035212491171</v>
      </c>
      <c r="D23" s="1731">
        <f t="shared" si="1"/>
        <v>8.0654724513161362</v>
      </c>
      <c r="E23" s="1731">
        <f t="shared" si="1"/>
        <v>9.2541576945162216</v>
      </c>
      <c r="F23" s="1731">
        <f t="shared" si="1"/>
        <v>5.8920864763838789</v>
      </c>
      <c r="G23" s="1731">
        <f t="shared" si="1"/>
        <v>6.9590933928592191</v>
      </c>
      <c r="H23" s="1731">
        <f t="shared" si="1"/>
        <v>6.3208689857824929</v>
      </c>
      <c r="I23" s="1731">
        <f t="shared" si="1"/>
        <v>5.5770065866169274</v>
      </c>
      <c r="J23" s="1731">
        <f t="shared" si="1"/>
        <v>5.5770065866169265</v>
      </c>
      <c r="K23" s="1731">
        <f>SUM(K15/K20)</f>
        <v>6.7614995658002144</v>
      </c>
      <c r="L23" s="1731">
        <f>SUM(L15/L20)</f>
        <v>6.6228302021155363</v>
      </c>
      <c r="M23" s="1731">
        <f>SUM(M15/M20)</f>
        <v>6.4298743860653529</v>
      </c>
      <c r="N23" s="1703" t="s">
        <v>65</v>
      </c>
      <c r="O23" s="1229"/>
      <c r="P23" s="1674"/>
      <c r="Q23" s="1678"/>
      <c r="R23" s="1678"/>
      <c r="S23" s="1678"/>
      <c r="T23" s="1286"/>
      <c r="U23" s="1286"/>
    </row>
    <row r="24" spans="1:21" s="1644" customFormat="1" x14ac:dyDescent="0.2">
      <c r="A24" s="1644" t="s">
        <v>52</v>
      </c>
      <c r="B24" s="1731">
        <f t="shared" ref="B24:J24" si="2">SUM(B15/B21)</f>
        <v>0.44389720925659765</v>
      </c>
      <c r="C24" s="1731">
        <f t="shared" si="2"/>
        <v>0.38524319183624178</v>
      </c>
      <c r="D24" s="1731">
        <f t="shared" si="2"/>
        <v>0.44972698742701539</v>
      </c>
      <c r="E24" s="1731">
        <f t="shared" si="2"/>
        <v>0.43968044210538881</v>
      </c>
      <c r="F24" s="1731">
        <f t="shared" si="2"/>
        <v>0.27505295140509201</v>
      </c>
      <c r="G24" s="1731">
        <f t="shared" si="2"/>
        <v>0.38384352367357566</v>
      </c>
      <c r="H24" s="1731">
        <f t="shared" si="2"/>
        <v>0.34557730075593734</v>
      </c>
      <c r="I24" s="1731">
        <f t="shared" si="2"/>
        <v>0.32916625275386402</v>
      </c>
      <c r="J24" s="1731">
        <f t="shared" si="2"/>
        <v>0.32916625275386402</v>
      </c>
      <c r="K24" s="1731">
        <f>SUM(K15/K21)</f>
        <v>0.3377051823627078</v>
      </c>
      <c r="L24" s="1731">
        <f>SUM(L15/L21)</f>
        <v>0.32736329858576052</v>
      </c>
      <c r="M24" s="1731">
        <f>SUM(M15/M21)</f>
        <v>0.31445977423380378</v>
      </c>
      <c r="N24" s="1703" t="s">
        <v>66</v>
      </c>
      <c r="O24" s="1229"/>
      <c r="P24" s="1674"/>
      <c r="Q24" s="1682"/>
      <c r="R24" s="1682"/>
      <c r="S24" s="1682"/>
      <c r="T24" s="1286"/>
      <c r="U24" s="1286"/>
    </row>
    <row r="25" spans="1:21" s="1644" customFormat="1" x14ac:dyDescent="0.2">
      <c r="C25" s="1729"/>
      <c r="N25" s="1703"/>
      <c r="O25" s="1229"/>
      <c r="P25" s="1674"/>
      <c r="Q25" s="1675"/>
      <c r="R25" s="1675"/>
      <c r="S25" s="1675"/>
      <c r="T25" s="1286"/>
      <c r="U25" s="1286"/>
    </row>
    <row r="26" spans="1:21" s="1644" customFormat="1" x14ac:dyDescent="0.2">
      <c r="A26" s="1644" t="s">
        <v>84</v>
      </c>
      <c r="B26" s="1707">
        <v>157867</v>
      </c>
      <c r="C26" s="1714">
        <f>1136365/1551974*1324880</f>
        <v>970085.36302798893</v>
      </c>
      <c r="D26" s="1714">
        <v>1448317</v>
      </c>
      <c r="E26" s="1714">
        <v>1054774.7151900113</v>
      </c>
      <c r="F26" s="1714">
        <v>5126127.1638686769</v>
      </c>
      <c r="G26" s="1714">
        <v>3890819</v>
      </c>
      <c r="H26" s="1714">
        <v>4579972</v>
      </c>
      <c r="I26" s="1714">
        <f>H26/H21*I21</f>
        <v>1186527.6335889669</v>
      </c>
      <c r="J26" s="1714">
        <f>H26*H21/J21</f>
        <v>9068768.3488437328</v>
      </c>
      <c r="K26" s="1714">
        <v>5770938.1833849354</v>
      </c>
      <c r="L26" s="1714">
        <v>6905459.0893813018</v>
      </c>
      <c r="M26" s="1714">
        <v>8408768.5837615672</v>
      </c>
      <c r="N26" s="1703" t="s">
        <v>67</v>
      </c>
      <c r="O26" s="1229"/>
      <c r="P26" s="1674"/>
      <c r="Q26" s="1674"/>
      <c r="R26" s="1674"/>
      <c r="S26" s="1674"/>
      <c r="T26" s="1286"/>
      <c r="U26" s="1286"/>
    </row>
    <row r="27" spans="1:21" s="1644" customFormat="1" x14ac:dyDescent="0.2">
      <c r="A27" s="1644" t="s">
        <v>85</v>
      </c>
      <c r="B27" s="1732">
        <f t="shared" ref="B27:J27" si="3">SUM(B26/B15)</f>
        <v>1.6649827033412081</v>
      </c>
      <c r="C27" s="1732">
        <f t="shared" si="3"/>
        <v>1.900633742935435</v>
      </c>
      <c r="D27" s="1732">
        <f t="shared" si="3"/>
        <v>1.8193885780469974</v>
      </c>
      <c r="E27" s="1732">
        <f t="shared" si="3"/>
        <v>2.0452639219438371</v>
      </c>
      <c r="F27" s="1732">
        <f t="shared" si="3"/>
        <v>3.9086985171704165</v>
      </c>
      <c r="G27" s="1732">
        <f t="shared" si="3"/>
        <v>3.2500816525984737</v>
      </c>
      <c r="H27" s="1732">
        <f t="shared" si="3"/>
        <v>1.4765248839486256</v>
      </c>
      <c r="I27" s="1732">
        <f t="shared" si="3"/>
        <v>1.5501391154927562</v>
      </c>
      <c r="J27" s="1732">
        <f t="shared" si="3"/>
        <v>6.0777334071721185</v>
      </c>
      <c r="K27" s="1732">
        <f>SUM(K26/K15)</f>
        <v>1.5876032019402588</v>
      </c>
      <c r="L27" s="1732">
        <f>SUM(L26/L15)</f>
        <v>1.7000144388188023</v>
      </c>
      <c r="M27" s="1732">
        <f>SUM(M26/M15)</f>
        <v>1.8311780159284616</v>
      </c>
      <c r="N27" s="1703" t="s">
        <v>68</v>
      </c>
      <c r="O27" s="1229"/>
      <c r="P27" s="1674"/>
      <c r="Q27" s="1678"/>
      <c r="R27" s="1674"/>
      <c r="S27" s="1678"/>
      <c r="T27" s="1286"/>
      <c r="U27" s="1286"/>
    </row>
    <row r="28" spans="1:21" s="1644" customFormat="1" x14ac:dyDescent="0.2">
      <c r="A28" s="1644" t="s">
        <v>63</v>
      </c>
      <c r="B28" s="1644">
        <v>393</v>
      </c>
      <c r="C28" s="1727">
        <v>1351</v>
      </c>
      <c r="D28" s="1727">
        <v>1824</v>
      </c>
      <c r="E28" s="1733">
        <v>798</v>
      </c>
      <c r="F28" s="1733">
        <v>2768</v>
      </c>
      <c r="G28" s="1733">
        <v>1811</v>
      </c>
      <c r="H28" s="1733">
        <v>4682</v>
      </c>
      <c r="I28" s="1726">
        <v>1993</v>
      </c>
      <c r="J28" s="1665">
        <f>I28/I15*J15</f>
        <v>3885.1409463663053</v>
      </c>
      <c r="K28" s="1727">
        <v>4986</v>
      </c>
      <c r="L28" s="1727">
        <v>5333</v>
      </c>
      <c r="M28" s="1727">
        <v>5816</v>
      </c>
      <c r="N28" s="1703" t="s">
        <v>69</v>
      </c>
      <c r="O28" s="1229"/>
      <c r="P28" s="1674"/>
      <c r="Q28" s="1678"/>
      <c r="R28" s="1678"/>
      <c r="S28" s="1678"/>
      <c r="T28" s="1286"/>
      <c r="U28" s="1286"/>
    </row>
    <row r="29" spans="1:21" s="1644" customFormat="1" x14ac:dyDescent="0.2">
      <c r="A29" s="1644" t="s">
        <v>74</v>
      </c>
      <c r="B29" s="1726">
        <f t="shared" ref="B29:J29" si="4">SUM(B21/B28)</f>
        <v>543.50890585241734</v>
      </c>
      <c r="C29" s="1726">
        <f t="shared" si="4"/>
        <v>980.66617320503326</v>
      </c>
      <c r="D29" s="1726">
        <f t="shared" si="4"/>
        <v>970.43037280701753</v>
      </c>
      <c r="E29" s="1734">
        <f t="shared" si="4"/>
        <v>1469.8408521303259</v>
      </c>
      <c r="F29" s="1734">
        <f t="shared" si="4"/>
        <v>1722.5617774566474</v>
      </c>
      <c r="G29" s="1734">
        <f t="shared" si="4"/>
        <v>1722.1623412479294</v>
      </c>
      <c r="H29" s="1734">
        <f t="shared" si="4"/>
        <v>1917.1029474583511</v>
      </c>
      <c r="I29" s="1734">
        <v>1993</v>
      </c>
      <c r="J29" s="1734">
        <f t="shared" si="4"/>
        <v>1166.7681886603109</v>
      </c>
      <c r="K29" s="1734">
        <f>SUM(K21/K28)</f>
        <v>2158.8101768194206</v>
      </c>
      <c r="L29" s="1734">
        <f>SUM(L21/L28)</f>
        <v>2326.6892050480546</v>
      </c>
      <c r="M29" s="1734">
        <f>SUM(M21/M28)</f>
        <v>2510.80126368521</v>
      </c>
      <c r="N29" s="1703" t="s">
        <v>70</v>
      </c>
      <c r="O29" s="1229"/>
      <c r="P29" s="1674"/>
      <c r="Q29" s="1675"/>
      <c r="R29" s="1675"/>
      <c r="S29" s="1675"/>
      <c r="T29" s="1286"/>
      <c r="U29" s="1286"/>
    </row>
    <row r="30" spans="1:21" s="1644" customFormat="1" x14ac:dyDescent="0.2">
      <c r="A30" s="1644" t="s">
        <v>71</v>
      </c>
      <c r="B30" s="1714">
        <f t="shared" ref="B30:J30" si="5">SUM(B15/B28)</f>
        <v>241.26208651399492</v>
      </c>
      <c r="C30" s="1714">
        <f t="shared" si="5"/>
        <v>377.79496669133977</v>
      </c>
      <c r="D30" s="1714">
        <f t="shared" si="5"/>
        <v>436.42872807017545</v>
      </c>
      <c r="E30" s="1714">
        <f t="shared" si="5"/>
        <v>646.26027568922302</v>
      </c>
      <c r="F30" s="1714">
        <f t="shared" si="5"/>
        <v>473.79570086705212</v>
      </c>
      <c r="G30" s="1714">
        <f t="shared" si="5"/>
        <v>661.04086140254003</v>
      </c>
      <c r="H30" s="1714">
        <f t="shared" si="5"/>
        <v>662.50726185390863</v>
      </c>
      <c r="I30" s="1714">
        <f t="shared" si="5"/>
        <v>384.06071249372803</v>
      </c>
      <c r="J30" s="1714">
        <f t="shared" si="5"/>
        <v>384.06071249372803</v>
      </c>
      <c r="K30" s="1714">
        <f>SUM(K15/K28)</f>
        <v>729.04138444927185</v>
      </c>
      <c r="L30" s="1714">
        <f>SUM(L15/L28)</f>
        <v>761.67265294841206</v>
      </c>
      <c r="M30" s="1714">
        <f>SUM(M15/M28)</f>
        <v>789.54599852440049</v>
      </c>
      <c r="N30" s="1703" t="s">
        <v>72</v>
      </c>
      <c r="O30" s="1229"/>
      <c r="P30" s="1674"/>
      <c r="Q30" s="1675"/>
      <c r="R30" s="1675"/>
      <c r="S30" s="1675"/>
      <c r="T30" s="1286"/>
      <c r="U30" s="1286"/>
    </row>
    <row r="31" spans="1:21" s="1644" customFormat="1" x14ac:dyDescent="0.2">
      <c r="A31" s="1644" t="s">
        <v>62</v>
      </c>
      <c r="B31" s="1714">
        <f t="shared" ref="B31:J31" si="6">SUM(B26/B28)</f>
        <v>401.69720101781172</v>
      </c>
      <c r="C31" s="1714">
        <f t="shared" si="6"/>
        <v>718.04986160472902</v>
      </c>
      <c r="D31" s="1714">
        <f t="shared" si="6"/>
        <v>794.03344298245611</v>
      </c>
      <c r="E31" s="1714">
        <f t="shared" si="6"/>
        <v>1321.7728260526458</v>
      </c>
      <c r="F31" s="1714">
        <f t="shared" si="6"/>
        <v>1851.9245534207648</v>
      </c>
      <c r="G31" s="1714">
        <f t="shared" si="6"/>
        <v>2148.4367752622861</v>
      </c>
      <c r="H31" s="1714">
        <f t="shared" si="6"/>
        <v>978.20845792396415</v>
      </c>
      <c r="I31" s="1714">
        <f t="shared" si="6"/>
        <v>595.34753316054537</v>
      </c>
      <c r="J31" s="1714">
        <f t="shared" si="6"/>
        <v>2334.2186227054572</v>
      </c>
      <c r="K31" s="1714">
        <f>SUM(K26/K28)</f>
        <v>1157.4284362986232</v>
      </c>
      <c r="L31" s="1714">
        <f>SUM(L26/L28)</f>
        <v>1294.8545076657233</v>
      </c>
      <c r="M31" s="1714">
        <f>SUM(M26/M28)</f>
        <v>1445.7992750621677</v>
      </c>
      <c r="N31" s="1703" t="s">
        <v>73</v>
      </c>
      <c r="O31" s="1286"/>
      <c r="P31" s="1286"/>
      <c r="Q31" s="1286"/>
      <c r="R31" s="1286"/>
      <c r="S31" s="1286"/>
      <c r="T31" s="1286"/>
      <c r="U31" s="1286"/>
    </row>
    <row r="32" spans="1:21" s="1644" customFormat="1" ht="13.5" x14ac:dyDescent="0.2">
      <c r="A32" s="1638" t="s">
        <v>450</v>
      </c>
      <c r="B32" s="1683">
        <f t="shared" ref="B32:K32" si="7">B12/B21</f>
        <v>0.17540344290001358</v>
      </c>
      <c r="C32" s="1683">
        <f t="shared" si="7"/>
        <v>0.22144194191172031</v>
      </c>
      <c r="D32" s="1683">
        <f t="shared" si="7"/>
        <v>0.2478089787663165</v>
      </c>
      <c r="E32" s="1683">
        <f t="shared" si="7"/>
        <v>0.22907160085017644</v>
      </c>
      <c r="F32" s="1683">
        <f t="shared" si="7"/>
        <v>0.19051764756710865</v>
      </c>
      <c r="G32" s="1683">
        <f t="shared" si="7"/>
        <v>0.25442344515710347</v>
      </c>
      <c r="H32" s="1683">
        <f t="shared" si="7"/>
        <v>0.29098274084891546</v>
      </c>
      <c r="I32" s="1683">
        <f t="shared" si="7"/>
        <v>0.25888708415739609</v>
      </c>
      <c r="J32" s="1683">
        <f t="shared" si="7"/>
        <v>0.27281931184160907</v>
      </c>
      <c r="K32" s="1683">
        <f t="shared" si="7"/>
        <v>0.28704937793294594</v>
      </c>
      <c r="L32" s="1683">
        <f>L12/L21</f>
        <v>0.28153241889002745</v>
      </c>
      <c r="M32" s="1683">
        <f>M12/M21</f>
        <v>0.27043543367272233</v>
      </c>
      <c r="N32" s="1639" t="s">
        <v>451</v>
      </c>
      <c r="O32" s="1229"/>
      <c r="P32" s="1674"/>
      <c r="Q32" s="1674"/>
      <c r="R32" s="1674"/>
      <c r="S32" s="1674"/>
      <c r="T32" s="1286"/>
    </row>
    <row r="33" spans="1:20" s="1644" customFormat="1" ht="13.5" x14ac:dyDescent="0.2">
      <c r="A33" s="1638" t="s">
        <v>452</v>
      </c>
      <c r="B33" s="1683">
        <f t="shared" ref="B33:K33" si="8">B13/B21</f>
        <v>1.4854938459449716E-2</v>
      </c>
      <c r="C33" s="1683">
        <f t="shared" si="8"/>
        <v>8.7253185194130795E-3</v>
      </c>
      <c r="D33" s="1683">
        <f t="shared" si="8"/>
        <v>5.4517771946227967E-3</v>
      </c>
      <c r="E33" s="1683">
        <f t="shared" si="8"/>
        <v>4.2102132005834951E-2</v>
      </c>
      <c r="F33" s="1683">
        <f t="shared" si="8"/>
        <v>5.2554597255775994E-3</v>
      </c>
      <c r="G33" s="1683">
        <f t="shared" si="8"/>
        <v>1.3173183841664006E-2</v>
      </c>
      <c r="H33" s="1683">
        <f t="shared" si="8"/>
        <v>2.2281947745267424E-3</v>
      </c>
      <c r="I33" s="1683">
        <f t="shared" si="8"/>
        <v>2.1538087073492421E-2</v>
      </c>
      <c r="J33" s="1683">
        <f t="shared" si="8"/>
        <v>1.595037747321975E-2</v>
      </c>
      <c r="K33" s="1683">
        <f t="shared" si="8"/>
        <v>5.8398371542963184E-3</v>
      </c>
      <c r="L33" s="1683">
        <f>L13/L21</f>
        <v>5.6425693182464683E-3</v>
      </c>
      <c r="M33" s="1683">
        <f>M13/M21</f>
        <v>6.9750225611617603E-3</v>
      </c>
      <c r="N33" s="1639" t="s">
        <v>453</v>
      </c>
      <c r="O33" s="1229"/>
      <c r="P33" s="1674"/>
      <c r="Q33" s="1674"/>
      <c r="R33" s="1674"/>
      <c r="S33" s="1674"/>
      <c r="T33" s="1286"/>
    </row>
    <row r="34" spans="1:20" s="1644" customFormat="1" x14ac:dyDescent="0.2">
      <c r="A34" s="1704"/>
      <c r="B34" s="1735"/>
      <c r="C34" s="1736"/>
      <c r="D34" s="1736"/>
      <c r="H34" s="1737"/>
      <c r="I34" s="1737"/>
      <c r="J34" s="1703"/>
      <c r="K34" s="1703"/>
      <c r="L34" s="1703"/>
      <c r="M34" s="1703"/>
      <c r="N34" s="1229"/>
      <c r="O34" s="1674"/>
      <c r="P34" s="1675"/>
      <c r="Q34" s="1675"/>
      <c r="R34" s="1675"/>
      <c r="S34" s="1286"/>
    </row>
    <row r="35" spans="1:20" s="1644" customFormat="1" x14ac:dyDescent="0.2">
      <c r="A35" s="1738" t="s">
        <v>194</v>
      </c>
      <c r="B35" s="1739"/>
      <c r="C35" s="1286"/>
      <c r="J35" s="1703"/>
      <c r="K35" s="1703"/>
      <c r="L35" s="1703"/>
      <c r="M35" s="1703"/>
      <c r="N35" s="1229"/>
      <c r="O35" s="1674"/>
      <c r="P35" s="1675"/>
      <c r="Q35" s="1675"/>
      <c r="R35" s="1675"/>
      <c r="S35" s="1286"/>
    </row>
    <row r="36" spans="1:20" s="1644" customFormat="1" x14ac:dyDescent="0.2">
      <c r="A36" s="1687" t="s">
        <v>185</v>
      </c>
      <c r="B36" s="1736" t="s">
        <v>1</v>
      </c>
      <c r="C36" s="1736" t="s">
        <v>186</v>
      </c>
      <c r="D36" s="1736" t="s">
        <v>18</v>
      </c>
      <c r="J36" s="1703"/>
      <c r="K36" s="1703"/>
      <c r="L36" s="1703"/>
      <c r="M36" s="1703"/>
    </row>
    <row r="37" spans="1:20" s="1644" customFormat="1" x14ac:dyDescent="0.2">
      <c r="A37" s="1687">
        <v>2006</v>
      </c>
      <c r="B37" s="1740">
        <v>599097</v>
      </c>
      <c r="C37" s="1740">
        <f>B15</f>
        <v>94816</v>
      </c>
      <c r="D37" s="1741">
        <f t="shared" ref="D37:D45" si="9">IF(ISERROR(C37/B37),"-",(C37/B37))</f>
        <v>0.15826485527385381</v>
      </c>
      <c r="J37" s="1703"/>
      <c r="K37" s="1703"/>
      <c r="L37" s="1703"/>
      <c r="M37" s="1703"/>
    </row>
    <row r="38" spans="1:20" s="1644" customFormat="1" x14ac:dyDescent="0.2">
      <c r="A38" s="1687">
        <v>2007</v>
      </c>
      <c r="B38" s="1740">
        <v>600000</v>
      </c>
      <c r="C38" s="1740">
        <f>C15</f>
        <v>510401</v>
      </c>
      <c r="D38" s="1741">
        <f t="shared" si="9"/>
        <v>0.85066833333333336</v>
      </c>
      <c r="J38" s="1703"/>
      <c r="K38" s="1703"/>
      <c r="L38" s="1703"/>
      <c r="M38" s="1703"/>
    </row>
    <row r="39" spans="1:20" s="1644" customFormat="1" x14ac:dyDescent="0.2">
      <c r="A39" s="1687">
        <v>2008</v>
      </c>
      <c r="B39" s="1740">
        <v>600000</v>
      </c>
      <c r="C39" s="1740">
        <v>796046</v>
      </c>
      <c r="D39" s="1741">
        <f t="shared" si="9"/>
        <v>1.3267433333333334</v>
      </c>
      <c r="J39" s="1703"/>
      <c r="K39" s="1703"/>
      <c r="L39" s="1703"/>
      <c r="M39" s="1703"/>
    </row>
    <row r="40" spans="1:20" s="1644" customFormat="1" x14ac:dyDescent="0.2">
      <c r="A40" s="1687">
        <v>2009</v>
      </c>
      <c r="B40" s="1740">
        <v>1000000</v>
      </c>
      <c r="C40" s="1740">
        <v>515716</v>
      </c>
      <c r="D40" s="1741">
        <f t="shared" si="9"/>
        <v>0.51571599999999995</v>
      </c>
      <c r="J40" s="1703"/>
      <c r="K40" s="1703"/>
      <c r="L40" s="1703"/>
      <c r="M40" s="1703"/>
    </row>
    <row r="41" spans="1:20" s="1644" customFormat="1" x14ac:dyDescent="0.2">
      <c r="A41" s="1687">
        <v>2010</v>
      </c>
      <c r="B41" s="1740">
        <v>1110652</v>
      </c>
      <c r="C41" s="1740">
        <v>1311466.5</v>
      </c>
      <c r="D41" s="1741">
        <f t="shared" si="9"/>
        <v>1.1808077597663353</v>
      </c>
      <c r="J41" s="1703"/>
      <c r="K41" s="1703"/>
      <c r="L41" s="1703"/>
      <c r="M41" s="1703"/>
    </row>
    <row r="42" spans="1:20" s="1644" customFormat="1" x14ac:dyDescent="0.2">
      <c r="A42" s="1687">
        <v>2011</v>
      </c>
      <c r="B42" s="1740">
        <v>1600000</v>
      </c>
      <c r="C42" s="1740">
        <f>G15</f>
        <v>1197145</v>
      </c>
      <c r="D42" s="1741">
        <f t="shared" si="9"/>
        <v>0.74821562500000005</v>
      </c>
      <c r="J42" s="1703"/>
      <c r="K42" s="1703"/>
      <c r="L42" s="1703"/>
      <c r="M42" s="1703"/>
    </row>
    <row r="43" spans="1:20" s="1644" customFormat="1" x14ac:dyDescent="0.2">
      <c r="A43" s="1687" t="s">
        <v>319</v>
      </c>
      <c r="B43" s="1740">
        <f>H15</f>
        <v>3101859</v>
      </c>
      <c r="C43" s="1740">
        <f>I15</f>
        <v>765433</v>
      </c>
      <c r="D43" s="1741">
        <f t="shared" si="9"/>
        <v>0.24676589103502125</v>
      </c>
      <c r="J43" s="1703"/>
      <c r="K43" s="1703"/>
      <c r="L43" s="1703"/>
      <c r="M43" s="1703"/>
    </row>
    <row r="44" spans="1:20" s="1644" customFormat="1" x14ac:dyDescent="0.2">
      <c r="A44" s="1687" t="s">
        <v>318</v>
      </c>
      <c r="B44" s="1740">
        <f>H15</f>
        <v>3101859</v>
      </c>
      <c r="C44" s="1740">
        <f>J15</f>
        <v>1492130</v>
      </c>
      <c r="D44" s="1741">
        <f t="shared" si="9"/>
        <v>0.48104378696775063</v>
      </c>
      <c r="J44" s="1703"/>
      <c r="K44" s="1703"/>
      <c r="L44" s="1703"/>
      <c r="M44" s="1703"/>
    </row>
    <row r="45" spans="1:20" s="1644" customFormat="1" x14ac:dyDescent="0.2">
      <c r="A45" s="1687">
        <v>2013</v>
      </c>
      <c r="B45" s="1740">
        <f>K15</f>
        <v>3635000.3428640696</v>
      </c>
      <c r="C45" s="1740" t="s">
        <v>187</v>
      </c>
      <c r="D45" s="1741" t="str">
        <f t="shared" si="9"/>
        <v>-</v>
      </c>
      <c r="J45" s="1703"/>
      <c r="K45" s="1703"/>
      <c r="L45" s="1703"/>
      <c r="M45" s="1703"/>
    </row>
    <row r="46" spans="1:20" s="1644" customFormat="1" x14ac:dyDescent="0.2">
      <c r="A46" s="1687">
        <v>2014</v>
      </c>
      <c r="B46" s="1740">
        <f>L15</f>
        <v>4062000.2581738816</v>
      </c>
      <c r="C46" s="1740" t="s">
        <v>187</v>
      </c>
      <c r="D46" s="1741" t="str">
        <f>IF(ISERROR(C46/B46),"-",(C46/B46))</f>
        <v>-</v>
      </c>
      <c r="J46" s="1703"/>
      <c r="K46" s="1703"/>
      <c r="L46" s="1703"/>
      <c r="M46" s="1703"/>
    </row>
    <row r="47" spans="1:20" s="1644" customFormat="1" x14ac:dyDescent="0.2">
      <c r="A47" s="1687">
        <v>2015</v>
      </c>
      <c r="B47" s="1740">
        <f>M15</f>
        <v>4591999.5274179131</v>
      </c>
      <c r="C47" s="1740" t="s">
        <v>187</v>
      </c>
      <c r="D47" s="1741" t="str">
        <f>IF(ISERROR(C47/B47),"-",(C47/B47))</f>
        <v>-</v>
      </c>
      <c r="J47" s="1703"/>
      <c r="K47" s="1703"/>
      <c r="L47" s="1703"/>
      <c r="M47" s="1703"/>
    </row>
    <row r="48" spans="1:20" s="1644" customFormat="1" x14ac:dyDescent="0.2">
      <c r="A48" s="1742"/>
      <c r="B48" s="1740"/>
      <c r="C48" s="1740"/>
      <c r="D48" s="1741"/>
      <c r="J48" s="1703"/>
      <c r="K48" s="1703"/>
      <c r="L48" s="1703"/>
      <c r="M48" s="1703"/>
    </row>
    <row r="49" spans="1:13" s="1644" customFormat="1" x14ac:dyDescent="0.2">
      <c r="A49" s="1743" t="s">
        <v>193</v>
      </c>
      <c r="B49" s="1744"/>
      <c r="C49" s="1744"/>
      <c r="D49" s="1286"/>
      <c r="J49" s="1703"/>
      <c r="K49" s="1703"/>
      <c r="L49" s="1703"/>
      <c r="M49" s="1703"/>
    </row>
    <row r="50" spans="1:13" s="1644" customFormat="1" x14ac:dyDescent="0.2">
      <c r="A50" s="1687" t="s">
        <v>185</v>
      </c>
      <c r="B50" s="1736" t="s">
        <v>188</v>
      </c>
      <c r="C50" s="1736" t="s">
        <v>186</v>
      </c>
      <c r="D50" s="1736" t="s">
        <v>189</v>
      </c>
      <c r="J50" s="1703"/>
      <c r="K50" s="1703"/>
      <c r="L50" s="1703"/>
      <c r="M50" s="1703"/>
    </row>
    <row r="51" spans="1:13" s="1644" customFormat="1" x14ac:dyDescent="0.2">
      <c r="A51" s="1687">
        <v>2006</v>
      </c>
      <c r="B51" s="1745">
        <v>1378</v>
      </c>
      <c r="C51" s="1745">
        <v>393</v>
      </c>
      <c r="D51" s="1741">
        <f t="shared" ref="D51:D61" si="10">IF(ISERROR(C51/B51),"-",(C51/B51))</f>
        <v>0.28519593613933236</v>
      </c>
      <c r="J51" s="1703"/>
      <c r="K51" s="1703"/>
      <c r="L51" s="1703"/>
      <c r="M51" s="1703"/>
    </row>
    <row r="52" spans="1:13" s="1644" customFormat="1" x14ac:dyDescent="0.2">
      <c r="A52" s="1687">
        <v>2007</v>
      </c>
      <c r="B52" s="1745">
        <v>1524</v>
      </c>
      <c r="C52" s="1745">
        <v>988</v>
      </c>
      <c r="D52" s="1741">
        <f t="shared" si="10"/>
        <v>0.64829396325459321</v>
      </c>
      <c r="J52" s="1703"/>
      <c r="K52" s="1703"/>
      <c r="L52" s="1703"/>
      <c r="M52" s="1703"/>
    </row>
    <row r="53" spans="1:13" s="1644" customFormat="1" x14ac:dyDescent="0.2">
      <c r="A53" s="1687">
        <v>2008</v>
      </c>
      <c r="B53" s="1745">
        <v>1554</v>
      </c>
      <c r="C53" s="1745">
        <v>1824</v>
      </c>
      <c r="D53" s="1741">
        <f t="shared" si="10"/>
        <v>1.1737451737451738</v>
      </c>
      <c r="J53" s="1703"/>
      <c r="K53" s="1703"/>
      <c r="L53" s="1703"/>
      <c r="M53" s="1703"/>
    </row>
    <row r="54" spans="1:13" s="1644" customFormat="1" x14ac:dyDescent="0.2">
      <c r="A54" s="1687">
        <v>2009</v>
      </c>
      <c r="B54" s="1745">
        <v>2554</v>
      </c>
      <c r="C54" s="1745">
        <v>798</v>
      </c>
      <c r="D54" s="1741">
        <f t="shared" si="10"/>
        <v>0.31245105716523103</v>
      </c>
      <c r="J54" s="1703"/>
      <c r="K54" s="1703"/>
      <c r="L54" s="1703"/>
      <c r="M54" s="1703"/>
    </row>
    <row r="55" spans="1:13" s="1644" customFormat="1" x14ac:dyDescent="0.2">
      <c r="A55" s="1687">
        <v>2010</v>
      </c>
      <c r="B55" s="1745">
        <v>2799</v>
      </c>
      <c r="C55" s="1745">
        <v>2768</v>
      </c>
      <c r="D55" s="1741">
        <f t="shared" si="10"/>
        <v>0.98892461593426229</v>
      </c>
      <c r="J55" s="1703"/>
      <c r="K55" s="1703"/>
      <c r="L55" s="1703"/>
      <c r="M55" s="1703"/>
    </row>
    <row r="56" spans="1:13" s="1644" customFormat="1" x14ac:dyDescent="0.2">
      <c r="A56" s="1687">
        <v>2011</v>
      </c>
      <c r="B56" s="1745">
        <v>2082</v>
      </c>
      <c r="C56" s="1745">
        <f>G28</f>
        <v>1811</v>
      </c>
      <c r="D56" s="1741">
        <f t="shared" si="10"/>
        <v>0.86983669548511044</v>
      </c>
      <c r="J56" s="1703"/>
      <c r="K56" s="1703"/>
      <c r="L56" s="1703"/>
      <c r="M56" s="1703"/>
    </row>
    <row r="57" spans="1:13" s="1644" customFormat="1" x14ac:dyDescent="0.2">
      <c r="A57" s="1687" t="s">
        <v>319</v>
      </c>
      <c r="B57" s="1746">
        <f>H28</f>
        <v>4682</v>
      </c>
      <c r="C57" s="1745">
        <f>I28</f>
        <v>1993</v>
      </c>
      <c r="D57" s="1741">
        <f t="shared" si="10"/>
        <v>0.42567278940623665</v>
      </c>
      <c r="J57" s="1703"/>
      <c r="K57" s="1703"/>
      <c r="L57" s="1703"/>
      <c r="M57" s="1703"/>
    </row>
    <row r="58" spans="1:13" s="1644" customFormat="1" x14ac:dyDescent="0.2">
      <c r="A58" s="1687" t="s">
        <v>318</v>
      </c>
      <c r="B58" s="1745">
        <f>H28</f>
        <v>4682</v>
      </c>
      <c r="C58" s="1745">
        <f>J28</f>
        <v>3885.1409463663053</v>
      </c>
      <c r="D58" s="1741">
        <f t="shared" si="10"/>
        <v>0.82980370490523392</v>
      </c>
      <c r="J58" s="1703"/>
      <c r="K58" s="1703"/>
      <c r="L58" s="1703"/>
      <c r="M58" s="1703"/>
    </row>
    <row r="59" spans="1:13" s="1644" customFormat="1" x14ac:dyDescent="0.2">
      <c r="A59" s="1687">
        <v>2013</v>
      </c>
      <c r="B59" s="1745">
        <f>K28</f>
        <v>4986</v>
      </c>
      <c r="C59" s="1740" t="s">
        <v>187</v>
      </c>
      <c r="D59" s="1741" t="str">
        <f t="shared" si="10"/>
        <v>-</v>
      </c>
      <c r="J59" s="1703"/>
      <c r="K59" s="1703"/>
      <c r="L59" s="1703"/>
      <c r="M59" s="1703"/>
    </row>
    <row r="60" spans="1:13" s="1644" customFormat="1" x14ac:dyDescent="0.2">
      <c r="A60" s="1687">
        <v>2014</v>
      </c>
      <c r="B60" s="1745">
        <f>L28</f>
        <v>5333</v>
      </c>
      <c r="C60" s="1740" t="s">
        <v>187</v>
      </c>
      <c r="D60" s="1741" t="str">
        <f t="shared" si="10"/>
        <v>-</v>
      </c>
      <c r="J60" s="1703"/>
      <c r="K60" s="1703"/>
      <c r="L60" s="1703"/>
      <c r="M60" s="1703"/>
    </row>
    <row r="61" spans="1:13" s="1644" customFormat="1" x14ac:dyDescent="0.2">
      <c r="A61" s="1687">
        <v>2015</v>
      </c>
      <c r="B61" s="1745">
        <f>M28</f>
        <v>5816</v>
      </c>
      <c r="C61" s="1740" t="s">
        <v>187</v>
      </c>
      <c r="D61" s="1741" t="str">
        <f t="shared" si="10"/>
        <v>-</v>
      </c>
      <c r="J61" s="1703"/>
      <c r="K61" s="1703"/>
      <c r="L61" s="1703"/>
      <c r="M61" s="1703"/>
    </row>
    <row r="62" spans="1:13" s="1644" customFormat="1" x14ac:dyDescent="0.2">
      <c r="B62" s="1286"/>
      <c r="J62" s="1703"/>
      <c r="K62" s="1703"/>
      <c r="L62" s="1703"/>
      <c r="M62" s="1703"/>
    </row>
    <row r="63" spans="1:13" s="1644" customFormat="1" x14ac:dyDescent="0.2">
      <c r="A63" s="1743" t="s">
        <v>191</v>
      </c>
      <c r="B63" s="1743"/>
      <c r="C63" s="1743"/>
      <c r="J63" s="1703"/>
      <c r="K63" s="1703"/>
      <c r="L63" s="1703"/>
      <c r="M63" s="1703"/>
    </row>
    <row r="64" spans="1:13" s="1644" customFormat="1" x14ac:dyDescent="0.2">
      <c r="A64" s="1687" t="s">
        <v>185</v>
      </c>
      <c r="B64" s="1736" t="s">
        <v>188</v>
      </c>
      <c r="C64" s="1736" t="s">
        <v>186</v>
      </c>
      <c r="D64" s="1736" t="s">
        <v>189</v>
      </c>
      <c r="J64" s="1703"/>
      <c r="K64" s="1703"/>
      <c r="L64" s="1703"/>
      <c r="M64" s="1703"/>
    </row>
    <row r="65" spans="1:13" s="1644" customFormat="1" x14ac:dyDescent="0.2">
      <c r="A65" s="1687">
        <v>2006</v>
      </c>
      <c r="B65" s="1745">
        <v>110445</v>
      </c>
      <c r="C65" s="1745">
        <v>11295</v>
      </c>
      <c r="D65" s="1741">
        <f t="shared" ref="D65:D75" si="11">IF(ISERROR(C65/B65),"-",(C65/B65))</f>
        <v>0.10226809724297162</v>
      </c>
      <c r="J65" s="1703"/>
      <c r="K65" s="1703"/>
      <c r="L65" s="1703"/>
      <c r="M65" s="1703"/>
    </row>
    <row r="66" spans="1:13" s="1644" customFormat="1" x14ac:dyDescent="0.2">
      <c r="A66" s="1687">
        <v>2007</v>
      </c>
      <c r="B66" s="1745">
        <v>65898</v>
      </c>
      <c r="C66" s="1745">
        <v>57353</v>
      </c>
      <c r="D66" s="1741">
        <f t="shared" si="11"/>
        <v>0.87032990379070685</v>
      </c>
      <c r="J66" s="1703"/>
      <c r="K66" s="1703"/>
      <c r="L66" s="1703"/>
      <c r="M66" s="1703"/>
    </row>
    <row r="67" spans="1:13" s="1644" customFormat="1" x14ac:dyDescent="0.2">
      <c r="A67" s="1687">
        <v>2008</v>
      </c>
      <c r="B67" s="1745">
        <v>90954</v>
      </c>
      <c r="C67" s="1745">
        <v>98698</v>
      </c>
      <c r="D67" s="1741">
        <f t="shared" si="11"/>
        <v>1.0851419398816984</v>
      </c>
      <c r="J67" s="1703"/>
      <c r="K67" s="1703"/>
      <c r="L67" s="1703"/>
      <c r="M67" s="1703"/>
    </row>
    <row r="68" spans="1:13" s="1644" customFormat="1" x14ac:dyDescent="0.2">
      <c r="A68" s="1687">
        <v>2009</v>
      </c>
      <c r="B68" s="1745">
        <v>176982.25050646317</v>
      </c>
      <c r="C68" s="1745">
        <f>E20</f>
        <v>55728</v>
      </c>
      <c r="D68" s="1741">
        <f t="shared" si="11"/>
        <v>0.31487903357836938</v>
      </c>
      <c r="J68" s="1703"/>
      <c r="K68" s="1703"/>
      <c r="L68" s="1703"/>
      <c r="M68" s="1703"/>
    </row>
    <row r="69" spans="1:13" s="1644" customFormat="1" x14ac:dyDescent="0.2">
      <c r="A69" s="1687">
        <v>2010</v>
      </c>
      <c r="B69" s="1745">
        <v>182022</v>
      </c>
      <c r="C69" s="1745">
        <v>222581</v>
      </c>
      <c r="D69" s="1741">
        <f t="shared" si="11"/>
        <v>1.2228247134961707</v>
      </c>
      <c r="J69" s="1703"/>
      <c r="K69" s="1703"/>
      <c r="L69" s="1703"/>
      <c r="M69" s="1703"/>
    </row>
    <row r="70" spans="1:13" s="1644" customFormat="1" x14ac:dyDescent="0.2">
      <c r="A70" s="1687">
        <v>2011</v>
      </c>
      <c r="B70" s="1746">
        <v>243065</v>
      </c>
      <c r="C70" s="1745">
        <v>172026</v>
      </c>
      <c r="D70" s="1741">
        <f t="shared" si="11"/>
        <v>0.70773661366301199</v>
      </c>
      <c r="J70" s="1703"/>
      <c r="K70" s="1703"/>
      <c r="L70" s="1703"/>
      <c r="M70" s="1703"/>
    </row>
    <row r="71" spans="1:13" s="1644" customFormat="1" x14ac:dyDescent="0.2">
      <c r="A71" s="1687" t="s">
        <v>319</v>
      </c>
      <c r="B71" s="1746">
        <f>H20</f>
        <v>490733</v>
      </c>
      <c r="C71" s="1745">
        <f>I20</f>
        <v>137248</v>
      </c>
      <c r="D71" s="1741">
        <f t="shared" si="11"/>
        <v>0.27967958136094373</v>
      </c>
      <c r="J71" s="1703"/>
      <c r="K71" s="1703"/>
      <c r="L71" s="1703"/>
      <c r="M71" s="1703"/>
    </row>
    <row r="72" spans="1:13" s="1644" customFormat="1" x14ac:dyDescent="0.2">
      <c r="A72" s="1687" t="s">
        <v>318</v>
      </c>
      <c r="B72" s="1745">
        <f>H20</f>
        <v>490733</v>
      </c>
      <c r="C72" s="1745">
        <f>J20</f>
        <v>267550.33848814986</v>
      </c>
      <c r="D72" s="1741">
        <f t="shared" si="11"/>
        <v>0.54520551601002964</v>
      </c>
      <c r="J72" s="1703"/>
      <c r="K72" s="1703"/>
      <c r="L72" s="1703"/>
      <c r="M72" s="1703"/>
    </row>
    <row r="73" spans="1:13" s="1644" customFormat="1" x14ac:dyDescent="0.2">
      <c r="A73" s="1687">
        <v>2013</v>
      </c>
      <c r="B73" s="1745">
        <f>K20</f>
        <v>537602.68820395495</v>
      </c>
      <c r="C73" s="1740" t="s">
        <v>187</v>
      </c>
      <c r="D73" s="1741" t="str">
        <f t="shared" si="11"/>
        <v>-</v>
      </c>
      <c r="J73" s="1703"/>
      <c r="K73" s="1703"/>
      <c r="L73" s="1703"/>
      <c r="M73" s="1703"/>
    </row>
    <row r="74" spans="1:13" s="1644" customFormat="1" x14ac:dyDescent="0.2">
      <c r="A74" s="1687">
        <v>2014</v>
      </c>
      <c r="B74" s="1745">
        <f>L20</f>
        <v>613332.99121519877</v>
      </c>
      <c r="C74" s="1740" t="s">
        <v>187</v>
      </c>
      <c r="D74" s="1741" t="str">
        <f t="shared" si="11"/>
        <v>-</v>
      </c>
      <c r="J74" s="1703"/>
      <c r="K74" s="1703"/>
      <c r="L74" s="1703"/>
      <c r="M74" s="1703"/>
    </row>
    <row r="75" spans="1:13" s="1644" customFormat="1" x14ac:dyDescent="0.2">
      <c r="A75" s="1687">
        <v>2015</v>
      </c>
      <c r="B75" s="1745">
        <f>M20</f>
        <v>714166.28874890122</v>
      </c>
      <c r="C75" s="1740" t="s">
        <v>187</v>
      </c>
      <c r="D75" s="1741" t="str">
        <f t="shared" si="11"/>
        <v>-</v>
      </c>
      <c r="J75" s="1703"/>
      <c r="K75" s="1703"/>
      <c r="L75" s="1703"/>
      <c r="M75" s="1703"/>
    </row>
    <row r="76" spans="1:13" s="1644" customFormat="1" x14ac:dyDescent="0.2">
      <c r="A76" s="1742"/>
      <c r="B76" s="1745"/>
      <c r="C76" s="1745"/>
      <c r="D76" s="1745"/>
      <c r="J76" s="1703"/>
      <c r="K76" s="1703"/>
      <c r="L76" s="1703"/>
      <c r="M76" s="1703"/>
    </row>
    <row r="77" spans="1:13" s="1644" customFormat="1" x14ac:dyDescent="0.2">
      <c r="A77" s="1743" t="s">
        <v>190</v>
      </c>
      <c r="B77" s="1747"/>
      <c r="C77" s="1747"/>
      <c r="D77" s="1743"/>
      <c r="J77" s="1703"/>
      <c r="K77" s="1703"/>
      <c r="L77" s="1703"/>
      <c r="M77" s="1703"/>
    </row>
    <row r="78" spans="1:13" s="1644" customFormat="1" x14ac:dyDescent="0.2">
      <c r="A78" s="1687" t="s">
        <v>185</v>
      </c>
      <c r="B78" s="1748" t="s">
        <v>188</v>
      </c>
      <c r="C78" s="1748" t="s">
        <v>186</v>
      </c>
      <c r="D78" s="1736" t="s">
        <v>189</v>
      </c>
      <c r="J78" s="1703"/>
      <c r="K78" s="1703"/>
      <c r="L78" s="1703"/>
      <c r="M78" s="1703"/>
    </row>
    <row r="79" spans="1:13" s="1644" customFormat="1" x14ac:dyDescent="0.2">
      <c r="A79" s="1687">
        <v>2006</v>
      </c>
      <c r="B79" s="1745">
        <v>1988010</v>
      </c>
      <c r="C79" s="1745">
        <v>213599</v>
      </c>
      <c r="D79" s="1741">
        <f t="shared" ref="D79:D89" si="12">IF(ISERROR(C79/B79),"-",(C79/B79))</f>
        <v>0.10744362452905167</v>
      </c>
      <c r="J79" s="1703"/>
      <c r="K79" s="1703"/>
      <c r="L79" s="1703"/>
      <c r="M79" s="1703"/>
    </row>
    <row r="80" spans="1:13" s="1644" customFormat="1" x14ac:dyDescent="0.2">
      <c r="A80" s="1687">
        <v>2007</v>
      </c>
      <c r="B80" s="1745">
        <v>1551974</v>
      </c>
      <c r="C80" s="1745">
        <v>902646</v>
      </c>
      <c r="D80" s="1741">
        <f t="shared" si="12"/>
        <v>0.58161154761613276</v>
      </c>
      <c r="J80" s="1703"/>
      <c r="K80" s="1703"/>
      <c r="L80" s="1703"/>
      <c r="M80" s="1703"/>
    </row>
    <row r="81" spans="1:13" s="1644" customFormat="1" x14ac:dyDescent="0.2">
      <c r="A81" s="1687">
        <v>2008</v>
      </c>
      <c r="B81" s="1745">
        <v>1524912</v>
      </c>
      <c r="C81" s="1745">
        <v>1770065</v>
      </c>
      <c r="D81" s="1741">
        <f t="shared" si="12"/>
        <v>1.1607653425246833</v>
      </c>
      <c r="J81" s="1703"/>
      <c r="K81" s="1703"/>
      <c r="L81" s="1703"/>
      <c r="M81" s="1703"/>
    </row>
    <row r="82" spans="1:13" s="1644" customFormat="1" x14ac:dyDescent="0.2">
      <c r="A82" s="1687">
        <v>2009</v>
      </c>
      <c r="B82" s="1745">
        <v>3462230</v>
      </c>
      <c r="C82" s="1745">
        <v>1172933</v>
      </c>
      <c r="D82" s="1741">
        <f t="shared" si="12"/>
        <v>0.33877963046937959</v>
      </c>
      <c r="J82" s="1703"/>
      <c r="K82" s="1703"/>
      <c r="L82" s="1703"/>
      <c r="M82" s="1703"/>
    </row>
    <row r="83" spans="1:13" s="1644" customFormat="1" x14ac:dyDescent="0.2">
      <c r="A83" s="1687">
        <v>2010</v>
      </c>
      <c r="B83" s="1745">
        <v>3776878</v>
      </c>
      <c r="C83" s="1745">
        <v>4768051</v>
      </c>
      <c r="D83" s="1741">
        <f t="shared" si="12"/>
        <v>1.2624318286161216</v>
      </c>
      <c r="J83" s="1703"/>
      <c r="K83" s="1703"/>
      <c r="L83" s="1703"/>
      <c r="M83" s="1703"/>
    </row>
    <row r="84" spans="1:13" s="1644" customFormat="1" x14ac:dyDescent="0.2">
      <c r="A84" s="1687">
        <v>2011</v>
      </c>
      <c r="B84" s="1746">
        <v>4532590</v>
      </c>
      <c r="C84" s="1745">
        <v>3118836</v>
      </c>
      <c r="D84" s="1741">
        <f t="shared" si="12"/>
        <v>0.68809135615619321</v>
      </c>
      <c r="J84" s="1703"/>
      <c r="K84" s="1703"/>
      <c r="L84" s="1703"/>
      <c r="M84" s="1703"/>
    </row>
    <row r="85" spans="1:13" s="1644" customFormat="1" x14ac:dyDescent="0.2">
      <c r="A85" s="1687" t="s">
        <v>319</v>
      </c>
      <c r="B85" s="1746">
        <f>H21</f>
        <v>8975876</v>
      </c>
      <c r="C85" s="1745">
        <f>I21</f>
        <v>2325369</v>
      </c>
      <c r="D85" s="1741">
        <f t="shared" si="12"/>
        <v>0.25906875273232383</v>
      </c>
      <c r="J85" s="1703"/>
      <c r="K85" s="1703"/>
      <c r="L85" s="1703"/>
      <c r="M85" s="1703"/>
    </row>
    <row r="86" spans="1:13" s="1644" customFormat="1" x14ac:dyDescent="0.2">
      <c r="A86" s="1687" t="s">
        <v>318</v>
      </c>
      <c r="B86" s="1745">
        <f>H21</f>
        <v>8975876</v>
      </c>
      <c r="C86" s="1745">
        <f>J21</f>
        <v>4533058.8646818204</v>
      </c>
      <c r="D86" s="1741">
        <f t="shared" si="12"/>
        <v>0.50502690374530801</v>
      </c>
      <c r="J86" s="1703"/>
      <c r="K86" s="1703"/>
      <c r="L86" s="1703"/>
      <c r="M86" s="1703"/>
    </row>
    <row r="87" spans="1:13" x14ac:dyDescent="0.2">
      <c r="A87" s="1687">
        <v>2013</v>
      </c>
      <c r="B87" s="1745">
        <f>K21</f>
        <v>10763827.541621631</v>
      </c>
      <c r="C87" s="1740" t="s">
        <v>187</v>
      </c>
      <c r="D87" s="1741" t="str">
        <f t="shared" si="12"/>
        <v>-</v>
      </c>
      <c r="E87" s="1188"/>
      <c r="F87" s="1188"/>
      <c r="G87" s="1188"/>
      <c r="H87" s="1644"/>
      <c r="I87" s="1644"/>
      <c r="J87" s="1698"/>
      <c r="K87" s="1698"/>
      <c r="L87" s="1698"/>
      <c r="M87" s="1698"/>
    </row>
    <row r="88" spans="1:13" x14ac:dyDescent="0.2">
      <c r="A88" s="1687">
        <v>2014</v>
      </c>
      <c r="B88" s="1745">
        <f>L21</f>
        <v>12408233.530521275</v>
      </c>
      <c r="C88" s="1740" t="s">
        <v>187</v>
      </c>
      <c r="D88" s="1741" t="str">
        <f t="shared" si="12"/>
        <v>-</v>
      </c>
      <c r="H88" s="1644"/>
      <c r="I88" s="1644"/>
    </row>
    <row r="89" spans="1:13" x14ac:dyDescent="0.2">
      <c r="A89" s="1687">
        <v>2015</v>
      </c>
      <c r="B89" s="1745">
        <f>M21</f>
        <v>14602820.149593182</v>
      </c>
      <c r="C89" s="1740" t="s">
        <v>187</v>
      </c>
      <c r="D89" s="1741" t="str">
        <f t="shared" si="12"/>
        <v>-</v>
      </c>
      <c r="H89" s="1644"/>
      <c r="I89" s="1644"/>
    </row>
    <row r="90" spans="1:13" x14ac:dyDescent="0.2">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ht="11.25" x14ac:dyDescent="0.2">
      <c r="H117" s="1635"/>
      <c r="I117" s="1635"/>
    </row>
    <row r="118" spans="8:9" ht="11.25" x14ac:dyDescent="0.2">
      <c r="H118" s="1635"/>
      <c r="I118" s="1635"/>
    </row>
  </sheetData>
  <mergeCells count="1">
    <mergeCell ref="A1:N1"/>
  </mergeCells>
  <pageMargins left="0.98" right="0.75" top="1.1499999999999999" bottom="1" header="0.5" footer="0.5"/>
  <pageSetup scale="46" orientation="portrait" r:id="rId1"/>
  <headerFooter alignWithMargins="0">
    <oddFooter>&amp;C&amp;1#&amp;"Calibri"&amp;12&amp;K008000Internal Use</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5">
    <tabColor indexed="11"/>
    <pageSetUpPr fitToPage="1"/>
  </sheetPr>
  <dimension ref="A1:V127"/>
  <sheetViews>
    <sheetView topLeftCell="D1" workbookViewId="0">
      <selection activeCell="J57" sqref="J57"/>
    </sheetView>
  </sheetViews>
  <sheetFormatPr defaultRowHeight="12.75" x14ac:dyDescent="0.2"/>
  <cols>
    <col min="1" max="1" width="40.28515625" style="1635" customWidth="1"/>
    <col min="2" max="2" width="10.7109375" style="1635" customWidth="1"/>
    <col min="3" max="4" width="11.5703125" style="1635" customWidth="1"/>
    <col min="5" max="5" width="11.28515625" style="1635" bestFit="1" customWidth="1"/>
    <col min="6" max="6" width="11.28515625" style="1635" customWidth="1"/>
    <col min="7" max="7" width="10.42578125" style="1635" customWidth="1"/>
    <col min="8" max="8" width="12" style="1188" customWidth="1"/>
    <col min="9" max="9" width="11" style="1188" customWidth="1"/>
    <col min="10" max="10" width="11.42578125" style="1635" customWidth="1"/>
    <col min="11" max="13" width="12.42578125" style="1635" customWidth="1"/>
    <col min="14" max="14" width="6" style="1635" customWidth="1"/>
    <col min="15" max="15" width="3.85546875" style="1635" customWidth="1"/>
    <col min="16" max="16" width="18.85546875" style="1635" customWidth="1"/>
    <col min="17" max="17" width="2.42578125" style="1635" customWidth="1"/>
    <col min="18" max="18" width="11.42578125" style="1635" customWidth="1"/>
    <col min="19" max="19" width="10.7109375" style="1635" customWidth="1"/>
    <col min="20" max="20" width="12.28515625" style="1635" customWidth="1"/>
    <col min="21" max="16384" width="9.140625" style="1635"/>
  </cols>
  <sheetData>
    <row r="1" spans="1:16" ht="15.75" x14ac:dyDescent="0.25">
      <c r="A1" s="2976" t="s">
        <v>48</v>
      </c>
      <c r="B1" s="2976"/>
      <c r="C1" s="2976"/>
      <c r="D1" s="2976"/>
      <c r="E1" s="2976"/>
      <c r="F1" s="2976"/>
      <c r="G1" s="2976"/>
      <c r="H1" s="2976"/>
      <c r="I1" s="2976"/>
      <c r="J1" s="2976"/>
      <c r="K1" s="2976"/>
      <c r="L1" s="2976"/>
      <c r="M1" s="2976"/>
    </row>
    <row r="2" spans="1:16" x14ac:dyDescent="0.2">
      <c r="A2" s="1699"/>
    </row>
    <row r="3" spans="1:16" ht="15.75" x14ac:dyDescent="0.25">
      <c r="A3" s="1700" t="s">
        <v>230</v>
      </c>
    </row>
    <row r="4" spans="1:16" x14ac:dyDescent="0.2">
      <c r="A4" s="1699"/>
    </row>
    <row r="5" spans="1:16" x14ac:dyDescent="0.2">
      <c r="A5" s="1749"/>
      <c r="H5" s="1702"/>
      <c r="I5" s="1702"/>
      <c r="J5" s="1644"/>
      <c r="K5" s="1644"/>
      <c r="L5" s="1644"/>
      <c r="M5" s="1644"/>
      <c r="N5" s="1644"/>
    </row>
    <row r="6" spans="1:16"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row>
    <row r="7" spans="1:16"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row>
    <row r="8" spans="1:16" s="1644" customFormat="1" x14ac:dyDescent="0.2">
      <c r="A8" s="1286"/>
      <c r="H8" s="1705"/>
      <c r="I8" s="1705"/>
    </row>
    <row r="9" spans="1:16" s="1644" customFormat="1" x14ac:dyDescent="0.2">
      <c r="A9" s="1286" t="s">
        <v>53</v>
      </c>
      <c r="B9" s="1703" t="s">
        <v>187</v>
      </c>
      <c r="C9" s="1703" t="s">
        <v>187</v>
      </c>
      <c r="D9" s="1703" t="s">
        <v>187</v>
      </c>
      <c r="E9" s="1707">
        <v>15194.66</v>
      </c>
      <c r="F9" s="1707">
        <v>9864.1299999999992</v>
      </c>
      <c r="G9" s="1707">
        <v>5688</v>
      </c>
      <c r="H9" s="1708">
        <v>34580</v>
      </c>
      <c r="I9" s="1708">
        <v>4232</v>
      </c>
      <c r="J9" s="1707">
        <v>5852</v>
      </c>
      <c r="K9" s="1707">
        <v>20280</v>
      </c>
      <c r="L9" s="1707">
        <v>24024</v>
      </c>
      <c r="M9" s="1707">
        <v>29296.799999999999</v>
      </c>
    </row>
    <row r="10" spans="1:16" s="1644" customFormat="1" x14ac:dyDescent="0.2">
      <c r="A10" s="1286" t="s">
        <v>45</v>
      </c>
      <c r="B10" s="1703" t="s">
        <v>187</v>
      </c>
      <c r="C10" s="1703" t="s">
        <v>187</v>
      </c>
      <c r="D10" s="1703" t="s">
        <v>187</v>
      </c>
      <c r="E10" s="1707">
        <v>27156.6</v>
      </c>
      <c r="F10" s="1707">
        <v>2418.7600000000002</v>
      </c>
      <c r="G10" s="1707">
        <v>2423</v>
      </c>
      <c r="H10" s="1708">
        <v>55000</v>
      </c>
      <c r="I10" s="1708">
        <v>3598</v>
      </c>
      <c r="J10" s="1707">
        <v>5768</v>
      </c>
      <c r="K10" s="1707">
        <v>33995</v>
      </c>
      <c r="L10" s="1707">
        <v>40271</v>
      </c>
      <c r="M10" s="1707">
        <v>49109.7</v>
      </c>
      <c r="N10" s="1709"/>
    </row>
    <row r="11" spans="1:16" s="1644" customFormat="1" x14ac:dyDescent="0.2">
      <c r="A11" s="1286" t="s">
        <v>202</v>
      </c>
      <c r="B11" s="1703" t="s">
        <v>187</v>
      </c>
      <c r="C11" s="1703" t="s">
        <v>187</v>
      </c>
      <c r="D11" s="1703" t="s">
        <v>187</v>
      </c>
      <c r="E11" s="1707">
        <v>9.1</v>
      </c>
      <c r="F11" s="1707">
        <v>8.65</v>
      </c>
      <c r="G11" s="1707">
        <v>0</v>
      </c>
      <c r="H11" s="1708">
        <v>1625</v>
      </c>
      <c r="I11" s="1708">
        <v>137</v>
      </c>
      <c r="J11" s="1707">
        <v>0</v>
      </c>
      <c r="K11" s="1707">
        <v>325</v>
      </c>
      <c r="L11" s="1707">
        <v>385</v>
      </c>
      <c r="M11" s="1707">
        <v>469.5</v>
      </c>
    </row>
    <row r="12" spans="1:16" s="1644" customFormat="1" x14ac:dyDescent="0.2">
      <c r="A12" s="1286" t="s">
        <v>2</v>
      </c>
      <c r="B12" s="1703" t="s">
        <v>187</v>
      </c>
      <c r="C12" s="1703" t="s">
        <v>187</v>
      </c>
      <c r="D12" s="1703" t="s">
        <v>187</v>
      </c>
      <c r="E12" s="1707">
        <v>267049</v>
      </c>
      <c r="F12" s="1707">
        <v>422541.25</v>
      </c>
      <c r="G12" s="1707">
        <v>760097</v>
      </c>
      <c r="H12" s="1708">
        <v>493295</v>
      </c>
      <c r="I12" s="1708">
        <v>214866</v>
      </c>
      <c r="J12" s="1707">
        <f>484131-SUM(J9,J10,J11,J13,J14)</f>
        <v>458463</v>
      </c>
      <c r="K12" s="1707">
        <v>585585</v>
      </c>
      <c r="L12" s="1707">
        <v>693693</v>
      </c>
      <c r="M12" s="1707">
        <v>845945.1</v>
      </c>
      <c r="P12" s="1710"/>
    </row>
    <row r="13" spans="1:16" s="1644" customFormat="1" x14ac:dyDescent="0.2">
      <c r="A13" s="1286" t="s">
        <v>14</v>
      </c>
      <c r="B13" s="1703" t="s">
        <v>187</v>
      </c>
      <c r="C13" s="1703" t="s">
        <v>187</v>
      </c>
      <c r="D13" s="1703" t="s">
        <v>187</v>
      </c>
      <c r="E13" s="1707">
        <v>4378.8500000000004</v>
      </c>
      <c r="F13" s="1707">
        <v>3172.74</v>
      </c>
      <c r="G13" s="1707">
        <v>1374</v>
      </c>
      <c r="H13" s="1708">
        <v>11500</v>
      </c>
      <c r="I13" s="1708">
        <v>6892</v>
      </c>
      <c r="J13" s="1707">
        <v>9978</v>
      </c>
      <c r="K13" s="1707">
        <v>6890</v>
      </c>
      <c r="L13" s="1707">
        <v>8162</v>
      </c>
      <c r="M13" s="1707">
        <v>9953.4</v>
      </c>
    </row>
    <row r="14" spans="1:16" s="1644" customFormat="1" ht="15" x14ac:dyDescent="0.35">
      <c r="A14" s="1286" t="s">
        <v>46</v>
      </c>
      <c r="B14" s="1703" t="s">
        <v>187</v>
      </c>
      <c r="C14" s="1703" t="s">
        <v>187</v>
      </c>
      <c r="D14" s="1703" t="s">
        <v>187</v>
      </c>
      <c r="E14" s="1724">
        <v>728.78</v>
      </c>
      <c r="F14" s="1724">
        <v>1892.27</v>
      </c>
      <c r="G14" s="1724">
        <v>0</v>
      </c>
      <c r="H14" s="1713">
        <v>4000</v>
      </c>
      <c r="I14" s="1713">
        <v>3053</v>
      </c>
      <c r="J14" s="1712">
        <v>4070</v>
      </c>
      <c r="K14" s="1712">
        <v>2925</v>
      </c>
      <c r="L14" s="1712">
        <v>3464.9999999999995</v>
      </c>
      <c r="M14" s="1712">
        <v>4225.5</v>
      </c>
    </row>
    <row r="15" spans="1:16" s="1644" customFormat="1" x14ac:dyDescent="0.2">
      <c r="A15" s="1286" t="s">
        <v>86</v>
      </c>
      <c r="C15" s="1714"/>
      <c r="D15" s="1707"/>
      <c r="E15" s="1707">
        <f t="shared" ref="E15:M15" si="0">SUM(E9:E14)</f>
        <v>314516.99</v>
      </c>
      <c r="F15" s="1707">
        <f t="shared" si="0"/>
        <v>439897.8</v>
      </c>
      <c r="G15" s="1707">
        <f t="shared" si="0"/>
        <v>769582</v>
      </c>
      <c r="H15" s="1716">
        <f t="shared" si="0"/>
        <v>600000</v>
      </c>
      <c r="I15" s="1716">
        <f t="shared" si="0"/>
        <v>232778</v>
      </c>
      <c r="J15" s="1717">
        <f t="shared" si="0"/>
        <v>484131</v>
      </c>
      <c r="K15" s="1717">
        <f t="shared" si="0"/>
        <v>650000</v>
      </c>
      <c r="L15" s="1717">
        <f t="shared" si="0"/>
        <v>770000</v>
      </c>
      <c r="M15" s="1717">
        <f t="shared" si="0"/>
        <v>939000</v>
      </c>
      <c r="N15" s="1703" t="s">
        <v>201</v>
      </c>
    </row>
    <row r="16" spans="1:16" s="1644" customFormat="1" x14ac:dyDescent="0.2">
      <c r="A16" s="1286"/>
      <c r="B16" s="1718"/>
      <c r="C16" s="1719"/>
      <c r="D16" s="1720"/>
      <c r="H16" s="1721"/>
      <c r="I16" s="1750"/>
    </row>
    <row r="17" spans="1:22" s="1644" customFormat="1" ht="15" x14ac:dyDescent="0.35">
      <c r="A17" s="1722"/>
      <c r="C17" s="1723"/>
      <c r="D17" s="1723"/>
      <c r="N17" s="1724"/>
    </row>
    <row r="18" spans="1:22" s="1644" customFormat="1" ht="24" x14ac:dyDescent="0.2">
      <c r="A18" s="1704" t="s">
        <v>83</v>
      </c>
      <c r="B18" s="1658" t="s">
        <v>192</v>
      </c>
      <c r="C18" s="1658" t="s">
        <v>176</v>
      </c>
      <c r="D18" s="1658" t="s">
        <v>208</v>
      </c>
      <c r="E18" s="1658" t="s">
        <v>218</v>
      </c>
      <c r="F18" s="1658" t="s">
        <v>257</v>
      </c>
      <c r="G18" s="1658" t="s">
        <v>321</v>
      </c>
      <c r="H18" s="1658" t="s">
        <v>445</v>
      </c>
      <c r="I18" s="1658" t="s">
        <v>317</v>
      </c>
      <c r="J18" s="1658" t="s">
        <v>446</v>
      </c>
      <c r="K18" s="1658" t="s">
        <v>447</v>
      </c>
      <c r="L18" s="1658" t="s">
        <v>448</v>
      </c>
      <c r="M18" s="1658" t="s">
        <v>449</v>
      </c>
      <c r="N18" s="1703"/>
      <c r="P18" s="1286"/>
      <c r="Q18" s="1286"/>
      <c r="R18" s="1286"/>
      <c r="S18" s="1286"/>
      <c r="T18" s="1286"/>
      <c r="U18" s="1286"/>
      <c r="V18" s="1286"/>
    </row>
    <row r="19" spans="1:22" s="1644" customFormat="1" x14ac:dyDescent="0.2">
      <c r="N19" s="1703"/>
      <c r="P19" s="1725"/>
      <c r="Q19" s="1725"/>
      <c r="R19" s="1229"/>
      <c r="S19" s="1229"/>
      <c r="T19" s="1229"/>
      <c r="U19" s="1286"/>
      <c r="V19" s="1286"/>
    </row>
    <row r="20" spans="1:22" s="1644" customFormat="1" x14ac:dyDescent="0.2">
      <c r="A20" s="1644" t="s">
        <v>49</v>
      </c>
      <c r="B20" s="1703" t="s">
        <v>187</v>
      </c>
      <c r="C20" s="1703" t="s">
        <v>187</v>
      </c>
      <c r="D20" s="1703" t="s">
        <v>187</v>
      </c>
      <c r="E20" s="1727">
        <v>31287</v>
      </c>
      <c r="F20" s="1727">
        <v>41991</v>
      </c>
      <c r="G20" s="1727">
        <v>47744</v>
      </c>
      <c r="H20" s="1751">
        <v>49085</v>
      </c>
      <c r="I20" s="1751">
        <v>16520</v>
      </c>
      <c r="J20" s="1752">
        <f>I20/I15*J15</f>
        <v>34358.247428880735</v>
      </c>
      <c r="K20" s="1727">
        <v>61490.448728571428</v>
      </c>
      <c r="L20" s="1727">
        <v>66364.653537662336</v>
      </c>
      <c r="M20" s="1727">
        <v>76048.535064935073</v>
      </c>
      <c r="N20" s="1703" t="s">
        <v>64</v>
      </c>
      <c r="P20" s="1725"/>
      <c r="Q20" s="1725"/>
      <c r="R20" s="1728"/>
      <c r="S20" s="1728"/>
      <c r="T20" s="1728"/>
      <c r="U20" s="1286"/>
      <c r="V20" s="1286"/>
    </row>
    <row r="21" spans="1:22" s="1644" customFormat="1" x14ac:dyDescent="0.2">
      <c r="A21" s="1644" t="s">
        <v>50</v>
      </c>
      <c r="B21" s="1703" t="s">
        <v>187</v>
      </c>
      <c r="C21" s="1703" t="s">
        <v>187</v>
      </c>
      <c r="D21" s="1703" t="s">
        <v>187</v>
      </c>
      <c r="E21" s="1727">
        <v>782194</v>
      </c>
      <c r="F21" s="1727">
        <v>1049784</v>
      </c>
      <c r="G21" s="1727">
        <v>1193609</v>
      </c>
      <c r="H21" s="1751">
        <v>1227134</v>
      </c>
      <c r="I21" s="1751">
        <v>413006</v>
      </c>
      <c r="J21" s="1752">
        <f>I21/I15*J15</f>
        <v>858968.66450437752</v>
      </c>
      <c r="K21" s="1727">
        <v>1343325.6722142859</v>
      </c>
      <c r="L21" s="1727">
        <v>1545171.5144415584</v>
      </c>
      <c r="M21" s="1727">
        <v>1847126.3766233767</v>
      </c>
      <c r="N21" s="1703" t="s">
        <v>10</v>
      </c>
      <c r="P21" s="1229"/>
      <c r="Q21" s="1674"/>
      <c r="R21" s="1675"/>
      <c r="S21" s="1675"/>
      <c r="T21" s="1675"/>
      <c r="U21" s="1286"/>
      <c r="V21" s="1286"/>
    </row>
    <row r="22" spans="1:22" s="1644" customFormat="1" x14ac:dyDescent="0.2">
      <c r="B22" s="1703"/>
      <c r="C22" s="1703"/>
      <c r="D22" s="1703"/>
      <c r="H22" s="1753"/>
      <c r="I22" s="1753"/>
      <c r="N22" s="1703"/>
      <c r="P22" s="1229"/>
      <c r="Q22" s="1674"/>
      <c r="R22" s="1678"/>
      <c r="S22" s="1678"/>
      <c r="T22" s="1678"/>
      <c r="U22" s="1286"/>
      <c r="V22" s="1286"/>
    </row>
    <row r="23" spans="1:22" s="1644" customFormat="1" x14ac:dyDescent="0.2">
      <c r="A23" s="1644" t="s">
        <v>51</v>
      </c>
      <c r="B23" s="1703" t="s">
        <v>187</v>
      </c>
      <c r="C23" s="1703" t="s">
        <v>187</v>
      </c>
      <c r="D23" s="1703" t="s">
        <v>187</v>
      </c>
      <c r="E23" s="1731">
        <f t="shared" ref="E23:M23" si="1">SUM(E15/E20)</f>
        <v>10.052641352638476</v>
      </c>
      <c r="F23" s="1731">
        <f t="shared" si="1"/>
        <v>10.476002000428663</v>
      </c>
      <c r="G23" s="1731">
        <f t="shared" si="1"/>
        <v>16.118925938337803</v>
      </c>
      <c r="H23" s="1754">
        <f t="shared" si="1"/>
        <v>12.223693592747274</v>
      </c>
      <c r="I23" s="1754">
        <f t="shared" si="1"/>
        <v>14.090677966101694</v>
      </c>
      <c r="J23" s="1731">
        <f t="shared" si="1"/>
        <v>14.090677966101696</v>
      </c>
      <c r="K23" s="1731">
        <f t="shared" si="1"/>
        <v>10.570747383373357</v>
      </c>
      <c r="L23" s="1731">
        <f t="shared" si="1"/>
        <v>11.602561890314403</v>
      </c>
      <c r="M23" s="1731">
        <f t="shared" si="1"/>
        <v>12.347377884376368</v>
      </c>
      <c r="N23" s="1703" t="s">
        <v>65</v>
      </c>
      <c r="P23" s="1229"/>
      <c r="Q23" s="1674"/>
      <c r="R23" s="1678"/>
      <c r="S23" s="1678"/>
      <c r="T23" s="1678"/>
      <c r="U23" s="1286"/>
      <c r="V23" s="1286"/>
    </row>
    <row r="24" spans="1:22" s="1644" customFormat="1" x14ac:dyDescent="0.2">
      <c r="A24" s="1644" t="s">
        <v>52</v>
      </c>
      <c r="B24" s="1703" t="s">
        <v>187</v>
      </c>
      <c r="C24" s="1703" t="s">
        <v>187</v>
      </c>
      <c r="D24" s="1703" t="s">
        <v>187</v>
      </c>
      <c r="E24" s="1731">
        <f t="shared" ref="E24:M24" si="2">SUM(E15/E21)</f>
        <v>0.40209588669818486</v>
      </c>
      <c r="F24" s="1731">
        <f t="shared" si="2"/>
        <v>0.4190364875060012</v>
      </c>
      <c r="G24" s="1731">
        <f t="shared" si="2"/>
        <v>0.64475217596382062</v>
      </c>
      <c r="H24" s="1754">
        <f t="shared" si="2"/>
        <v>0.48894415768775046</v>
      </c>
      <c r="I24" s="1754">
        <f t="shared" si="2"/>
        <v>0.56361893047558631</v>
      </c>
      <c r="J24" s="1731">
        <f t="shared" si="2"/>
        <v>0.56361893047558631</v>
      </c>
      <c r="K24" s="1731">
        <f t="shared" si="2"/>
        <v>0.48387372730587752</v>
      </c>
      <c r="L24" s="1731">
        <f t="shared" si="2"/>
        <v>0.49832655650417312</v>
      </c>
      <c r="M24" s="1731">
        <f t="shared" si="2"/>
        <v>0.50835720386199601</v>
      </c>
      <c r="N24" s="1703" t="s">
        <v>66</v>
      </c>
      <c r="P24" s="1229"/>
      <c r="Q24" s="1674"/>
      <c r="R24" s="1682"/>
      <c r="S24" s="1682"/>
      <c r="T24" s="1682"/>
      <c r="U24" s="1286"/>
      <c r="V24" s="1286"/>
    </row>
    <row r="25" spans="1:22" s="1644" customFormat="1" x14ac:dyDescent="0.2">
      <c r="B25" s="1703"/>
      <c r="C25" s="1703"/>
      <c r="D25" s="1703"/>
      <c r="H25" s="1753"/>
      <c r="I25" s="1753"/>
      <c r="N25" s="1703"/>
      <c r="P25" s="1229"/>
      <c r="Q25" s="1674"/>
      <c r="R25" s="1675"/>
      <c r="S25" s="1675"/>
      <c r="T25" s="1675"/>
      <c r="U25" s="1286"/>
      <c r="V25" s="1286"/>
    </row>
    <row r="26" spans="1:22" s="1644" customFormat="1" x14ac:dyDescent="0.2">
      <c r="A26" s="1644" t="s">
        <v>84</v>
      </c>
      <c r="B26" s="1703" t="s">
        <v>187</v>
      </c>
      <c r="C26" s="1703" t="s">
        <v>187</v>
      </c>
      <c r="D26" s="1703" t="s">
        <v>187</v>
      </c>
      <c r="E26" s="1714">
        <v>684673.47454911785</v>
      </c>
      <c r="F26" s="1714">
        <v>1107077.2099998277</v>
      </c>
      <c r="G26" s="1714">
        <v>790643</v>
      </c>
      <c r="H26" s="1755">
        <f>G26/G21*H21</f>
        <v>812849.85884154693</v>
      </c>
      <c r="I26" s="1755">
        <f>G26/G21*I21</f>
        <v>273573.92819424113</v>
      </c>
      <c r="J26" s="1755">
        <f>H26/H21*J21</f>
        <v>568978.25151262642</v>
      </c>
      <c r="K26" s="1727">
        <v>690839.54346247495</v>
      </c>
      <c r="L26" s="1727">
        <v>819883.8235456472</v>
      </c>
      <c r="M26" s="1727">
        <v>1011216.886054456</v>
      </c>
      <c r="N26" s="1703" t="s">
        <v>67</v>
      </c>
      <c r="P26" s="1229"/>
      <c r="Q26" s="1674"/>
      <c r="R26" s="1674"/>
      <c r="S26" s="1674"/>
      <c r="T26" s="1674"/>
      <c r="U26" s="1286"/>
      <c r="V26" s="1286"/>
    </row>
    <row r="27" spans="1:22" s="1644" customFormat="1" x14ac:dyDescent="0.2">
      <c r="A27" s="1644" t="s">
        <v>85</v>
      </c>
      <c r="B27" s="1703" t="s">
        <v>187</v>
      </c>
      <c r="C27" s="1703" t="s">
        <v>187</v>
      </c>
      <c r="D27" s="1703" t="s">
        <v>187</v>
      </c>
      <c r="E27" s="1732">
        <f t="shared" ref="E27:M27" si="3">SUM(E26/E15)</f>
        <v>2.1769045753271321</v>
      </c>
      <c r="F27" s="1732">
        <f t="shared" si="3"/>
        <v>2.5166691217819861</v>
      </c>
      <c r="G27" s="1732">
        <f t="shared" si="3"/>
        <v>1.0273668043171489</v>
      </c>
      <c r="H27" s="1756">
        <f t="shared" si="3"/>
        <v>1.3547497647359115</v>
      </c>
      <c r="I27" s="1756">
        <f t="shared" si="3"/>
        <v>1.1752568034532522</v>
      </c>
      <c r="J27" s="1732">
        <f t="shared" si="3"/>
        <v>1.1752568034532522</v>
      </c>
      <c r="K27" s="1732">
        <f t="shared" si="3"/>
        <v>1.0628300668653461</v>
      </c>
      <c r="L27" s="1732">
        <f t="shared" si="3"/>
        <v>1.0647841864229184</v>
      </c>
      <c r="M27" s="1732">
        <f t="shared" si="3"/>
        <v>1.0769082918577806</v>
      </c>
      <c r="N27" s="1703" t="s">
        <v>68</v>
      </c>
      <c r="P27" s="1229"/>
      <c r="Q27" s="1674"/>
      <c r="R27" s="1678"/>
      <c r="S27" s="1674"/>
      <c r="T27" s="1678"/>
      <c r="U27" s="1286"/>
      <c r="V27" s="1286"/>
    </row>
    <row r="28" spans="1:22" s="1644" customFormat="1" x14ac:dyDescent="0.2">
      <c r="A28" s="1644" t="s">
        <v>63</v>
      </c>
      <c r="B28" s="1703" t="s">
        <v>187</v>
      </c>
      <c r="C28" s="1703" t="s">
        <v>187</v>
      </c>
      <c r="D28" s="1703" t="s">
        <v>187</v>
      </c>
      <c r="E28" s="1753">
        <v>326</v>
      </c>
      <c r="F28" s="1753">
        <v>206</v>
      </c>
      <c r="G28" s="1753">
        <v>235</v>
      </c>
      <c r="H28" s="1751">
        <v>250</v>
      </c>
      <c r="I28" s="1751">
        <v>211</v>
      </c>
      <c r="J28" s="1751">
        <f>I28/I15*J15</f>
        <v>438.83717963037742</v>
      </c>
      <c r="K28" s="1727">
        <v>286</v>
      </c>
      <c r="L28" s="1727">
        <v>335</v>
      </c>
      <c r="M28" s="1727">
        <v>405</v>
      </c>
      <c r="N28" s="1703" t="s">
        <v>69</v>
      </c>
      <c r="P28" s="1229"/>
      <c r="Q28" s="1674"/>
      <c r="R28" s="1678"/>
      <c r="S28" s="1678"/>
      <c r="T28" s="1678"/>
      <c r="U28" s="1286"/>
      <c r="V28" s="1286"/>
    </row>
    <row r="29" spans="1:22" s="1644" customFormat="1" x14ac:dyDescent="0.2">
      <c r="A29" s="1644" t="s">
        <v>74</v>
      </c>
      <c r="B29" s="1703" t="s">
        <v>187</v>
      </c>
      <c r="C29" s="1703" t="s">
        <v>187</v>
      </c>
      <c r="D29" s="1703" t="s">
        <v>187</v>
      </c>
      <c r="E29" s="1757">
        <f t="shared" ref="E29:J29" si="4">E21/E28</f>
        <v>2399.3680981595094</v>
      </c>
      <c r="F29" s="1757">
        <f t="shared" si="4"/>
        <v>5096.038834951456</v>
      </c>
      <c r="G29" s="1757">
        <f t="shared" si="4"/>
        <v>5079.1872340425534</v>
      </c>
      <c r="H29" s="1751">
        <f t="shared" si="4"/>
        <v>4908.5360000000001</v>
      </c>
      <c r="I29" s="1751">
        <f t="shared" si="4"/>
        <v>1957.3744075829384</v>
      </c>
      <c r="J29" s="1757">
        <f t="shared" si="4"/>
        <v>1957.3744075829384</v>
      </c>
      <c r="K29" s="1734">
        <f>SUM(K21/K28)</f>
        <v>4696.9429098401606</v>
      </c>
      <c r="L29" s="1734">
        <f>SUM(L21/L28)</f>
        <v>4612.4522819150998</v>
      </c>
      <c r="M29" s="1734">
        <f>SUM(M21/M28)</f>
        <v>4560.8058682058681</v>
      </c>
      <c r="N29" s="1703" t="s">
        <v>70</v>
      </c>
      <c r="P29" s="1229"/>
      <c r="Q29" s="1674"/>
      <c r="R29" s="1675"/>
      <c r="S29" s="1675"/>
      <c r="T29" s="1675"/>
      <c r="U29" s="1286"/>
      <c r="V29" s="1286"/>
    </row>
    <row r="30" spans="1:22" s="1644" customFormat="1" x14ac:dyDescent="0.2">
      <c r="A30" s="1644" t="s">
        <v>71</v>
      </c>
      <c r="B30" s="1703" t="s">
        <v>187</v>
      </c>
      <c r="C30" s="1703" t="s">
        <v>187</v>
      </c>
      <c r="D30" s="1703" t="s">
        <v>187</v>
      </c>
      <c r="E30" s="1706">
        <f t="shared" ref="E30:J30" si="5">E15/E28</f>
        <v>964.77604294478522</v>
      </c>
      <c r="F30" s="1706">
        <f t="shared" si="5"/>
        <v>2135.4262135922331</v>
      </c>
      <c r="G30" s="1706">
        <f t="shared" si="5"/>
        <v>3274.8170212765958</v>
      </c>
      <c r="H30" s="1755">
        <f t="shared" si="5"/>
        <v>2400</v>
      </c>
      <c r="I30" s="1755">
        <f t="shared" si="5"/>
        <v>1103.2132701421801</v>
      </c>
      <c r="J30" s="1706">
        <f t="shared" si="5"/>
        <v>1103.2132701421801</v>
      </c>
      <c r="K30" s="1714">
        <f>SUM(K15/K28)</f>
        <v>2272.7272727272725</v>
      </c>
      <c r="L30" s="1714">
        <f>SUM(L15/L28)</f>
        <v>2298.5074626865671</v>
      </c>
      <c r="M30" s="1714">
        <f>SUM(M15/M28)</f>
        <v>2318.5185185185187</v>
      </c>
      <c r="N30" s="1703" t="s">
        <v>72</v>
      </c>
      <c r="P30" s="1229"/>
      <c r="Q30" s="1674"/>
      <c r="R30" s="1675"/>
      <c r="S30" s="1675"/>
      <c r="T30" s="1675"/>
      <c r="U30" s="1286"/>
      <c r="V30" s="1286"/>
    </row>
    <row r="31" spans="1:22" s="1644" customFormat="1" x14ac:dyDescent="0.2">
      <c r="A31" s="1644" t="s">
        <v>62</v>
      </c>
      <c r="B31" s="1703" t="s">
        <v>187</v>
      </c>
      <c r="C31" s="1703" t="s">
        <v>187</v>
      </c>
      <c r="D31" s="1703" t="s">
        <v>187</v>
      </c>
      <c r="E31" s="1706">
        <f t="shared" ref="E31:J31" si="6">E26/E28</f>
        <v>2100.2253820525088</v>
      </c>
      <c r="F31" s="1706">
        <f t="shared" si="6"/>
        <v>5374.1612135913965</v>
      </c>
      <c r="G31" s="1706">
        <f t="shared" si="6"/>
        <v>3364.4382978723406</v>
      </c>
      <c r="H31" s="1755">
        <f t="shared" si="6"/>
        <v>3251.3994353661878</v>
      </c>
      <c r="I31" s="1755">
        <f t="shared" si="6"/>
        <v>1296.5589013945078</v>
      </c>
      <c r="J31" s="1706">
        <f t="shared" si="6"/>
        <v>1296.5589013945078</v>
      </c>
      <c r="K31" s="1714">
        <f>SUM(K26/K28)</f>
        <v>2415.5228792394228</v>
      </c>
      <c r="L31" s="1714">
        <f>SUM(L26/L28)</f>
        <v>2447.414398643723</v>
      </c>
      <c r="M31" s="1714">
        <f>SUM(M26/M28)</f>
        <v>2496.8318174184101</v>
      </c>
      <c r="N31" s="1703" t="s">
        <v>73</v>
      </c>
      <c r="P31" s="1286"/>
      <c r="Q31" s="1286"/>
      <c r="R31" s="1286"/>
      <c r="S31" s="1286"/>
      <c r="T31" s="1286"/>
      <c r="U31" s="1286"/>
      <c r="V31" s="1286"/>
    </row>
    <row r="32" spans="1:22" s="1644" customFormat="1" ht="13.5" x14ac:dyDescent="0.2">
      <c r="A32" s="1638" t="s">
        <v>450</v>
      </c>
      <c r="B32" s="1703" t="s">
        <v>187</v>
      </c>
      <c r="C32" s="1703" t="s">
        <v>187</v>
      </c>
      <c r="D32" s="1703" t="s">
        <v>187</v>
      </c>
      <c r="E32" s="1758">
        <f>E12/E21</f>
        <v>0.34141018724255107</v>
      </c>
      <c r="F32" s="1758">
        <f t="shared" ref="F32:M32" si="7">F12/F21</f>
        <v>0.40250303872034626</v>
      </c>
      <c r="G32" s="1758">
        <f t="shared" si="7"/>
        <v>0.63680568762467438</v>
      </c>
      <c r="H32" s="1758">
        <f t="shared" si="7"/>
        <v>0.40198951377763148</v>
      </c>
      <c r="I32" s="1758">
        <f t="shared" si="7"/>
        <v>0.52024910049732931</v>
      </c>
      <c r="J32" s="1758">
        <f t="shared" si="7"/>
        <v>0.53373658312033057</v>
      </c>
      <c r="K32" s="1758">
        <f t="shared" si="7"/>
        <v>0.43592184092986508</v>
      </c>
      <c r="L32" s="1758">
        <f t="shared" si="7"/>
        <v>0.44894239475460956</v>
      </c>
      <c r="M32" s="1758">
        <f t="shared" si="7"/>
        <v>0.45797900495927224</v>
      </c>
      <c r="N32" s="1639" t="s">
        <v>451</v>
      </c>
      <c r="O32" s="1683"/>
      <c r="P32" s="1674"/>
      <c r="Q32" s="1674"/>
      <c r="R32" s="1674"/>
      <c r="S32" s="1286"/>
    </row>
    <row r="33" spans="1:20" s="1644" customFormat="1" ht="13.5" x14ac:dyDescent="0.2">
      <c r="A33" s="1638" t="s">
        <v>452</v>
      </c>
      <c r="B33" s="1703" t="s">
        <v>187</v>
      </c>
      <c r="C33" s="1703" t="s">
        <v>187</v>
      </c>
      <c r="D33" s="1703" t="s">
        <v>187</v>
      </c>
      <c r="E33" s="1758">
        <f>E13/E21</f>
        <v>5.5981636269263127E-3</v>
      </c>
      <c r="F33" s="1758">
        <f t="shared" ref="F33:M33" si="8">F13/F21</f>
        <v>3.0222788687958662E-3</v>
      </c>
      <c r="G33" s="1758">
        <f t="shared" si="8"/>
        <v>1.1511307304150689E-3</v>
      </c>
      <c r="H33" s="1758">
        <f t="shared" si="8"/>
        <v>9.371429689015217E-3</v>
      </c>
      <c r="I33" s="1758">
        <f t="shared" si="8"/>
        <v>1.6687408899628577E-2</v>
      </c>
      <c r="J33" s="1758">
        <f t="shared" si="8"/>
        <v>1.1616256113087987E-2</v>
      </c>
      <c r="K33" s="1758">
        <f t="shared" si="8"/>
        <v>5.1290615094423016E-3</v>
      </c>
      <c r="L33" s="1758">
        <f t="shared" si="8"/>
        <v>5.2822614989442348E-3</v>
      </c>
      <c r="M33" s="1758">
        <f t="shared" si="8"/>
        <v>5.3885863609371577E-3</v>
      </c>
      <c r="N33" s="1639" t="s">
        <v>453</v>
      </c>
      <c r="O33" s="1683"/>
      <c r="P33" s="1674"/>
      <c r="Q33" s="1674"/>
      <c r="R33" s="1674"/>
      <c r="S33" s="1286"/>
    </row>
    <row r="34" spans="1:20" s="1644" customFormat="1" x14ac:dyDescent="0.2">
      <c r="A34" s="1704"/>
      <c r="B34" s="1735"/>
      <c r="C34" s="1736"/>
      <c r="D34" s="1736"/>
      <c r="H34" s="1727"/>
      <c r="I34" s="1737"/>
      <c r="J34" s="1703"/>
      <c r="K34" s="1703"/>
      <c r="L34" s="1703"/>
      <c r="M34" s="1703"/>
      <c r="N34" s="1229"/>
      <c r="O34" s="1229"/>
      <c r="P34" s="1674"/>
      <c r="Q34" s="1675"/>
      <c r="R34" s="1675"/>
      <c r="S34" s="1675"/>
      <c r="T34" s="1286"/>
    </row>
    <row r="35" spans="1:20" s="1644" customFormat="1" x14ac:dyDescent="0.2">
      <c r="A35" s="1738" t="s">
        <v>194</v>
      </c>
      <c r="B35" s="1739"/>
      <c r="C35" s="1286"/>
      <c r="H35" s="1714"/>
      <c r="J35" s="1703"/>
      <c r="K35" s="1703"/>
      <c r="L35" s="1703"/>
      <c r="M35" s="1703"/>
      <c r="N35" s="1229"/>
      <c r="O35" s="1229"/>
      <c r="P35" s="1674"/>
      <c r="Q35" s="1675"/>
      <c r="R35" s="1675"/>
      <c r="S35" s="1675"/>
      <c r="T35" s="1286"/>
    </row>
    <row r="36" spans="1:20" s="1644" customFormat="1" x14ac:dyDescent="0.2">
      <c r="A36" s="1738"/>
      <c r="J36" s="1703"/>
      <c r="K36" s="1703"/>
      <c r="L36" s="1703"/>
      <c r="M36" s="1703"/>
    </row>
    <row r="37" spans="1:20" s="1644" customFormat="1" x14ac:dyDescent="0.2">
      <c r="A37" s="1687" t="s">
        <v>185</v>
      </c>
      <c r="B37" s="1736" t="s">
        <v>1</v>
      </c>
      <c r="C37" s="1736" t="s">
        <v>186</v>
      </c>
      <c r="D37" s="1736" t="s">
        <v>18</v>
      </c>
      <c r="J37" s="1703"/>
      <c r="K37" s="1703"/>
      <c r="L37" s="1703"/>
      <c r="M37" s="1703"/>
    </row>
    <row r="38" spans="1:20" s="1644" customFormat="1" x14ac:dyDescent="0.2">
      <c r="A38" s="1742">
        <v>2006</v>
      </c>
      <c r="B38" s="1703" t="s">
        <v>187</v>
      </c>
      <c r="C38" s="1703" t="s">
        <v>187</v>
      </c>
      <c r="D38" s="1741" t="str">
        <f t="shared" ref="D38:D48" si="9">IF(ISERROR(C38/B38),"-",(C38/B38))</f>
        <v>-</v>
      </c>
      <c r="J38" s="1703"/>
      <c r="K38" s="1703"/>
      <c r="L38" s="1703"/>
      <c r="M38" s="1703"/>
    </row>
    <row r="39" spans="1:20" s="1644" customFormat="1" x14ac:dyDescent="0.2">
      <c r="A39" s="1742">
        <v>2007</v>
      </c>
      <c r="B39" s="1703" t="s">
        <v>187</v>
      </c>
      <c r="C39" s="1703" t="s">
        <v>187</v>
      </c>
      <c r="D39" s="1741" t="str">
        <f t="shared" si="9"/>
        <v>-</v>
      </c>
      <c r="J39" s="1703"/>
      <c r="K39" s="1703"/>
      <c r="L39" s="1703"/>
      <c r="M39" s="1703"/>
    </row>
    <row r="40" spans="1:20" s="1644" customFormat="1" x14ac:dyDescent="0.2">
      <c r="A40" s="1742">
        <v>2008</v>
      </c>
      <c r="B40" s="1703" t="s">
        <v>187</v>
      </c>
      <c r="C40" s="1703" t="s">
        <v>187</v>
      </c>
      <c r="D40" s="1741" t="str">
        <f t="shared" si="9"/>
        <v>-</v>
      </c>
      <c r="J40" s="1703"/>
      <c r="K40" s="1703"/>
      <c r="L40" s="1703"/>
      <c r="M40" s="1703"/>
    </row>
    <row r="41" spans="1:20" s="1644" customFormat="1" x14ac:dyDescent="0.2">
      <c r="A41" s="1742">
        <v>2009</v>
      </c>
      <c r="B41" s="1717">
        <v>250000</v>
      </c>
      <c r="C41" s="1706">
        <v>314517</v>
      </c>
      <c r="D41" s="1741">
        <f t="shared" si="9"/>
        <v>1.258068</v>
      </c>
      <c r="J41" s="1703"/>
      <c r="K41" s="1703"/>
      <c r="L41" s="1703"/>
      <c r="M41" s="1703"/>
    </row>
    <row r="42" spans="1:20" s="1644" customFormat="1" x14ac:dyDescent="0.2">
      <c r="A42" s="1742">
        <v>2010</v>
      </c>
      <c r="B42" s="1717">
        <v>250000</v>
      </c>
      <c r="C42" s="1706">
        <v>439897.8</v>
      </c>
      <c r="D42" s="1741">
        <f t="shared" si="9"/>
        <v>1.7595912</v>
      </c>
      <c r="J42" s="1703"/>
      <c r="K42" s="1703"/>
      <c r="L42" s="1703"/>
      <c r="M42" s="1703"/>
    </row>
    <row r="43" spans="1:20" s="1644" customFormat="1" x14ac:dyDescent="0.2">
      <c r="A43" s="1742">
        <v>2011</v>
      </c>
      <c r="B43" s="1740">
        <v>700000</v>
      </c>
      <c r="C43" s="1759">
        <f>G15</f>
        <v>769582</v>
      </c>
      <c r="D43" s="1741">
        <f t="shared" si="9"/>
        <v>1.0994028571428571</v>
      </c>
      <c r="J43" s="1703"/>
      <c r="K43" s="1703"/>
      <c r="L43" s="1703"/>
      <c r="M43" s="1703"/>
    </row>
    <row r="44" spans="1:20" s="1644" customFormat="1" x14ac:dyDescent="0.2">
      <c r="A44" s="1742" t="s">
        <v>319</v>
      </c>
      <c r="B44" s="1717">
        <f>H15</f>
        <v>600000</v>
      </c>
      <c r="C44" s="1740">
        <f>H15</f>
        <v>600000</v>
      </c>
      <c r="D44" s="1741">
        <f t="shared" si="9"/>
        <v>1</v>
      </c>
      <c r="J44" s="1703"/>
      <c r="K44" s="1703"/>
      <c r="L44" s="1703"/>
      <c r="M44" s="1703"/>
    </row>
    <row r="45" spans="1:20" s="1644" customFormat="1" x14ac:dyDescent="0.2">
      <c r="A45" s="1742" t="s">
        <v>318</v>
      </c>
      <c r="B45" s="1760">
        <f>H15</f>
        <v>600000</v>
      </c>
      <c r="C45" s="1760">
        <f>I15</f>
        <v>232778</v>
      </c>
      <c r="D45" s="1741">
        <f t="shared" si="9"/>
        <v>0.38796333333333333</v>
      </c>
      <c r="J45" s="1703"/>
      <c r="K45" s="1703"/>
      <c r="L45" s="1703"/>
      <c r="M45" s="1703"/>
    </row>
    <row r="46" spans="1:20" s="1644" customFormat="1" x14ac:dyDescent="0.2">
      <c r="A46" s="1742">
        <v>2013</v>
      </c>
      <c r="B46" s="1760">
        <f>K15</f>
        <v>650000</v>
      </c>
      <c r="C46" s="1703" t="s">
        <v>187</v>
      </c>
      <c r="D46" s="1741" t="str">
        <f t="shared" si="9"/>
        <v>-</v>
      </c>
      <c r="J46" s="1703"/>
      <c r="K46" s="1703"/>
      <c r="L46" s="1703"/>
      <c r="M46" s="1703"/>
    </row>
    <row r="47" spans="1:20" s="1644" customFormat="1" x14ac:dyDescent="0.2">
      <c r="A47" s="1742">
        <v>2014</v>
      </c>
      <c r="B47" s="1760">
        <f>L15</f>
        <v>770000</v>
      </c>
      <c r="C47" s="1703" t="s">
        <v>187</v>
      </c>
      <c r="D47" s="1741" t="str">
        <f t="shared" si="9"/>
        <v>-</v>
      </c>
      <c r="J47" s="1703"/>
      <c r="K47" s="1703"/>
      <c r="L47" s="1703"/>
      <c r="M47" s="1703"/>
    </row>
    <row r="48" spans="1:20" s="1644" customFormat="1" x14ac:dyDescent="0.2">
      <c r="A48" s="1742">
        <v>2015</v>
      </c>
      <c r="B48" s="1760">
        <f>M15</f>
        <v>939000</v>
      </c>
      <c r="C48" s="1703" t="s">
        <v>187</v>
      </c>
      <c r="D48" s="1741" t="str">
        <f t="shared" si="9"/>
        <v>-</v>
      </c>
      <c r="J48" s="1703"/>
      <c r="K48" s="1703"/>
      <c r="L48" s="1703"/>
      <c r="M48" s="1703"/>
    </row>
    <row r="49" spans="1:13" s="1644" customFormat="1" x14ac:dyDescent="0.2">
      <c r="A49" s="1742"/>
      <c r="B49" s="1703"/>
      <c r="C49" s="1703"/>
      <c r="D49" s="1703"/>
      <c r="J49" s="1703"/>
      <c r="K49" s="1703"/>
      <c r="L49" s="1703"/>
      <c r="M49" s="1703"/>
    </row>
    <row r="50" spans="1:13" s="1644" customFormat="1" x14ac:dyDescent="0.2">
      <c r="A50" s="1743" t="s">
        <v>193</v>
      </c>
      <c r="B50" s="1703"/>
      <c r="C50" s="1703"/>
      <c r="D50" s="1703"/>
      <c r="J50" s="1703"/>
      <c r="K50" s="1703"/>
      <c r="L50" s="1703"/>
      <c r="M50" s="1703"/>
    </row>
    <row r="51" spans="1:13" s="1644" customFormat="1" x14ac:dyDescent="0.2">
      <c r="A51" s="1742" t="s">
        <v>185</v>
      </c>
      <c r="B51" s="1736" t="s">
        <v>188</v>
      </c>
      <c r="C51" s="1736" t="s">
        <v>186</v>
      </c>
      <c r="D51" s="1736" t="s">
        <v>189</v>
      </c>
      <c r="J51" s="1703"/>
      <c r="K51" s="1703"/>
      <c r="L51" s="1703"/>
      <c r="M51" s="1703"/>
    </row>
    <row r="52" spans="1:13" s="1644" customFormat="1" x14ac:dyDescent="0.2">
      <c r="A52" s="1742">
        <v>2006</v>
      </c>
      <c r="B52" s="1703" t="s">
        <v>187</v>
      </c>
      <c r="C52" s="1761" t="s">
        <v>187</v>
      </c>
      <c r="D52" s="1741" t="str">
        <f>IF(ISERROR(C52/B52),"-",(C52/B52))</f>
        <v>-</v>
      </c>
      <c r="J52" s="1703"/>
      <c r="K52" s="1703"/>
      <c r="L52" s="1703"/>
      <c r="M52" s="1703"/>
    </row>
    <row r="53" spans="1:13" s="1644" customFormat="1" x14ac:dyDescent="0.2">
      <c r="A53" s="1742">
        <v>2007</v>
      </c>
      <c r="B53" s="1703" t="s">
        <v>187</v>
      </c>
      <c r="C53" s="1761" t="s">
        <v>187</v>
      </c>
      <c r="D53" s="1741" t="str">
        <f>IF(ISERROR(C53/B53),"-",(C53/B53))</f>
        <v>-</v>
      </c>
      <c r="J53" s="1703"/>
      <c r="K53" s="1703"/>
      <c r="L53" s="1703"/>
      <c r="M53" s="1703"/>
    </row>
    <row r="54" spans="1:13" s="1644" customFormat="1" x14ac:dyDescent="0.2">
      <c r="A54" s="1742">
        <v>2008</v>
      </c>
      <c r="B54" s="1703" t="s">
        <v>187</v>
      </c>
      <c r="C54" s="1761" t="s">
        <v>187</v>
      </c>
      <c r="D54" s="1741" t="str">
        <f>IF(ISERROR(C54/B54),"-",(C54/B54))</f>
        <v>-</v>
      </c>
      <c r="J54" s="1703"/>
      <c r="K54" s="1703"/>
      <c r="L54" s="1703"/>
      <c r="M54" s="1703"/>
    </row>
    <row r="55" spans="1:13" s="1644" customFormat="1" x14ac:dyDescent="0.2">
      <c r="A55" s="1742">
        <v>2009</v>
      </c>
      <c r="B55" s="1761">
        <v>150</v>
      </c>
      <c r="C55" s="1761">
        <v>326</v>
      </c>
      <c r="D55" s="1741">
        <f>IF(ISERROR(C55/B55),"-",(C55/B55))</f>
        <v>2.1733333333333333</v>
      </c>
      <c r="J55" s="1703"/>
      <c r="K55" s="1703"/>
      <c r="L55" s="1703"/>
      <c r="M55" s="1703"/>
    </row>
    <row r="56" spans="1:13" s="1644" customFormat="1" x14ac:dyDescent="0.2">
      <c r="A56" s="1742">
        <v>2010</v>
      </c>
      <c r="B56" s="1761">
        <v>101</v>
      </c>
      <c r="C56" s="1761">
        <v>206</v>
      </c>
      <c r="D56" s="1741">
        <f>IF(ISERROR(C56/B56),"-",(C56/B56))</f>
        <v>2.0396039603960396</v>
      </c>
      <c r="J56" s="1703"/>
      <c r="K56" s="1703"/>
      <c r="L56" s="1703"/>
      <c r="M56" s="1703"/>
    </row>
    <row r="57" spans="1:13" s="1644" customFormat="1" x14ac:dyDescent="0.2">
      <c r="A57" s="1742">
        <v>2011</v>
      </c>
      <c r="B57" s="1761">
        <v>95</v>
      </c>
      <c r="C57" s="1761">
        <f>G28</f>
        <v>235</v>
      </c>
      <c r="D57" s="1741">
        <f t="shared" ref="D57:D62" si="10">IF(ISERROR(C57/B57),"-",(C57/B57))</f>
        <v>2.4736842105263159</v>
      </c>
      <c r="J57" s="1703"/>
      <c r="K57" s="1703"/>
      <c r="L57" s="1703"/>
      <c r="M57" s="1703"/>
    </row>
    <row r="58" spans="1:13" s="1644" customFormat="1" x14ac:dyDescent="0.2">
      <c r="A58" s="1742" t="s">
        <v>319</v>
      </c>
      <c r="B58" s="1761">
        <f>H28</f>
        <v>250</v>
      </c>
      <c r="C58" s="1762">
        <f>I28</f>
        <v>211</v>
      </c>
      <c r="D58" s="1741">
        <f t="shared" si="10"/>
        <v>0.84399999999999997</v>
      </c>
      <c r="J58" s="1703"/>
      <c r="K58" s="1703"/>
      <c r="L58" s="1703"/>
      <c r="M58" s="1703"/>
    </row>
    <row r="59" spans="1:13" s="1644" customFormat="1" x14ac:dyDescent="0.2">
      <c r="A59" s="1742" t="s">
        <v>318</v>
      </c>
      <c r="B59" s="1761">
        <f>H28</f>
        <v>250</v>
      </c>
      <c r="C59" s="1762">
        <f>J28</f>
        <v>438.83717963037742</v>
      </c>
      <c r="D59" s="1741">
        <f t="shared" si="10"/>
        <v>1.7553487185215098</v>
      </c>
      <c r="J59" s="1703"/>
      <c r="K59" s="1703"/>
      <c r="L59" s="1703"/>
      <c r="M59" s="1703"/>
    </row>
    <row r="60" spans="1:13" s="1644" customFormat="1" x14ac:dyDescent="0.2">
      <c r="A60" s="1742">
        <v>2013</v>
      </c>
      <c r="B60" s="1763">
        <f>K28</f>
        <v>286</v>
      </c>
      <c r="C60" s="1761" t="s">
        <v>187</v>
      </c>
      <c r="D60" s="1741" t="str">
        <f t="shared" si="10"/>
        <v>-</v>
      </c>
      <c r="J60" s="1703"/>
      <c r="K60" s="1703"/>
      <c r="L60" s="1703"/>
      <c r="M60" s="1703"/>
    </row>
    <row r="61" spans="1:13" s="1644" customFormat="1" x14ac:dyDescent="0.2">
      <c r="A61" s="1742">
        <v>2014</v>
      </c>
      <c r="B61" s="1763">
        <f>L28</f>
        <v>335</v>
      </c>
      <c r="C61" s="1761" t="s">
        <v>187</v>
      </c>
      <c r="D61" s="1741" t="str">
        <f t="shared" si="10"/>
        <v>-</v>
      </c>
      <c r="J61" s="1703"/>
      <c r="K61" s="1703"/>
      <c r="L61" s="1703"/>
      <c r="M61" s="1703"/>
    </row>
    <row r="62" spans="1:13" s="1644" customFormat="1" x14ac:dyDescent="0.2">
      <c r="A62" s="1742">
        <v>2015</v>
      </c>
      <c r="B62" s="1763">
        <f>M28</f>
        <v>405</v>
      </c>
      <c r="C62" s="1761" t="s">
        <v>187</v>
      </c>
      <c r="D62" s="1741" t="str">
        <f t="shared" si="10"/>
        <v>-</v>
      </c>
      <c r="J62" s="1703"/>
      <c r="K62" s="1703"/>
      <c r="L62" s="1703"/>
      <c r="M62" s="1703"/>
    </row>
    <row r="63" spans="1:13" s="1644" customFormat="1" x14ac:dyDescent="0.2">
      <c r="C63" s="1764"/>
      <c r="J63" s="1703"/>
      <c r="K63" s="1703"/>
      <c r="L63" s="1703"/>
      <c r="M63" s="1703"/>
    </row>
    <row r="64" spans="1:13" s="1644" customFormat="1" x14ac:dyDescent="0.2">
      <c r="A64" s="1743" t="s">
        <v>191</v>
      </c>
      <c r="J64" s="1703"/>
      <c r="K64" s="1703"/>
      <c r="L64" s="1703"/>
      <c r="M64" s="1703"/>
    </row>
    <row r="65" spans="1:14" s="1644" customFormat="1" x14ac:dyDescent="0.2">
      <c r="A65" s="1742" t="s">
        <v>185</v>
      </c>
      <c r="B65" s="1736" t="s">
        <v>188</v>
      </c>
      <c r="C65" s="1736" t="s">
        <v>186</v>
      </c>
      <c r="D65" s="1736" t="s">
        <v>189</v>
      </c>
      <c r="J65" s="1703"/>
      <c r="K65" s="1703"/>
      <c r="L65" s="1703"/>
      <c r="M65" s="1703"/>
    </row>
    <row r="66" spans="1:14" s="1644" customFormat="1" x14ac:dyDescent="0.2">
      <c r="A66" s="1742">
        <v>2006</v>
      </c>
      <c r="B66" s="1761" t="s">
        <v>187</v>
      </c>
      <c r="C66" s="1703" t="s">
        <v>187</v>
      </c>
      <c r="D66" s="1741" t="str">
        <f>IF(ISERROR(C66/B66),"-",(C66/B66))</f>
        <v>-</v>
      </c>
      <c r="J66" s="1703"/>
      <c r="K66" s="1703"/>
      <c r="L66" s="1703"/>
      <c r="M66" s="1703"/>
    </row>
    <row r="67" spans="1:14" s="1644" customFormat="1" x14ac:dyDescent="0.2">
      <c r="A67" s="1742">
        <v>2007</v>
      </c>
      <c r="B67" s="1761" t="s">
        <v>187</v>
      </c>
      <c r="C67" s="1703" t="s">
        <v>187</v>
      </c>
      <c r="D67" s="1741" t="str">
        <f>IF(ISERROR(C67/B67),"-",(C67/B67))</f>
        <v>-</v>
      </c>
      <c r="J67" s="1703"/>
      <c r="K67" s="1703"/>
      <c r="L67" s="1703"/>
      <c r="M67" s="1703"/>
    </row>
    <row r="68" spans="1:14" s="1644" customFormat="1" x14ac:dyDescent="0.2">
      <c r="A68" s="1742">
        <v>2008</v>
      </c>
      <c r="B68" s="1761" t="s">
        <v>187</v>
      </c>
      <c r="C68" s="1703" t="s">
        <v>187</v>
      </c>
      <c r="D68" s="1741" t="str">
        <f>IF(ISERROR(C68/B68),"-",(C68/B68))</f>
        <v>-</v>
      </c>
      <c r="J68" s="1703"/>
      <c r="K68" s="1703"/>
      <c r="L68" s="1703"/>
      <c r="M68" s="1703"/>
    </row>
    <row r="69" spans="1:14" s="1644" customFormat="1" x14ac:dyDescent="0.2">
      <c r="A69" s="1742">
        <v>2009</v>
      </c>
      <c r="B69" s="1761">
        <v>37800</v>
      </c>
      <c r="C69" s="1761">
        <v>31287</v>
      </c>
      <c r="D69" s="1741">
        <f>IF(ISERROR(C69/B69),"-",(C69/B69))</f>
        <v>0.82769841269841271</v>
      </c>
      <c r="J69" s="1703"/>
      <c r="K69" s="1703"/>
      <c r="L69" s="1703"/>
      <c r="M69" s="1703"/>
    </row>
    <row r="70" spans="1:14" s="1644" customFormat="1" x14ac:dyDescent="0.2">
      <c r="A70" s="1742">
        <v>2010</v>
      </c>
      <c r="B70" s="1761">
        <v>30194</v>
      </c>
      <c r="C70" s="1761">
        <v>41991</v>
      </c>
      <c r="D70" s="1741">
        <f>IF(ISERROR(C70/B70),"-",(C70/B70))</f>
        <v>1.390706762933033</v>
      </c>
      <c r="J70" s="1703"/>
      <c r="K70" s="1703"/>
      <c r="L70" s="1703"/>
      <c r="M70" s="1703"/>
    </row>
    <row r="71" spans="1:14" s="1644" customFormat="1" x14ac:dyDescent="0.2">
      <c r="A71" s="1687">
        <v>2011</v>
      </c>
      <c r="B71" s="1761">
        <f>B72</f>
        <v>49085</v>
      </c>
      <c r="C71" s="1761">
        <f>G20</f>
        <v>47744</v>
      </c>
      <c r="D71" s="1741">
        <f t="shared" ref="D71:D76" si="11">IF(ISERROR(C71/B71),"-",(C71/B71))</f>
        <v>0.97268004482020987</v>
      </c>
      <c r="J71" s="1703"/>
      <c r="K71" s="1703"/>
      <c r="L71" s="1703"/>
      <c r="M71" s="1703"/>
    </row>
    <row r="72" spans="1:14" s="1644" customFormat="1" x14ac:dyDescent="0.2">
      <c r="A72" s="1742" t="s">
        <v>319</v>
      </c>
      <c r="B72" s="1761">
        <f>H20</f>
        <v>49085</v>
      </c>
      <c r="C72" s="1761">
        <f>I20</f>
        <v>16520</v>
      </c>
      <c r="D72" s="1741">
        <f t="shared" si="11"/>
        <v>0.33655903025364164</v>
      </c>
      <c r="J72" s="1703"/>
      <c r="K72" s="1703"/>
      <c r="L72" s="1703"/>
      <c r="M72" s="1703"/>
    </row>
    <row r="73" spans="1:14" s="1644" customFormat="1" x14ac:dyDescent="0.2">
      <c r="A73" s="1742" t="s">
        <v>318</v>
      </c>
      <c r="B73" s="1761">
        <f>H20</f>
        <v>49085</v>
      </c>
      <c r="C73" s="1761">
        <f>J20</f>
        <v>34358.247428880735</v>
      </c>
      <c r="D73" s="1741">
        <f t="shared" si="11"/>
        <v>0.69997448159072495</v>
      </c>
      <c r="J73" s="1703"/>
      <c r="K73" s="1703"/>
      <c r="L73" s="1703"/>
      <c r="M73" s="1703"/>
    </row>
    <row r="74" spans="1:14" x14ac:dyDescent="0.2">
      <c r="A74" s="1687">
        <v>2013</v>
      </c>
      <c r="B74" s="1745">
        <f>K20</f>
        <v>61490.448728571428</v>
      </c>
      <c r="C74" s="1765" t="s">
        <v>187</v>
      </c>
      <c r="D74" s="1741" t="str">
        <f t="shared" si="11"/>
        <v>-</v>
      </c>
      <c r="E74" s="1188"/>
      <c r="F74" s="1188"/>
      <c r="G74" s="1188"/>
      <c r="H74" s="1644"/>
      <c r="I74" s="1644"/>
      <c r="J74" s="1703"/>
      <c r="K74" s="1703"/>
      <c r="L74" s="1703"/>
      <c r="M74" s="1703"/>
      <c r="N74" s="1644"/>
    </row>
    <row r="75" spans="1:14" x14ac:dyDescent="0.2">
      <c r="A75" s="1687">
        <v>2014</v>
      </c>
      <c r="B75" s="1745">
        <f>M20</f>
        <v>76048.535064935073</v>
      </c>
      <c r="C75" s="1765" t="s">
        <v>187</v>
      </c>
      <c r="D75" s="1741" t="str">
        <f t="shared" si="11"/>
        <v>-</v>
      </c>
      <c r="E75" s="1188"/>
      <c r="F75" s="1188"/>
      <c r="G75" s="1188"/>
      <c r="H75" s="1644"/>
      <c r="I75" s="1644"/>
      <c r="J75" s="1703"/>
      <c r="K75" s="1703"/>
      <c r="L75" s="1703"/>
      <c r="M75" s="1703"/>
      <c r="N75" s="1644"/>
    </row>
    <row r="76" spans="1:14" x14ac:dyDescent="0.2">
      <c r="A76" s="1687">
        <v>2015</v>
      </c>
      <c r="B76" s="1745">
        <f>L20</f>
        <v>66364.653537662336</v>
      </c>
      <c r="C76" s="1765" t="s">
        <v>187</v>
      </c>
      <c r="D76" s="1741" t="str">
        <f t="shared" si="11"/>
        <v>-</v>
      </c>
      <c r="E76" s="1188"/>
      <c r="F76" s="1188"/>
      <c r="G76" s="1188"/>
      <c r="H76" s="1644"/>
      <c r="I76" s="1644"/>
      <c r="J76" s="1703"/>
      <c r="K76" s="1703"/>
      <c r="L76" s="1703"/>
      <c r="M76" s="1703"/>
      <c r="N76" s="1644"/>
    </row>
    <row r="77" spans="1:14" x14ac:dyDescent="0.2">
      <c r="A77" s="1742"/>
      <c r="H77" s="1644"/>
      <c r="I77" s="1644"/>
      <c r="J77" s="1703"/>
      <c r="K77" s="1703"/>
      <c r="L77" s="1703"/>
      <c r="M77" s="1703"/>
      <c r="N77" s="1644"/>
    </row>
    <row r="78" spans="1:14" x14ac:dyDescent="0.2">
      <c r="A78" s="1743" t="s">
        <v>190</v>
      </c>
      <c r="H78" s="1644"/>
      <c r="I78" s="1644"/>
      <c r="J78" s="1703"/>
      <c r="K78" s="1703"/>
      <c r="L78" s="1703"/>
      <c r="M78" s="1703"/>
      <c r="N78" s="1644"/>
    </row>
    <row r="79" spans="1:14" x14ac:dyDescent="0.2">
      <c r="A79" s="1742" t="s">
        <v>185</v>
      </c>
      <c r="B79" s="1736" t="s">
        <v>188</v>
      </c>
      <c r="C79" s="1736" t="s">
        <v>186</v>
      </c>
      <c r="D79" s="1736" t="s">
        <v>189</v>
      </c>
      <c r="H79" s="1644"/>
      <c r="I79" s="1644"/>
      <c r="J79" s="1703"/>
      <c r="K79" s="1703"/>
      <c r="L79" s="1703"/>
      <c r="M79" s="1703"/>
      <c r="N79" s="1644"/>
    </row>
    <row r="80" spans="1:14" x14ac:dyDescent="0.2">
      <c r="A80" s="1742">
        <v>2006</v>
      </c>
      <c r="B80" s="1761" t="s">
        <v>187</v>
      </c>
      <c r="C80" s="1703" t="s">
        <v>187</v>
      </c>
      <c r="D80" s="1741" t="str">
        <f t="shared" ref="D80:D90" si="12">IF(ISERROR(C80/B80),"-",(C80/B80))</f>
        <v>-</v>
      </c>
      <c r="H80" s="1644"/>
      <c r="I80" s="1644"/>
      <c r="J80" s="1703"/>
      <c r="K80" s="1703"/>
      <c r="L80" s="1703"/>
      <c r="M80" s="1703"/>
      <c r="N80" s="1644"/>
    </row>
    <row r="81" spans="1:14" x14ac:dyDescent="0.2">
      <c r="A81" s="1742">
        <v>2007</v>
      </c>
      <c r="B81" s="1761" t="s">
        <v>187</v>
      </c>
      <c r="C81" s="1703" t="s">
        <v>187</v>
      </c>
      <c r="D81" s="1741" t="str">
        <f t="shared" si="12"/>
        <v>-</v>
      </c>
      <c r="H81" s="1644"/>
      <c r="I81" s="1644"/>
      <c r="J81" s="1703"/>
      <c r="K81" s="1703"/>
      <c r="L81" s="1703"/>
      <c r="M81" s="1703"/>
      <c r="N81" s="1644"/>
    </row>
    <row r="82" spans="1:14" x14ac:dyDescent="0.2">
      <c r="A82" s="1742">
        <v>2008</v>
      </c>
      <c r="B82" s="1761" t="s">
        <v>187</v>
      </c>
      <c r="C82" s="1703" t="s">
        <v>187</v>
      </c>
      <c r="D82" s="1741" t="str">
        <f t="shared" si="12"/>
        <v>-</v>
      </c>
      <c r="H82" s="1644"/>
      <c r="I82" s="1644"/>
      <c r="J82" s="1703"/>
      <c r="K82" s="1703"/>
      <c r="L82" s="1703"/>
      <c r="M82" s="1703"/>
      <c r="N82" s="1644"/>
    </row>
    <row r="83" spans="1:14" x14ac:dyDescent="0.2">
      <c r="A83" s="1742">
        <v>2009</v>
      </c>
      <c r="B83" s="1761">
        <v>945000</v>
      </c>
      <c r="C83" s="1761">
        <v>782194</v>
      </c>
      <c r="D83" s="1741">
        <f t="shared" si="12"/>
        <v>0.82771851851851852</v>
      </c>
      <c r="H83" s="1644"/>
      <c r="I83" s="1644"/>
      <c r="J83" s="1703"/>
      <c r="K83" s="1703"/>
      <c r="L83" s="1703"/>
      <c r="M83" s="1703"/>
      <c r="N83" s="1644"/>
    </row>
    <row r="84" spans="1:14" x14ac:dyDescent="0.2">
      <c r="A84" s="1742">
        <v>2010</v>
      </c>
      <c r="B84" s="1761">
        <v>754853</v>
      </c>
      <c r="C84" s="1761">
        <v>1049784</v>
      </c>
      <c r="D84" s="1741">
        <f t="shared" si="12"/>
        <v>1.3907131587209696</v>
      </c>
      <c r="H84" s="1644"/>
      <c r="I84" s="1644"/>
      <c r="J84" s="1703"/>
      <c r="K84" s="1703"/>
      <c r="L84" s="1703"/>
      <c r="M84" s="1703"/>
      <c r="N84" s="1644"/>
    </row>
    <row r="85" spans="1:14" x14ac:dyDescent="0.2">
      <c r="A85" s="1687">
        <v>2011</v>
      </c>
      <c r="B85" s="1761">
        <v>1029259</v>
      </c>
      <c r="C85" s="1761">
        <f>G21</f>
        <v>1193609</v>
      </c>
      <c r="D85" s="1741">
        <f t="shared" si="12"/>
        <v>1.1596779819268037</v>
      </c>
      <c r="H85" s="1644"/>
      <c r="I85" s="1644"/>
      <c r="J85" s="1703"/>
      <c r="K85" s="1703"/>
      <c r="L85" s="1703"/>
      <c r="M85" s="1703"/>
      <c r="N85" s="1644"/>
    </row>
    <row r="86" spans="1:14" x14ac:dyDescent="0.2">
      <c r="A86" s="1742" t="s">
        <v>319</v>
      </c>
      <c r="B86" s="1761">
        <f>H21</f>
        <v>1227134</v>
      </c>
      <c r="C86" s="1761">
        <f>I21</f>
        <v>413006</v>
      </c>
      <c r="D86" s="1741">
        <f t="shared" si="12"/>
        <v>0.33656145131664511</v>
      </c>
      <c r="H86" s="1644"/>
      <c r="I86" s="1644"/>
      <c r="J86" s="1703"/>
      <c r="K86" s="1703"/>
      <c r="L86" s="1703"/>
      <c r="M86" s="1703"/>
      <c r="N86" s="1644"/>
    </row>
    <row r="87" spans="1:14" x14ac:dyDescent="0.2">
      <c r="A87" s="1742" t="s">
        <v>318</v>
      </c>
      <c r="B87" s="1761">
        <f>H21</f>
        <v>1227134</v>
      </c>
      <c r="C87" s="1766">
        <f>J21</f>
        <v>858968.66450437752</v>
      </c>
      <c r="D87" s="1741">
        <f t="shared" si="12"/>
        <v>0.69997951691044136</v>
      </c>
      <c r="H87" s="1644"/>
      <c r="I87" s="1644"/>
      <c r="J87" s="1698"/>
      <c r="K87" s="1703"/>
      <c r="L87" s="1703"/>
      <c r="M87" s="1703"/>
      <c r="N87" s="1644"/>
    </row>
    <row r="88" spans="1:14" x14ac:dyDescent="0.2">
      <c r="A88" s="1687">
        <v>2013</v>
      </c>
      <c r="B88" s="1761">
        <f>K21</f>
        <v>1343325.6722142859</v>
      </c>
      <c r="C88" s="1703" t="s">
        <v>187</v>
      </c>
      <c r="D88" s="1741" t="str">
        <f t="shared" si="12"/>
        <v>-</v>
      </c>
      <c r="H88" s="1644"/>
      <c r="I88" s="1644"/>
      <c r="K88" s="1698"/>
      <c r="L88" s="1698"/>
      <c r="M88" s="1698"/>
      <c r="N88" s="1644"/>
    </row>
    <row r="89" spans="1:14" x14ac:dyDescent="0.2">
      <c r="A89" s="1687">
        <v>2014</v>
      </c>
      <c r="B89" s="1761">
        <f>L21</f>
        <v>1545171.5144415584</v>
      </c>
      <c r="C89" s="1703" t="s">
        <v>187</v>
      </c>
      <c r="D89" s="1741" t="str">
        <f t="shared" si="12"/>
        <v>-</v>
      </c>
      <c r="H89" s="1644"/>
      <c r="I89" s="1644"/>
      <c r="N89" s="1644"/>
    </row>
    <row r="90" spans="1:14" x14ac:dyDescent="0.2">
      <c r="A90" s="1687">
        <v>2015</v>
      </c>
      <c r="B90" s="1761">
        <f>M21</f>
        <v>1847126.3766233767</v>
      </c>
      <c r="C90" s="1703" t="s">
        <v>187</v>
      </c>
      <c r="D90" s="1741" t="str">
        <f t="shared" si="12"/>
        <v>-</v>
      </c>
      <c r="H90" s="1644"/>
      <c r="I90" s="1644"/>
      <c r="N90" s="1644"/>
    </row>
    <row r="91" spans="1:14" x14ac:dyDescent="0.2">
      <c r="H91" s="1644"/>
      <c r="I91" s="1644"/>
      <c r="N91" s="1644"/>
    </row>
    <row r="92" spans="1:14" x14ac:dyDescent="0.2">
      <c r="H92" s="1644"/>
      <c r="I92" s="1644"/>
      <c r="N92" s="1644"/>
    </row>
    <row r="93" spans="1:14" x14ac:dyDescent="0.2">
      <c r="H93" s="1644"/>
      <c r="I93" s="1644"/>
    </row>
    <row r="94" spans="1:14" x14ac:dyDescent="0.2">
      <c r="H94" s="1644"/>
      <c r="I94" s="1644"/>
    </row>
    <row r="95" spans="1:14" x14ac:dyDescent="0.2">
      <c r="H95" s="1644"/>
      <c r="I95" s="1644"/>
    </row>
    <row r="96" spans="1:14"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M1"/>
  </mergeCells>
  <pageMargins left="0.98" right="0.75" top="1.1499999999999999" bottom="1" header="0.5" footer="0.5"/>
  <pageSetup scale="49" orientation="portrait" r:id="rId1"/>
  <headerFooter alignWithMargins="0">
    <oddFooter>&amp;C&amp;1#&amp;"Calibri"&amp;12&amp;K008000Internal Use</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06">
    <tabColor indexed="11"/>
    <pageSetUpPr fitToPage="1"/>
  </sheetPr>
  <dimension ref="A1:T98"/>
  <sheetViews>
    <sheetView topLeftCell="E1" workbookViewId="0">
      <selection activeCell="J57" sqref="J57"/>
    </sheetView>
  </sheetViews>
  <sheetFormatPr defaultRowHeight="12.75" x14ac:dyDescent="0.2"/>
  <cols>
    <col min="1" max="1" width="40.5703125" style="1635" customWidth="1"/>
    <col min="2" max="2" width="11.85546875" style="1635" customWidth="1"/>
    <col min="3" max="3" width="12.85546875" style="1635" customWidth="1"/>
    <col min="4" max="4" width="11.7109375" style="1635" customWidth="1"/>
    <col min="5" max="5" width="11.28515625" style="1635" bestFit="1" customWidth="1"/>
    <col min="6" max="6" width="11.28515625" style="1635" customWidth="1"/>
    <col min="7" max="7" width="12.7109375" style="1635" customWidth="1"/>
    <col min="8" max="8" width="12" style="1188" customWidth="1"/>
    <col min="9" max="9" width="12.42578125" style="1188" customWidth="1"/>
    <col min="10" max="10" width="14" style="1635" customWidth="1"/>
    <col min="11" max="11" width="11.5703125" style="1635" customWidth="1"/>
    <col min="12" max="13" width="12.42578125" style="1635" customWidth="1"/>
    <col min="14" max="14" width="6" style="1635" customWidth="1"/>
    <col min="15" max="15" width="2.42578125" style="1635" customWidth="1"/>
    <col min="16" max="16" width="11.42578125" style="1635" customWidth="1"/>
    <col min="17" max="17" width="10.7109375" style="1635" customWidth="1"/>
    <col min="18" max="18" width="12.28515625" style="1635" customWidth="1"/>
    <col min="19"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197</v>
      </c>
    </row>
    <row r="4" spans="1:15" x14ac:dyDescent="0.2">
      <c r="A4" s="1699"/>
    </row>
    <row r="5" spans="1:15" x14ac:dyDescent="0.2">
      <c r="A5" s="1749"/>
      <c r="H5" s="1702"/>
      <c r="I5" s="1702"/>
      <c r="L5" s="1644"/>
      <c r="M5" s="1644"/>
      <c r="N5" s="1644"/>
    </row>
    <row r="6" spans="1:15"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row>
    <row r="7" spans="1:15"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187</v>
      </c>
      <c r="C9" s="1703" t="s">
        <v>187</v>
      </c>
      <c r="D9" s="1707">
        <v>3346</v>
      </c>
      <c r="E9" s="1707">
        <v>4059</v>
      </c>
      <c r="F9" s="1707">
        <v>2972.02</v>
      </c>
      <c r="G9" s="1707">
        <v>5282.86</v>
      </c>
      <c r="H9" s="1707">
        <v>3500</v>
      </c>
      <c r="I9" s="1707">
        <v>10028</v>
      </c>
      <c r="J9" s="1707">
        <v>15731</v>
      </c>
      <c r="K9" s="1707">
        <v>7466.2239089183904</v>
      </c>
      <c r="L9" s="1707">
        <v>8852.8083491460911</v>
      </c>
      <c r="M9" s="1707">
        <v>10879.354838709654</v>
      </c>
    </row>
    <row r="10" spans="1:15" s="1644" customFormat="1" x14ac:dyDescent="0.2">
      <c r="A10" s="1286" t="s">
        <v>45</v>
      </c>
      <c r="B10" s="1703" t="s">
        <v>187</v>
      </c>
      <c r="C10" s="1703" t="s">
        <v>187</v>
      </c>
      <c r="D10" s="1707">
        <v>8322</v>
      </c>
      <c r="E10" s="1707">
        <v>6568</v>
      </c>
      <c r="F10" s="1707">
        <v>2843.86</v>
      </c>
      <c r="G10" s="1707">
        <v>4472.12</v>
      </c>
      <c r="H10" s="1707">
        <v>4100</v>
      </c>
      <c r="I10" s="1707">
        <v>7034</v>
      </c>
      <c r="J10" s="1707">
        <v>11455</v>
      </c>
      <c r="K10" s="1707">
        <v>1530.8349146110058</v>
      </c>
      <c r="L10" s="1707">
        <v>1815.1328273244783</v>
      </c>
      <c r="M10" s="1707">
        <v>2230.6451612903224</v>
      </c>
      <c r="N10" s="1709"/>
    </row>
    <row r="11" spans="1:15" s="1644" customFormat="1" x14ac:dyDescent="0.2">
      <c r="A11" s="1286" t="s">
        <v>202</v>
      </c>
      <c r="B11" s="1703" t="s">
        <v>187</v>
      </c>
      <c r="C11" s="1703" t="s">
        <v>187</v>
      </c>
      <c r="D11" s="1707">
        <v>0</v>
      </c>
      <c r="E11" s="1707">
        <v>0</v>
      </c>
      <c r="F11" s="1707">
        <v>0</v>
      </c>
      <c r="G11" s="1707">
        <v>0</v>
      </c>
      <c r="H11" s="1707">
        <v>256</v>
      </c>
      <c r="I11" s="1707">
        <v>0</v>
      </c>
      <c r="J11" s="1707">
        <v>0</v>
      </c>
      <c r="K11" s="1707">
        <v>332.06831119544592</v>
      </c>
      <c r="L11" s="1707">
        <v>393.73814041745726</v>
      </c>
      <c r="M11" s="1707">
        <v>483.87096774193549</v>
      </c>
    </row>
    <row r="12" spans="1:15" s="1644" customFormat="1" x14ac:dyDescent="0.2">
      <c r="A12" s="1286" t="s">
        <v>2</v>
      </c>
      <c r="B12" s="1703" t="s">
        <v>187</v>
      </c>
      <c r="C12" s="1703" t="s">
        <v>187</v>
      </c>
      <c r="D12" s="1707">
        <v>49728</v>
      </c>
      <c r="E12" s="1707">
        <v>92196</v>
      </c>
      <c r="F12" s="1707">
        <v>50786.400000000001</v>
      </c>
      <c r="G12" s="1707">
        <v>37198.01</v>
      </c>
      <c r="H12" s="1707">
        <v>56917</v>
      </c>
      <c r="I12" s="1707">
        <v>26711</v>
      </c>
      <c r="J12" s="1707">
        <v>40984</v>
      </c>
      <c r="K12" s="1707">
        <v>58558.918406072124</v>
      </c>
      <c r="L12" s="1707">
        <v>69434.146110056943</v>
      </c>
      <c r="M12" s="1707">
        <v>85328.709677419378</v>
      </c>
    </row>
    <row r="13" spans="1:15" s="1644" customFormat="1" x14ac:dyDescent="0.2">
      <c r="A13" s="1286" t="s">
        <v>14</v>
      </c>
      <c r="B13" s="1703" t="s">
        <v>187</v>
      </c>
      <c r="C13" s="1703" t="s">
        <v>187</v>
      </c>
      <c r="D13" s="1707">
        <v>1349</v>
      </c>
      <c r="E13" s="1707">
        <v>912</v>
      </c>
      <c r="F13" s="1707">
        <v>2967</v>
      </c>
      <c r="G13" s="1707">
        <v>2993.42</v>
      </c>
      <c r="H13" s="1707">
        <v>4207</v>
      </c>
      <c r="I13" s="1707">
        <v>1121</v>
      </c>
      <c r="J13" s="1707">
        <v>2739</v>
      </c>
      <c r="K13" s="1707">
        <v>1483.681214421252</v>
      </c>
      <c r="L13" s="1707">
        <v>1759.2220113851988</v>
      </c>
      <c r="M13" s="1707">
        <v>2161.9354838709673</v>
      </c>
    </row>
    <row r="14" spans="1:15" s="1644" customFormat="1" ht="15" x14ac:dyDescent="0.35">
      <c r="A14" s="1286" t="s">
        <v>46</v>
      </c>
      <c r="B14" s="1703" t="s">
        <v>187</v>
      </c>
      <c r="C14" s="1703" t="s">
        <v>187</v>
      </c>
      <c r="D14" s="1712">
        <v>114</v>
      </c>
      <c r="E14" s="1712">
        <v>355</v>
      </c>
      <c r="F14" s="1712">
        <v>1277.29</v>
      </c>
      <c r="G14" s="1712">
        <v>0</v>
      </c>
      <c r="H14" s="1712">
        <v>1020</v>
      </c>
      <c r="I14" s="1712">
        <v>958</v>
      </c>
      <c r="J14" s="1712">
        <v>1436</v>
      </c>
      <c r="K14" s="1712">
        <v>628.273244781784</v>
      </c>
      <c r="L14" s="1712">
        <v>744.95256166982961</v>
      </c>
      <c r="M14" s="1712">
        <v>915.4838709677424</v>
      </c>
    </row>
    <row r="15" spans="1:15" s="1644" customFormat="1" x14ac:dyDescent="0.2">
      <c r="A15" s="1286" t="s">
        <v>86</v>
      </c>
      <c r="C15" s="1714"/>
      <c r="D15" s="1707">
        <f t="shared" ref="D15:J15" si="0">SUM(D9:D14)</f>
        <v>62859</v>
      </c>
      <c r="E15" s="1707">
        <f t="shared" si="0"/>
        <v>104090</v>
      </c>
      <c r="F15" s="1707">
        <f t="shared" si="0"/>
        <v>60846.57</v>
      </c>
      <c r="G15" s="1707">
        <f t="shared" si="0"/>
        <v>49946.41</v>
      </c>
      <c r="H15" s="1707">
        <f t="shared" si="0"/>
        <v>70000</v>
      </c>
      <c r="I15" s="1707">
        <f t="shared" si="0"/>
        <v>45852</v>
      </c>
      <c r="J15" s="1717">
        <f t="shared" si="0"/>
        <v>72345</v>
      </c>
      <c r="K15" s="1717">
        <f>SUM(K9:K14)</f>
        <v>70000</v>
      </c>
      <c r="L15" s="1717">
        <f>SUM(L9:L14)</f>
        <v>82999.999999999985</v>
      </c>
      <c r="M15" s="1717">
        <f>SUM(M9:M14)</f>
        <v>102000</v>
      </c>
      <c r="N15" s="1703" t="s">
        <v>201</v>
      </c>
    </row>
    <row r="16" spans="1:15" s="1644" customFormat="1" x14ac:dyDescent="0.2">
      <c r="A16" s="1286"/>
      <c r="B16" s="1718"/>
      <c r="C16" s="1719"/>
      <c r="D16" s="1720"/>
      <c r="H16" s="1721"/>
      <c r="I16" s="1721"/>
    </row>
    <row r="17" spans="1:20" s="1644" customFormat="1" ht="15" x14ac:dyDescent="0.35">
      <c r="A17" s="1722"/>
      <c r="C17" s="1723"/>
      <c r="D17" s="1723"/>
      <c r="N17" s="1724"/>
    </row>
    <row r="18" spans="1:20" s="1644" customFormat="1" ht="24" x14ac:dyDescent="0.2">
      <c r="A18" s="1704" t="s">
        <v>83</v>
      </c>
      <c r="B18" s="1658" t="s">
        <v>192</v>
      </c>
      <c r="C18" s="1658" t="s">
        <v>176</v>
      </c>
      <c r="D18" s="1658" t="s">
        <v>208</v>
      </c>
      <c r="E18" s="1658" t="s">
        <v>218</v>
      </c>
      <c r="F18" s="1658" t="s">
        <v>257</v>
      </c>
      <c r="G18" s="1658" t="s">
        <v>321</v>
      </c>
      <c r="H18" s="1658" t="s">
        <v>445</v>
      </c>
      <c r="I18" s="1658" t="s">
        <v>317</v>
      </c>
      <c r="J18" s="1658" t="s">
        <v>446</v>
      </c>
      <c r="K18" s="1658" t="s">
        <v>447</v>
      </c>
      <c r="L18" s="1658" t="s">
        <v>448</v>
      </c>
      <c r="M18" s="1658" t="s">
        <v>449</v>
      </c>
      <c r="N18" s="1703"/>
      <c r="O18" s="1286"/>
      <c r="P18" s="1286"/>
      <c r="Q18" s="1286"/>
      <c r="R18" s="1286"/>
      <c r="S18" s="1286"/>
      <c r="T18" s="1286"/>
    </row>
    <row r="19" spans="1:20" s="1644" customFormat="1" x14ac:dyDescent="0.2">
      <c r="N19" s="1703"/>
      <c r="O19" s="1767"/>
      <c r="P19" s="1286"/>
      <c r="Q19" s="1286"/>
      <c r="R19" s="1286"/>
      <c r="S19" s="1286"/>
      <c r="T19" s="1286"/>
    </row>
    <row r="20" spans="1:20" s="1644" customFormat="1" x14ac:dyDescent="0.2">
      <c r="A20" s="1644" t="s">
        <v>49</v>
      </c>
      <c r="B20" s="1703" t="s">
        <v>187</v>
      </c>
      <c r="C20" s="1703" t="s">
        <v>187</v>
      </c>
      <c r="D20" s="1726">
        <v>9728</v>
      </c>
      <c r="E20" s="1727">
        <v>18422</v>
      </c>
      <c r="F20" s="1727">
        <v>10883</v>
      </c>
      <c r="G20" s="1727">
        <v>7168</v>
      </c>
      <c r="H20" s="1726">
        <v>24361</v>
      </c>
      <c r="I20" s="1726">
        <v>3487</v>
      </c>
      <c r="J20" s="1726">
        <f>I20/I15*J15</f>
        <v>5501.7668803978022</v>
      </c>
      <c r="K20" s="1727">
        <v>14984.776348837198</v>
      </c>
      <c r="L20" s="1727">
        <v>17746.475744186035</v>
      </c>
      <c r="M20" s="1727">
        <v>21786.73967441859</v>
      </c>
      <c r="N20" s="1703" t="s">
        <v>64</v>
      </c>
      <c r="O20" s="1767"/>
      <c r="P20" s="1736"/>
      <c r="Q20" s="1736"/>
      <c r="R20" s="1736"/>
      <c r="S20" s="1286"/>
      <c r="T20" s="1286"/>
    </row>
    <row r="21" spans="1:20" s="1644" customFormat="1" x14ac:dyDescent="0.2">
      <c r="A21" s="1644" t="s">
        <v>50</v>
      </c>
      <c r="B21" s="1703" t="s">
        <v>187</v>
      </c>
      <c r="C21" s="1703" t="s">
        <v>187</v>
      </c>
      <c r="D21" s="1726">
        <v>194560</v>
      </c>
      <c r="E21" s="1727">
        <v>368448</v>
      </c>
      <c r="F21" s="1727">
        <v>217664</v>
      </c>
      <c r="G21" s="1727">
        <v>143360</v>
      </c>
      <c r="H21" s="1726">
        <v>292328</v>
      </c>
      <c r="I21" s="1726">
        <v>52150</v>
      </c>
      <c r="J21" s="1726">
        <f>I21/I15*J15</f>
        <v>82281.945171421088</v>
      </c>
      <c r="K21" s="1727">
        <v>179817.31618604637</v>
      </c>
      <c r="L21" s="1727">
        <v>212957.70893023242</v>
      </c>
      <c r="M21" s="1727">
        <v>261440.87609302308</v>
      </c>
      <c r="N21" s="1703" t="s">
        <v>10</v>
      </c>
      <c r="O21" s="1765"/>
      <c r="P21" s="1768"/>
      <c r="Q21" s="1768"/>
      <c r="R21" s="1768"/>
      <c r="S21" s="1286"/>
      <c r="T21" s="1286"/>
    </row>
    <row r="22" spans="1:20" s="1644" customFormat="1" x14ac:dyDescent="0.2">
      <c r="B22" s="1703"/>
      <c r="C22" s="1703"/>
      <c r="N22" s="1703"/>
      <c r="O22" s="1765"/>
      <c r="P22" s="1745"/>
      <c r="Q22" s="1745"/>
      <c r="R22" s="1745"/>
      <c r="S22" s="1286"/>
      <c r="T22" s="1286"/>
    </row>
    <row r="23" spans="1:20" s="1644" customFormat="1" x14ac:dyDescent="0.2">
      <c r="A23" s="1644" t="s">
        <v>51</v>
      </c>
      <c r="B23" s="1703" t="s">
        <v>187</v>
      </c>
      <c r="C23" s="1703" t="s">
        <v>187</v>
      </c>
      <c r="D23" s="1731">
        <f>SUM(D15/D21)</f>
        <v>0.32308285361842104</v>
      </c>
      <c r="E23" s="1731">
        <f t="shared" ref="E23:J23" si="1">SUM(E15/E20)</f>
        <v>5.6503094126587774</v>
      </c>
      <c r="F23" s="1731">
        <f t="shared" si="1"/>
        <v>5.5909739961407698</v>
      </c>
      <c r="G23" s="1731">
        <f t="shared" si="1"/>
        <v>6.9679701450892866</v>
      </c>
      <c r="H23" s="1731">
        <f t="shared" si="1"/>
        <v>2.8734452608677805</v>
      </c>
      <c r="I23" s="1769">
        <f t="shared" si="1"/>
        <v>13.149412102093491</v>
      </c>
      <c r="J23" s="1770">
        <f t="shared" si="1"/>
        <v>13.149412102093489</v>
      </c>
      <c r="K23" s="1770">
        <f>SUM(K15/K20)</f>
        <v>4.6714077254434248</v>
      </c>
      <c r="L23" s="1731">
        <f>SUM(L15/L20)</f>
        <v>4.6769849516285964</v>
      </c>
      <c r="M23" s="1731">
        <f>SUM(M15/M20)</f>
        <v>4.6817468572301202</v>
      </c>
      <c r="N23" s="1703" t="s">
        <v>65</v>
      </c>
      <c r="O23" s="1765"/>
      <c r="P23" s="1745"/>
      <c r="Q23" s="1745"/>
      <c r="R23" s="1745"/>
      <c r="S23" s="1286"/>
      <c r="T23" s="1286"/>
    </row>
    <row r="24" spans="1:20" s="1644" customFormat="1" x14ac:dyDescent="0.2">
      <c r="A24" s="1644" t="s">
        <v>52</v>
      </c>
      <c r="B24" s="1703" t="s">
        <v>187</v>
      </c>
      <c r="C24" s="1703" t="s">
        <v>187</v>
      </c>
      <c r="D24" s="1731">
        <f t="shared" ref="D24:J24" si="2">SUM(D15/D21)</f>
        <v>0.32308285361842104</v>
      </c>
      <c r="E24" s="1731">
        <f t="shared" si="2"/>
        <v>0.28250933645996179</v>
      </c>
      <c r="F24" s="1731">
        <f t="shared" si="2"/>
        <v>0.27954356255513085</v>
      </c>
      <c r="G24" s="1731">
        <f t="shared" si="2"/>
        <v>0.34839850725446431</v>
      </c>
      <c r="H24" s="1731">
        <f t="shared" si="2"/>
        <v>0.2394570482471744</v>
      </c>
      <c r="I24" s="1769">
        <f t="shared" si="2"/>
        <v>0.87923298178331732</v>
      </c>
      <c r="J24" s="1770">
        <f t="shared" si="2"/>
        <v>0.87923298178331744</v>
      </c>
      <c r="K24" s="1770">
        <f>SUM(K15/K21)</f>
        <v>0.3892839771202854</v>
      </c>
      <c r="L24" s="1731">
        <f>SUM(L15/L21)</f>
        <v>0.38974874596904974</v>
      </c>
      <c r="M24" s="1731">
        <f>SUM(M15/M21)</f>
        <v>0.39014557143584333</v>
      </c>
      <c r="N24" s="1703" t="s">
        <v>66</v>
      </c>
      <c r="O24" s="1765"/>
      <c r="P24" s="1771"/>
      <c r="Q24" s="1771"/>
      <c r="R24" s="1771"/>
      <c r="S24" s="1286"/>
      <c r="T24" s="1286"/>
    </row>
    <row r="25" spans="1:20" s="1644" customFormat="1" x14ac:dyDescent="0.2">
      <c r="B25" s="1703"/>
      <c r="C25" s="1703"/>
      <c r="H25" s="1772"/>
      <c r="N25" s="1703"/>
      <c r="O25" s="1765"/>
      <c r="P25" s="1768"/>
      <c r="Q25" s="1768"/>
      <c r="R25" s="1768"/>
      <c r="S25" s="1286"/>
      <c r="T25" s="1286"/>
    </row>
    <row r="26" spans="1:20" s="1644" customFormat="1" x14ac:dyDescent="0.2">
      <c r="A26" s="1644" t="s">
        <v>84</v>
      </c>
      <c r="B26" s="1703" t="s">
        <v>187</v>
      </c>
      <c r="C26" s="1703" t="s">
        <v>187</v>
      </c>
      <c r="D26" s="1714">
        <v>326881</v>
      </c>
      <c r="E26" s="1714">
        <v>308241.55666858796</v>
      </c>
      <c r="F26" s="1714">
        <v>197046.66591311918</v>
      </c>
      <c r="G26" s="1714">
        <f>236739.552331604/G21*G21</f>
        <v>236739.55233160401</v>
      </c>
      <c r="H26" s="1714">
        <v>152765</v>
      </c>
      <c r="I26" s="1714">
        <f>H26/H21*I21</f>
        <v>27252.588701732297</v>
      </c>
      <c r="J26" s="1714">
        <f>H26/H21*J21</f>
        <v>42998.964704414706</v>
      </c>
      <c r="K26" s="523">
        <v>101227.81192285</v>
      </c>
      <c r="L26" s="523">
        <v>125051.47921844262</v>
      </c>
      <c r="M26" s="523">
        <v>159701.89249966168</v>
      </c>
      <c r="N26" s="1703" t="s">
        <v>67</v>
      </c>
      <c r="O26" s="1765"/>
      <c r="P26" s="1765"/>
      <c r="Q26" s="1765"/>
      <c r="R26" s="1765"/>
      <c r="S26" s="1286"/>
      <c r="T26" s="1286"/>
    </row>
    <row r="27" spans="1:20" s="1644" customFormat="1" x14ac:dyDescent="0.2">
      <c r="A27" s="1644" t="s">
        <v>85</v>
      </c>
      <c r="B27" s="1703" t="s">
        <v>187</v>
      </c>
      <c r="C27" s="1703" t="s">
        <v>187</v>
      </c>
      <c r="D27" s="1732">
        <f t="shared" ref="D27:K27" si="3">SUM(D26/D15)</f>
        <v>5.2002259024165198</v>
      </c>
      <c r="E27" s="1732">
        <f t="shared" si="3"/>
        <v>2.9612984596847722</v>
      </c>
      <c r="F27" s="1732">
        <f t="shared" si="3"/>
        <v>3.238418630879591</v>
      </c>
      <c r="G27" s="1732">
        <f t="shared" si="3"/>
        <v>4.7398712406277843</v>
      </c>
      <c r="H27" s="1773">
        <f t="shared" si="3"/>
        <v>2.1823571428571427</v>
      </c>
      <c r="I27" s="1774">
        <f t="shared" si="3"/>
        <v>0.59435986874579727</v>
      </c>
      <c r="J27" s="1774">
        <f t="shared" si="3"/>
        <v>0.59435986874579727</v>
      </c>
      <c r="K27" s="1774">
        <f t="shared" si="3"/>
        <v>1.4461115988978572</v>
      </c>
      <c r="L27" s="1773">
        <f>SUM(L26/L15)</f>
        <v>1.5066443279330439</v>
      </c>
      <c r="M27" s="1773">
        <f>SUM(M26/M15)</f>
        <v>1.5657048284280557</v>
      </c>
      <c r="N27" s="1703" t="s">
        <v>68</v>
      </c>
      <c r="O27" s="1765"/>
      <c r="P27" s="1745"/>
      <c r="Q27" s="1765"/>
      <c r="R27" s="1745"/>
      <c r="S27" s="1286"/>
      <c r="T27" s="1286"/>
    </row>
    <row r="28" spans="1:20" s="1644" customFormat="1" x14ac:dyDescent="0.2">
      <c r="A28" s="1644" t="s">
        <v>63</v>
      </c>
      <c r="B28" s="1703" t="s">
        <v>187</v>
      </c>
      <c r="C28" s="1703" t="s">
        <v>187</v>
      </c>
      <c r="D28" s="1727">
        <v>160</v>
      </c>
      <c r="E28" s="1733">
        <v>303</v>
      </c>
      <c r="F28" s="1733">
        <v>179</v>
      </c>
      <c r="G28" s="1733">
        <v>128</v>
      </c>
      <c r="H28" s="1733">
        <v>569</v>
      </c>
      <c r="I28" s="1726">
        <v>66</v>
      </c>
      <c r="J28" s="1726">
        <f>I28/I15*J15</f>
        <v>104.13438890342842</v>
      </c>
      <c r="K28" s="1727">
        <v>293</v>
      </c>
      <c r="L28" s="1727">
        <v>347</v>
      </c>
      <c r="M28" s="1727">
        <v>426</v>
      </c>
      <c r="N28" s="1703" t="s">
        <v>69</v>
      </c>
      <c r="O28" s="1765"/>
      <c r="P28" s="1745"/>
      <c r="Q28" s="1745"/>
      <c r="R28" s="1745"/>
      <c r="S28" s="1286"/>
      <c r="T28" s="1286"/>
    </row>
    <row r="29" spans="1:20" s="1644" customFormat="1" x14ac:dyDescent="0.2">
      <c r="A29" s="1644" t="s">
        <v>74</v>
      </c>
      <c r="B29" s="1703" t="s">
        <v>187</v>
      </c>
      <c r="C29" s="1703" t="s">
        <v>187</v>
      </c>
      <c r="D29" s="1726">
        <f t="shared" ref="D29:K29" si="4">SUM(D21/D28)</f>
        <v>1216</v>
      </c>
      <c r="E29" s="1726">
        <f t="shared" si="4"/>
        <v>1216</v>
      </c>
      <c r="F29" s="1726">
        <f t="shared" si="4"/>
        <v>1216</v>
      </c>
      <c r="G29" s="1734">
        <f t="shared" si="4"/>
        <v>1120</v>
      </c>
      <c r="H29" s="1734">
        <f t="shared" si="4"/>
        <v>513.75746924428825</v>
      </c>
      <c r="I29" s="1764">
        <f t="shared" si="4"/>
        <v>790.15151515151513</v>
      </c>
      <c r="J29" s="1775">
        <f t="shared" si="4"/>
        <v>790.15151515151513</v>
      </c>
      <c r="K29" s="1775">
        <f t="shared" si="4"/>
        <v>613.71097674418559</v>
      </c>
      <c r="L29" s="1734">
        <f>SUM(L21/L28)</f>
        <v>613.71097674418559</v>
      </c>
      <c r="M29" s="1734">
        <f>SUM(M21/M28)</f>
        <v>613.71097674418559</v>
      </c>
      <c r="N29" s="1703" t="s">
        <v>70</v>
      </c>
      <c r="O29" s="1765"/>
      <c r="P29" s="1768"/>
      <c r="Q29" s="1768"/>
      <c r="R29" s="1768"/>
      <c r="S29" s="1286"/>
      <c r="T29" s="1286"/>
    </row>
    <row r="30" spans="1:20" s="1644" customFormat="1" x14ac:dyDescent="0.2">
      <c r="A30" s="1644" t="s">
        <v>71</v>
      </c>
      <c r="B30" s="1703" t="s">
        <v>187</v>
      </c>
      <c r="C30" s="1703" t="s">
        <v>187</v>
      </c>
      <c r="D30" s="1714">
        <f t="shared" ref="D30:J30" si="5">SUM(D15/D28)</f>
        <v>392.86874999999998</v>
      </c>
      <c r="E30" s="1714">
        <f t="shared" si="5"/>
        <v>343.53135313531351</v>
      </c>
      <c r="F30" s="1714">
        <f t="shared" si="5"/>
        <v>339.92497206703911</v>
      </c>
      <c r="G30" s="1714">
        <f t="shared" si="5"/>
        <v>390.20632812500003</v>
      </c>
      <c r="H30" s="1714">
        <f t="shared" si="5"/>
        <v>123.02284710017575</v>
      </c>
      <c r="I30" s="1707">
        <f t="shared" si="5"/>
        <v>694.72727272727275</v>
      </c>
      <c r="J30" s="1707">
        <f t="shared" si="5"/>
        <v>694.72727272727275</v>
      </c>
      <c r="K30" s="1707">
        <f>SUM(K15/K28)</f>
        <v>238.90784982935153</v>
      </c>
      <c r="L30" s="1714">
        <f>SUM(L15/L28)</f>
        <v>239.193083573487</v>
      </c>
      <c r="M30" s="1714">
        <f>SUM(M15/M28)</f>
        <v>239.43661971830986</v>
      </c>
      <c r="N30" s="1703" t="s">
        <v>72</v>
      </c>
      <c r="O30" s="1765"/>
      <c r="P30" s="1768"/>
      <c r="Q30" s="1768"/>
      <c r="R30" s="1768"/>
      <c r="S30" s="1286"/>
      <c r="T30" s="1286"/>
    </row>
    <row r="31" spans="1:20" s="1644" customFormat="1" x14ac:dyDescent="0.2">
      <c r="A31" s="1644" t="s">
        <v>62</v>
      </c>
      <c r="B31" s="1703" t="s">
        <v>187</v>
      </c>
      <c r="C31" s="1703" t="s">
        <v>187</v>
      </c>
      <c r="D31" s="1714">
        <f t="shared" ref="D31:J31" si="6">SUM(D26/D28)</f>
        <v>2043.0062499999999</v>
      </c>
      <c r="E31" s="1714">
        <f t="shared" si="6"/>
        <v>1017.2988668930295</v>
      </c>
      <c r="F31" s="1714">
        <f t="shared" si="6"/>
        <v>1100.8193626431239</v>
      </c>
      <c r="G31" s="1714">
        <f t="shared" si="6"/>
        <v>1849.5277525906563</v>
      </c>
      <c r="H31" s="1714">
        <f t="shared" si="6"/>
        <v>268.47978910369068</v>
      </c>
      <c r="I31" s="1707">
        <f t="shared" si="6"/>
        <v>412.91801063230753</v>
      </c>
      <c r="J31" s="1707">
        <f t="shared" si="6"/>
        <v>412.91801063230758</v>
      </c>
      <c r="K31" s="1707">
        <f>SUM(K26/K28)</f>
        <v>345.4874127059727</v>
      </c>
      <c r="L31" s="1714">
        <f>SUM(L26/L28)</f>
        <v>360.37890264680868</v>
      </c>
      <c r="M31" s="1714">
        <f>SUM(M26/M28)</f>
        <v>374.88707159544998</v>
      </c>
      <c r="N31" s="1703" t="s">
        <v>73</v>
      </c>
      <c r="O31" s="1286"/>
      <c r="P31" s="1286"/>
      <c r="Q31" s="1286"/>
      <c r="R31" s="1286"/>
      <c r="S31" s="1286"/>
      <c r="T31" s="1286"/>
    </row>
    <row r="32" spans="1:20" s="1644" customFormat="1" ht="13.5" x14ac:dyDescent="0.2">
      <c r="A32" s="1644" t="s">
        <v>450</v>
      </c>
      <c r="B32" s="1703" t="s">
        <v>187</v>
      </c>
      <c r="C32" s="1703" t="s">
        <v>187</v>
      </c>
      <c r="D32" s="1776">
        <f t="shared" ref="D32:M32" si="7">D12/D21</f>
        <v>0.2555921052631579</v>
      </c>
      <c r="E32" s="1776">
        <f t="shared" si="7"/>
        <v>0.25022798332464824</v>
      </c>
      <c r="F32" s="1776">
        <f t="shared" si="7"/>
        <v>0.23332475742428699</v>
      </c>
      <c r="G32" s="1776">
        <f t="shared" si="7"/>
        <v>0.2594727260044643</v>
      </c>
      <c r="H32" s="1776">
        <f t="shared" si="7"/>
        <v>0.19470252592977752</v>
      </c>
      <c r="I32" s="1776">
        <f t="shared" si="7"/>
        <v>0.51219558964525402</v>
      </c>
      <c r="J32" s="1776">
        <f t="shared" si="7"/>
        <v>0.49809225966421289</v>
      </c>
      <c r="K32" s="1776">
        <f t="shared" si="7"/>
        <v>0.32565783789968628</v>
      </c>
      <c r="L32" s="1776">
        <f>L12/L21</f>
        <v>0.32604664305815023</v>
      </c>
      <c r="M32" s="1776">
        <f t="shared" si="7"/>
        <v>0.32637860977431332</v>
      </c>
      <c r="N32" s="1639" t="s">
        <v>451</v>
      </c>
    </row>
    <row r="33" spans="1:20" s="1644" customFormat="1" ht="13.5" x14ac:dyDescent="0.2">
      <c r="A33" s="1644" t="s">
        <v>452</v>
      </c>
      <c r="B33" s="1703" t="s">
        <v>187</v>
      </c>
      <c r="C33" s="1703" t="s">
        <v>187</v>
      </c>
      <c r="D33" s="1776">
        <f t="shared" ref="D33:J33" si="8">D13/D21</f>
        <v>6.9335937499999997E-3</v>
      </c>
      <c r="E33" s="1776">
        <f t="shared" si="8"/>
        <v>2.4752475247524753E-3</v>
      </c>
      <c r="F33" s="1776">
        <f t="shared" si="8"/>
        <v>1.3631101146721553E-2</v>
      </c>
      <c r="G33" s="1776">
        <f t="shared" si="8"/>
        <v>2.0880440848214287E-2</v>
      </c>
      <c r="H33" s="1776">
        <f t="shared" si="8"/>
        <v>1.4391368599655181E-2</v>
      </c>
      <c r="I33" s="1776">
        <f>I13/I21</f>
        <v>2.1495685522531161E-2</v>
      </c>
      <c r="J33" s="1776">
        <f t="shared" si="8"/>
        <v>3.3287983096337084E-2</v>
      </c>
      <c r="K33" s="1776">
        <f>K13/K21</f>
        <v>8.2510474846937132E-3</v>
      </c>
      <c r="L33" s="1776">
        <f>L13/L21</f>
        <v>8.2608984676931403E-3</v>
      </c>
      <c r="M33" s="1776">
        <f>M13/M21</f>
        <v>8.2693093604143623E-3</v>
      </c>
      <c r="N33" s="1639" t="s">
        <v>453</v>
      </c>
    </row>
    <row r="34" spans="1:20" s="1644" customFormat="1" x14ac:dyDescent="0.2">
      <c r="B34" s="1757"/>
      <c r="C34" s="1703"/>
      <c r="L34" s="1703"/>
      <c r="M34" s="1703"/>
      <c r="N34" s="1229"/>
      <c r="O34" s="1286"/>
      <c r="P34" s="1286"/>
      <c r="Q34" s="1286"/>
      <c r="R34" s="1286"/>
      <c r="S34" s="1286"/>
      <c r="T34" s="1286"/>
    </row>
    <row r="35" spans="1:20" s="1644" customFormat="1" x14ac:dyDescent="0.2">
      <c r="B35" s="1726"/>
      <c r="L35" s="1703"/>
      <c r="M35" s="1703"/>
      <c r="N35" s="1229"/>
      <c r="O35" s="1286"/>
      <c r="P35" s="1286"/>
      <c r="Q35" s="1286"/>
      <c r="R35" s="1286"/>
      <c r="S35" s="1286"/>
      <c r="T35" s="1286"/>
    </row>
    <row r="36" spans="1:20" s="1644" customFormat="1" x14ac:dyDescent="0.2">
      <c r="A36" s="1704"/>
      <c r="B36" s="1735"/>
      <c r="C36" s="1736"/>
      <c r="D36" s="1736"/>
      <c r="H36" s="1737"/>
      <c r="I36" s="1737"/>
      <c r="J36" s="1703"/>
      <c r="K36" s="1703"/>
      <c r="L36" s="1703"/>
      <c r="M36" s="1703"/>
      <c r="O36" s="1768"/>
      <c r="P36" s="1768"/>
      <c r="Q36" s="1768"/>
      <c r="R36" s="1286"/>
    </row>
    <row r="37" spans="1:20" s="1644" customFormat="1" x14ac:dyDescent="0.2">
      <c r="A37" s="1738" t="s">
        <v>194</v>
      </c>
      <c r="B37" s="1739"/>
      <c r="C37" s="1286"/>
      <c r="J37" s="1703"/>
      <c r="K37" s="1703"/>
      <c r="L37" s="1703"/>
      <c r="M37" s="1703"/>
      <c r="O37" s="1768"/>
      <c r="P37" s="1768"/>
      <c r="Q37" s="1768"/>
      <c r="R37" s="1286"/>
    </row>
    <row r="38" spans="1:20" s="1644" customFormat="1" x14ac:dyDescent="0.2">
      <c r="A38" s="1742" t="s">
        <v>185</v>
      </c>
      <c r="B38" s="1736" t="s">
        <v>1</v>
      </c>
      <c r="C38" s="1736" t="s">
        <v>186</v>
      </c>
      <c r="D38" s="1736" t="s">
        <v>18</v>
      </c>
      <c r="J38" s="1703"/>
      <c r="K38" s="1703"/>
      <c r="L38" s="1703"/>
      <c r="M38" s="1703"/>
    </row>
    <row r="39" spans="1:20" s="1644" customFormat="1" x14ac:dyDescent="0.2">
      <c r="A39" s="1742">
        <v>2006</v>
      </c>
      <c r="B39" s="1703" t="s">
        <v>187</v>
      </c>
      <c r="C39" s="1703" t="s">
        <v>187</v>
      </c>
      <c r="D39" s="1741" t="str">
        <f t="shared" ref="D39:D47" si="9">IF(ISERROR(C39/B39),"-",(C39/B39))</f>
        <v>-</v>
      </c>
      <c r="J39" s="1703"/>
      <c r="K39" s="1703"/>
      <c r="L39" s="1703"/>
      <c r="M39" s="1703"/>
    </row>
    <row r="40" spans="1:20" s="1644" customFormat="1" x14ac:dyDescent="0.2">
      <c r="A40" s="1742">
        <v>2007</v>
      </c>
      <c r="B40" s="1703" t="s">
        <v>187</v>
      </c>
      <c r="C40" s="1703" t="s">
        <v>187</v>
      </c>
      <c r="D40" s="1741" t="str">
        <f t="shared" si="9"/>
        <v>-</v>
      </c>
      <c r="J40" s="1703"/>
      <c r="K40" s="1703"/>
      <c r="L40" s="1703"/>
      <c r="M40" s="1703"/>
    </row>
    <row r="41" spans="1:20" s="1644" customFormat="1" x14ac:dyDescent="0.2">
      <c r="A41" s="1742">
        <v>2008</v>
      </c>
      <c r="B41" s="1706">
        <v>136600</v>
      </c>
      <c r="C41" s="1706">
        <v>62859</v>
      </c>
      <c r="D41" s="1710">
        <f t="shared" si="9"/>
        <v>0.46016837481698392</v>
      </c>
      <c r="J41" s="1703"/>
      <c r="K41" s="1703"/>
      <c r="L41" s="1703"/>
      <c r="M41" s="1703"/>
    </row>
    <row r="42" spans="1:20" s="1644" customFormat="1" x14ac:dyDescent="0.2">
      <c r="A42" s="1742">
        <v>2009</v>
      </c>
      <c r="B42" s="1740">
        <v>136600</v>
      </c>
      <c r="C42" s="1706">
        <f>E15</f>
        <v>104090</v>
      </c>
      <c r="D42" s="1710">
        <f t="shared" si="9"/>
        <v>0.76200585651537334</v>
      </c>
      <c r="J42" s="1703"/>
      <c r="K42" s="1703"/>
      <c r="L42" s="1703"/>
      <c r="M42" s="1703"/>
    </row>
    <row r="43" spans="1:20" s="1644" customFormat="1" x14ac:dyDescent="0.2">
      <c r="A43" s="1742">
        <v>2010</v>
      </c>
      <c r="B43" s="1740">
        <v>136600</v>
      </c>
      <c r="C43" s="1706">
        <v>60846.57</v>
      </c>
      <c r="D43" s="1710">
        <f t="shared" si="9"/>
        <v>0.44543609077598828</v>
      </c>
      <c r="J43" s="1703"/>
      <c r="K43" s="1703"/>
      <c r="L43" s="1703"/>
      <c r="M43" s="1703"/>
    </row>
    <row r="44" spans="1:20" s="1644" customFormat="1" x14ac:dyDescent="0.2">
      <c r="A44" s="1742">
        <v>2011</v>
      </c>
      <c r="B44" s="1740">
        <f>B45</f>
        <v>70000</v>
      </c>
      <c r="C44" s="1706">
        <f>G15</f>
        <v>49946.41</v>
      </c>
      <c r="D44" s="1710">
        <f t="shared" si="9"/>
        <v>0.71352014285714294</v>
      </c>
      <c r="J44" s="1703"/>
      <c r="K44" s="1703"/>
      <c r="L44" s="1703"/>
      <c r="M44" s="1703"/>
    </row>
    <row r="45" spans="1:20" s="1644" customFormat="1" x14ac:dyDescent="0.2">
      <c r="A45" s="1742" t="s">
        <v>319</v>
      </c>
      <c r="B45" s="1740">
        <f>H15</f>
        <v>70000</v>
      </c>
      <c r="C45" s="1706">
        <f>I15</f>
        <v>45852</v>
      </c>
      <c r="D45" s="1710">
        <f t="shared" si="9"/>
        <v>0.6550285714285714</v>
      </c>
      <c r="J45" s="1703"/>
      <c r="K45" s="1703"/>
      <c r="L45" s="1703"/>
      <c r="M45" s="1703"/>
    </row>
    <row r="46" spans="1:20" s="1644" customFormat="1" x14ac:dyDescent="0.2">
      <c r="A46" s="1742" t="s">
        <v>318</v>
      </c>
      <c r="B46" s="1740">
        <f>H15</f>
        <v>70000</v>
      </c>
      <c r="C46" s="1706">
        <f>J15</f>
        <v>72345</v>
      </c>
      <c r="D46" s="1710">
        <f t="shared" si="9"/>
        <v>1.0335000000000001</v>
      </c>
      <c r="J46" s="1703"/>
      <c r="K46" s="1703"/>
      <c r="L46" s="1703"/>
      <c r="M46" s="1703"/>
    </row>
    <row r="47" spans="1:20" s="1644" customFormat="1" x14ac:dyDescent="0.2">
      <c r="A47" s="1742">
        <v>2013</v>
      </c>
      <c r="B47" s="1740">
        <f>K15</f>
        <v>70000</v>
      </c>
      <c r="C47" s="1740" t="s">
        <v>187</v>
      </c>
      <c r="D47" s="1710" t="str">
        <f t="shared" si="9"/>
        <v>-</v>
      </c>
      <c r="J47" s="1703"/>
      <c r="K47" s="1703"/>
      <c r="L47" s="1703"/>
      <c r="M47" s="1703"/>
    </row>
    <row r="48" spans="1:20" s="1644" customFormat="1" x14ac:dyDescent="0.2">
      <c r="A48" s="1742">
        <v>2014</v>
      </c>
      <c r="B48" s="1740">
        <f>L15</f>
        <v>82999.999999999985</v>
      </c>
      <c r="C48" s="1740" t="s">
        <v>187</v>
      </c>
      <c r="D48" s="1710" t="str">
        <f>IF(ISERROR(C48/B48),"-",(C48/B48))</f>
        <v>-</v>
      </c>
      <c r="J48" s="1703"/>
      <c r="K48" s="1703"/>
      <c r="L48" s="1703"/>
      <c r="M48" s="1703"/>
    </row>
    <row r="49" spans="1:13" s="1644" customFormat="1" x14ac:dyDescent="0.2">
      <c r="A49" s="1742">
        <v>2015</v>
      </c>
      <c r="B49" s="1740">
        <f>M15</f>
        <v>102000</v>
      </c>
      <c r="C49" s="1740" t="s">
        <v>187</v>
      </c>
      <c r="D49" s="1710" t="str">
        <f>IF(ISERROR(C49/B49),"-",(C49/B49))</f>
        <v>-</v>
      </c>
      <c r="J49" s="1703"/>
      <c r="K49" s="1703"/>
      <c r="L49" s="1703"/>
      <c r="M49" s="1703"/>
    </row>
    <row r="50" spans="1:13" s="1644" customFormat="1" x14ac:dyDescent="0.2">
      <c r="A50" s="1742"/>
      <c r="B50" s="1740"/>
      <c r="C50" s="1740"/>
      <c r="D50" s="1741"/>
      <c r="J50" s="1703"/>
      <c r="K50" s="1703"/>
      <c r="L50" s="1703"/>
      <c r="M50" s="1703"/>
    </row>
    <row r="51" spans="1:13" s="1644" customFormat="1" x14ac:dyDescent="0.2">
      <c r="A51" s="1743" t="s">
        <v>193</v>
      </c>
      <c r="B51" s="1744"/>
      <c r="C51" s="1744"/>
      <c r="D51" s="1286"/>
      <c r="J51" s="1703"/>
      <c r="K51" s="1703"/>
      <c r="L51" s="1703"/>
      <c r="M51" s="1703"/>
    </row>
    <row r="52" spans="1:13" s="1644" customFormat="1" x14ac:dyDescent="0.2">
      <c r="A52" s="1742" t="s">
        <v>185</v>
      </c>
      <c r="B52" s="1736" t="s">
        <v>188</v>
      </c>
      <c r="C52" s="1736" t="s">
        <v>186</v>
      </c>
      <c r="D52" s="1736" t="s">
        <v>189</v>
      </c>
      <c r="J52" s="1703"/>
      <c r="K52" s="1703"/>
      <c r="L52" s="1703"/>
      <c r="M52" s="1703"/>
    </row>
    <row r="53" spans="1:13" s="1644" customFormat="1" x14ac:dyDescent="0.2">
      <c r="A53" s="1742">
        <v>2006</v>
      </c>
      <c r="B53" s="1703" t="s">
        <v>187</v>
      </c>
      <c r="C53" s="1703" t="s">
        <v>187</v>
      </c>
      <c r="D53" s="1741" t="str">
        <f t="shared" ref="D53:D60" si="10">IF(ISERROR(C53/B53),"-",(C53/B53))</f>
        <v>-</v>
      </c>
      <c r="J53" s="1703"/>
      <c r="K53" s="1703"/>
      <c r="L53" s="1703"/>
      <c r="M53" s="1703"/>
    </row>
    <row r="54" spans="1:13" s="1644" customFormat="1" x14ac:dyDescent="0.2">
      <c r="A54" s="1742">
        <v>2007</v>
      </c>
      <c r="B54" s="1703" t="s">
        <v>187</v>
      </c>
      <c r="C54" s="1703" t="s">
        <v>187</v>
      </c>
      <c r="D54" s="1741" t="str">
        <f t="shared" si="10"/>
        <v>-</v>
      </c>
      <c r="J54" s="1703"/>
      <c r="K54" s="1703"/>
      <c r="L54" s="1703"/>
      <c r="M54" s="1703"/>
    </row>
    <row r="55" spans="1:13" s="1644" customFormat="1" x14ac:dyDescent="0.2">
      <c r="A55" s="1742">
        <v>2008</v>
      </c>
      <c r="B55" s="1703">
        <v>290</v>
      </c>
      <c r="C55" s="1703">
        <v>160</v>
      </c>
      <c r="D55" s="1710">
        <f t="shared" si="10"/>
        <v>0.55172413793103448</v>
      </c>
      <c r="J55" s="1703"/>
      <c r="K55" s="1703"/>
      <c r="L55" s="1703"/>
      <c r="M55" s="1703"/>
    </row>
    <row r="56" spans="1:13" s="1644" customFormat="1" x14ac:dyDescent="0.2">
      <c r="A56" s="1742">
        <v>2009</v>
      </c>
      <c r="B56" s="1745">
        <v>358.66666666666669</v>
      </c>
      <c r="C56" s="1703">
        <v>303</v>
      </c>
      <c r="D56" s="1710">
        <f t="shared" si="10"/>
        <v>0.84479553903345717</v>
      </c>
      <c r="J56" s="1703"/>
      <c r="K56" s="1703"/>
      <c r="L56" s="1703"/>
      <c r="M56" s="1703"/>
    </row>
    <row r="57" spans="1:13" s="1644" customFormat="1" x14ac:dyDescent="0.2">
      <c r="A57" s="1742">
        <v>2010</v>
      </c>
      <c r="B57" s="1745">
        <v>342</v>
      </c>
      <c r="C57" s="1703">
        <v>179</v>
      </c>
      <c r="D57" s="1710">
        <f t="shared" si="10"/>
        <v>0.52339181286549707</v>
      </c>
      <c r="J57" s="1703"/>
      <c r="K57" s="1703"/>
      <c r="L57" s="1703"/>
      <c r="M57" s="1703"/>
    </row>
    <row r="58" spans="1:13" s="1644" customFormat="1" x14ac:dyDescent="0.2">
      <c r="A58" s="1742">
        <v>2011</v>
      </c>
      <c r="B58" s="1762">
        <v>304</v>
      </c>
      <c r="C58" s="1777">
        <f>G28</f>
        <v>128</v>
      </c>
      <c r="D58" s="1710">
        <f t="shared" si="10"/>
        <v>0.42105263157894735</v>
      </c>
      <c r="J58" s="1703"/>
      <c r="K58" s="1703"/>
      <c r="L58" s="1703"/>
      <c r="M58" s="1703"/>
    </row>
    <row r="59" spans="1:13" s="1644" customFormat="1" x14ac:dyDescent="0.2">
      <c r="A59" s="1742" t="s">
        <v>319</v>
      </c>
      <c r="B59" s="1762">
        <f>H28</f>
        <v>569</v>
      </c>
      <c r="C59" s="1761">
        <f>I28</f>
        <v>66</v>
      </c>
      <c r="D59" s="1710">
        <f t="shared" si="10"/>
        <v>0.11599297012302284</v>
      </c>
      <c r="J59" s="1703"/>
      <c r="K59" s="1703"/>
      <c r="L59" s="1703"/>
      <c r="M59" s="1703"/>
    </row>
    <row r="60" spans="1:13" s="1644" customFormat="1" x14ac:dyDescent="0.2">
      <c r="A60" s="1742" t="s">
        <v>318</v>
      </c>
      <c r="B60" s="1745">
        <f>I28</f>
        <v>66</v>
      </c>
      <c r="C60" s="1761">
        <f>J28</f>
        <v>104.13438890342842</v>
      </c>
      <c r="D60" s="1710">
        <f t="shared" si="10"/>
        <v>1.5777937712640668</v>
      </c>
      <c r="J60" s="1703"/>
      <c r="K60" s="1703"/>
      <c r="L60" s="1703"/>
      <c r="M60" s="1703"/>
    </row>
    <row r="61" spans="1:13" s="1644" customFormat="1" x14ac:dyDescent="0.2">
      <c r="A61" s="1742">
        <v>2013</v>
      </c>
      <c r="B61" s="1745">
        <f>K28</f>
        <v>293</v>
      </c>
      <c r="C61" s="1703" t="s">
        <v>187</v>
      </c>
      <c r="D61" s="1741" t="str">
        <f>IF(ISERROR(C61/B61),"-",(C61/B61))</f>
        <v>-</v>
      </c>
      <c r="J61" s="1703"/>
      <c r="K61" s="1703"/>
      <c r="L61" s="1703"/>
      <c r="M61" s="1703"/>
    </row>
    <row r="62" spans="1:13" s="1644" customFormat="1" x14ac:dyDescent="0.2">
      <c r="A62" s="1742">
        <v>2014</v>
      </c>
      <c r="B62" s="1745">
        <f>L28</f>
        <v>347</v>
      </c>
      <c r="C62" s="1703" t="s">
        <v>187</v>
      </c>
      <c r="D62" s="1741" t="str">
        <f>IF(ISERROR(C62/B62),"-",(C62/B62))</f>
        <v>-</v>
      </c>
      <c r="J62" s="1703"/>
      <c r="K62" s="1703"/>
      <c r="L62" s="1703"/>
      <c r="M62" s="1703"/>
    </row>
    <row r="63" spans="1:13" s="1644" customFormat="1" x14ac:dyDescent="0.2">
      <c r="A63" s="1742">
        <v>2015</v>
      </c>
      <c r="B63" s="1745">
        <f>M28</f>
        <v>426</v>
      </c>
      <c r="C63" s="1703" t="s">
        <v>187</v>
      </c>
      <c r="D63" s="1741" t="str">
        <f>IF(ISERROR(C63/B63),"-",(C63/B63))</f>
        <v>-</v>
      </c>
      <c r="J63" s="1703"/>
      <c r="K63" s="1703"/>
      <c r="L63" s="1703"/>
      <c r="M63" s="1703"/>
    </row>
    <row r="64" spans="1:13" s="1644" customFormat="1" x14ac:dyDescent="0.2">
      <c r="A64" s="1742"/>
      <c r="B64" s="1286"/>
      <c r="J64" s="1703"/>
      <c r="K64" s="1703"/>
      <c r="L64" s="1703"/>
      <c r="M64" s="1703"/>
    </row>
    <row r="65" spans="1:13" s="1644" customFormat="1" x14ac:dyDescent="0.2">
      <c r="A65" s="1743" t="s">
        <v>191</v>
      </c>
      <c r="B65" s="1743"/>
      <c r="C65" s="1743"/>
      <c r="J65" s="1703"/>
      <c r="K65" s="1703"/>
      <c r="L65" s="1703"/>
      <c r="M65" s="1703"/>
    </row>
    <row r="66" spans="1:13" s="1644" customFormat="1" x14ac:dyDescent="0.2">
      <c r="A66" s="1742" t="s">
        <v>185</v>
      </c>
      <c r="B66" s="1736" t="s">
        <v>188</v>
      </c>
      <c r="C66" s="1736" t="s">
        <v>186</v>
      </c>
      <c r="D66" s="1736" t="s">
        <v>189</v>
      </c>
      <c r="J66" s="1703"/>
      <c r="K66" s="1703"/>
      <c r="L66" s="1703"/>
      <c r="M66" s="1703"/>
    </row>
    <row r="67" spans="1:13" s="1644" customFormat="1" x14ac:dyDescent="0.2">
      <c r="A67" s="1742">
        <v>2006</v>
      </c>
      <c r="B67" s="1703" t="s">
        <v>187</v>
      </c>
      <c r="C67" s="1763" t="s">
        <v>187</v>
      </c>
      <c r="D67" s="1741" t="str">
        <f t="shared" ref="D67:D74" si="11">IF(ISERROR(C67/B67),"-",(C67/B67))</f>
        <v>-</v>
      </c>
      <c r="J67" s="1703"/>
      <c r="K67" s="1703"/>
      <c r="L67" s="1703"/>
      <c r="M67" s="1703"/>
    </row>
    <row r="68" spans="1:13" s="1644" customFormat="1" x14ac:dyDescent="0.2">
      <c r="A68" s="1742">
        <v>2007</v>
      </c>
      <c r="B68" s="1703" t="s">
        <v>187</v>
      </c>
      <c r="C68" s="1763" t="s">
        <v>187</v>
      </c>
      <c r="D68" s="1741" t="str">
        <f t="shared" si="11"/>
        <v>-</v>
      </c>
      <c r="J68" s="1703"/>
      <c r="K68" s="1703"/>
      <c r="L68" s="1703"/>
      <c r="M68" s="1703"/>
    </row>
    <row r="69" spans="1:13" s="1644" customFormat="1" x14ac:dyDescent="0.2">
      <c r="A69" s="1742">
        <v>2008</v>
      </c>
      <c r="B69" s="1745">
        <v>17630</v>
      </c>
      <c r="C69" s="1763">
        <v>9728</v>
      </c>
      <c r="D69" s="1710">
        <f t="shared" si="11"/>
        <v>0.55178672716959731</v>
      </c>
      <c r="J69" s="1703"/>
      <c r="K69" s="1703"/>
      <c r="L69" s="1703"/>
      <c r="M69" s="1703"/>
    </row>
    <row r="70" spans="1:13" s="1644" customFormat="1" x14ac:dyDescent="0.2">
      <c r="A70" s="1742">
        <v>2009</v>
      </c>
      <c r="B70" s="1745">
        <v>21807</v>
      </c>
      <c r="C70" s="1763">
        <v>18422</v>
      </c>
      <c r="D70" s="1710">
        <f t="shared" si="11"/>
        <v>0.84477461365616546</v>
      </c>
      <c r="J70" s="1703"/>
      <c r="K70" s="1703"/>
      <c r="L70" s="1703"/>
      <c r="M70" s="1703"/>
    </row>
    <row r="71" spans="1:13" s="1644" customFormat="1" x14ac:dyDescent="0.2">
      <c r="A71" s="1742">
        <v>2010</v>
      </c>
      <c r="B71" s="1745">
        <v>20791</v>
      </c>
      <c r="C71" s="1763">
        <v>10883</v>
      </c>
      <c r="D71" s="1710">
        <f t="shared" si="11"/>
        <v>0.52344764561589152</v>
      </c>
      <c r="J71" s="1703"/>
      <c r="K71" s="1703"/>
      <c r="L71" s="1703"/>
      <c r="M71" s="1703"/>
    </row>
    <row r="72" spans="1:13" s="1644" customFormat="1" x14ac:dyDescent="0.2">
      <c r="A72" s="1742">
        <v>2011</v>
      </c>
      <c r="B72" s="1762">
        <v>17043</v>
      </c>
      <c r="C72" s="1763">
        <f>G20</f>
        <v>7168</v>
      </c>
      <c r="D72" s="1710">
        <f t="shared" si="11"/>
        <v>0.42058323065188052</v>
      </c>
      <c r="J72" s="1703"/>
      <c r="K72" s="1703"/>
      <c r="L72" s="1703"/>
      <c r="M72" s="1703"/>
    </row>
    <row r="73" spans="1:13" s="1644" customFormat="1" x14ac:dyDescent="0.2">
      <c r="A73" s="1742" t="s">
        <v>319</v>
      </c>
      <c r="B73" s="1762">
        <f>H20</f>
        <v>24361</v>
      </c>
      <c r="C73" s="1763">
        <f>I20</f>
        <v>3487</v>
      </c>
      <c r="D73" s="1710">
        <f t="shared" si="11"/>
        <v>0.14313862320922788</v>
      </c>
      <c r="J73" s="1703"/>
      <c r="K73" s="1703"/>
      <c r="L73" s="1703"/>
      <c r="M73" s="1703"/>
    </row>
    <row r="74" spans="1:13" s="1644" customFormat="1" x14ac:dyDescent="0.2">
      <c r="A74" s="1742" t="s">
        <v>318</v>
      </c>
      <c r="B74" s="1745">
        <f>H20</f>
        <v>24361</v>
      </c>
      <c r="C74" s="1763">
        <f>J20</f>
        <v>5501.7668803978022</v>
      </c>
      <c r="D74" s="1710">
        <f t="shared" si="11"/>
        <v>0.22584322812683397</v>
      </c>
      <c r="J74" s="1703"/>
      <c r="K74" s="1703"/>
      <c r="L74" s="1703"/>
      <c r="M74" s="1703"/>
    </row>
    <row r="75" spans="1:13" s="1644" customFormat="1" x14ac:dyDescent="0.2">
      <c r="A75" s="1742">
        <v>2013</v>
      </c>
      <c r="B75" s="1745">
        <f>K20</f>
        <v>14984.776348837198</v>
      </c>
      <c r="C75" s="1763" t="s">
        <v>187</v>
      </c>
      <c r="D75" s="1741" t="str">
        <f>IF(ISERROR(C75/B75),"-",(C75/B75))</f>
        <v>-</v>
      </c>
      <c r="J75" s="1703"/>
      <c r="K75" s="1703"/>
      <c r="L75" s="1703"/>
      <c r="M75" s="1703"/>
    </row>
    <row r="76" spans="1:13" s="1644" customFormat="1" x14ac:dyDescent="0.2">
      <c r="A76" s="1742">
        <v>2014</v>
      </c>
      <c r="B76" s="1745">
        <f>L20</f>
        <v>17746.475744186035</v>
      </c>
      <c r="C76" s="1763" t="s">
        <v>187</v>
      </c>
      <c r="D76" s="1741" t="str">
        <f>IF(ISERROR(C76/B76),"-",(C76/B76))</f>
        <v>-</v>
      </c>
      <c r="J76" s="1703"/>
      <c r="K76" s="1703"/>
      <c r="L76" s="1703"/>
      <c r="M76" s="1703"/>
    </row>
    <row r="77" spans="1:13" s="1644" customFormat="1" x14ac:dyDescent="0.2">
      <c r="A77" s="1742">
        <v>2015</v>
      </c>
      <c r="B77" s="1745">
        <f>M20</f>
        <v>21786.73967441859</v>
      </c>
      <c r="C77" s="1763" t="s">
        <v>187</v>
      </c>
      <c r="D77" s="1741" t="str">
        <f>IF(ISERROR(C77/B77),"-",(C77/B77))</f>
        <v>-</v>
      </c>
      <c r="J77" s="1703"/>
      <c r="K77" s="1703"/>
      <c r="L77" s="1703"/>
      <c r="M77" s="1703"/>
    </row>
    <row r="78" spans="1:13" s="1644" customFormat="1" x14ac:dyDescent="0.2">
      <c r="A78" s="1742"/>
      <c r="B78" s="1745"/>
      <c r="C78" s="1745"/>
      <c r="D78" s="1745"/>
      <c r="J78" s="1703"/>
      <c r="K78" s="1703"/>
      <c r="L78" s="1703"/>
      <c r="M78" s="1703"/>
    </row>
    <row r="79" spans="1:13" s="1644" customFormat="1" x14ac:dyDescent="0.2">
      <c r="A79" s="1743" t="s">
        <v>190</v>
      </c>
      <c r="J79" s="1703"/>
      <c r="K79" s="1703"/>
      <c r="L79" s="1703"/>
      <c r="M79" s="1703"/>
    </row>
    <row r="80" spans="1:13" s="1644" customFormat="1" x14ac:dyDescent="0.2">
      <c r="A80" s="1742" t="s">
        <v>185</v>
      </c>
      <c r="B80" s="1736" t="s">
        <v>188</v>
      </c>
      <c r="C80" s="1736" t="s">
        <v>186</v>
      </c>
      <c r="D80" s="1736" t="s">
        <v>189</v>
      </c>
      <c r="J80" s="1703"/>
      <c r="K80" s="1703"/>
      <c r="L80" s="1703"/>
      <c r="M80" s="1703"/>
    </row>
    <row r="81" spans="1:14" s="1644" customFormat="1" x14ac:dyDescent="0.2">
      <c r="A81" s="1742">
        <v>2006</v>
      </c>
      <c r="B81" s="1703" t="s">
        <v>187</v>
      </c>
      <c r="C81" s="1703" t="s">
        <v>187</v>
      </c>
      <c r="D81" s="1741" t="str">
        <f t="shared" ref="D81:D88" si="12">IF(ISERROR(C81/B81),"-",(C81/B81))</f>
        <v>-</v>
      </c>
      <c r="J81" s="1703"/>
      <c r="K81" s="1703"/>
      <c r="L81" s="1703"/>
      <c r="M81" s="1703"/>
    </row>
    <row r="82" spans="1:14" s="1644" customFormat="1" x14ac:dyDescent="0.2">
      <c r="A82" s="1742">
        <v>2007</v>
      </c>
      <c r="B82" s="1703" t="s">
        <v>187</v>
      </c>
      <c r="C82" s="1703" t="s">
        <v>187</v>
      </c>
      <c r="D82" s="1741" t="str">
        <f t="shared" si="12"/>
        <v>-</v>
      </c>
      <c r="J82" s="1703"/>
      <c r="K82" s="1703"/>
      <c r="L82" s="1703"/>
      <c r="M82" s="1703"/>
    </row>
    <row r="83" spans="1:14" s="1644" customFormat="1" x14ac:dyDescent="0.2">
      <c r="A83" s="1742">
        <v>2008</v>
      </c>
      <c r="B83" s="1745">
        <v>352592</v>
      </c>
      <c r="C83" s="1761">
        <v>194560</v>
      </c>
      <c r="D83" s="1710">
        <f t="shared" si="12"/>
        <v>0.55179924672142311</v>
      </c>
      <c r="J83" s="1703"/>
      <c r="K83" s="1703"/>
      <c r="L83" s="1703"/>
      <c r="M83" s="1703"/>
    </row>
    <row r="84" spans="1:14" s="1644" customFormat="1" x14ac:dyDescent="0.2">
      <c r="A84" s="1742">
        <v>2009</v>
      </c>
      <c r="B84" s="1745">
        <v>436139</v>
      </c>
      <c r="C84" s="1763">
        <v>368448</v>
      </c>
      <c r="D84" s="1710">
        <f t="shared" si="12"/>
        <v>0.84479489337114999</v>
      </c>
      <c r="J84" s="1703"/>
      <c r="K84" s="1703"/>
      <c r="L84" s="1703"/>
      <c r="M84" s="1703"/>
    </row>
    <row r="85" spans="1:14" s="1644" customFormat="1" x14ac:dyDescent="0.2">
      <c r="A85" s="1742">
        <v>2010</v>
      </c>
      <c r="B85" s="1745">
        <v>415811</v>
      </c>
      <c r="C85" s="1763">
        <v>217664</v>
      </c>
      <c r="D85" s="1710">
        <f t="shared" si="12"/>
        <v>0.52346859510691157</v>
      </c>
      <c r="J85" s="1703"/>
      <c r="K85" s="1703"/>
      <c r="L85" s="1698"/>
      <c r="M85" s="1698"/>
    </row>
    <row r="86" spans="1:14" s="1644" customFormat="1" x14ac:dyDescent="0.2">
      <c r="A86" s="1742">
        <v>2011</v>
      </c>
      <c r="B86" s="1762">
        <f>340854</f>
        <v>340854</v>
      </c>
      <c r="C86" s="1761">
        <f>G21</f>
        <v>143360</v>
      </c>
      <c r="D86" s="1710">
        <f t="shared" si="12"/>
        <v>0.42059063411313935</v>
      </c>
      <c r="J86" s="1703"/>
      <c r="K86" s="1703"/>
      <c r="L86" s="1635"/>
      <c r="M86" s="1635"/>
    </row>
    <row r="87" spans="1:14" s="1644" customFormat="1" x14ac:dyDescent="0.2">
      <c r="A87" s="1742" t="s">
        <v>319</v>
      </c>
      <c r="B87" s="1762">
        <f>H21</f>
        <v>292328</v>
      </c>
      <c r="C87" s="1761">
        <f>I21</f>
        <v>52150</v>
      </c>
      <c r="D87" s="1710">
        <f t="shared" si="12"/>
        <v>0.17839550094414494</v>
      </c>
      <c r="J87" s="1703"/>
      <c r="K87" s="1703"/>
      <c r="L87" s="1635"/>
      <c r="M87" s="1635"/>
    </row>
    <row r="88" spans="1:14" s="1644" customFormat="1" x14ac:dyDescent="0.2">
      <c r="A88" s="1742" t="s">
        <v>318</v>
      </c>
      <c r="B88" s="1745">
        <f>H21</f>
        <v>292328</v>
      </c>
      <c r="C88" s="1745">
        <f>J21</f>
        <v>82281.945171421088</v>
      </c>
      <c r="D88" s="1741">
        <f t="shared" si="12"/>
        <v>0.28147131021120486</v>
      </c>
      <c r="J88" s="1703"/>
      <c r="K88" s="1703"/>
      <c r="L88" s="1635"/>
      <c r="M88" s="1635"/>
    </row>
    <row r="89" spans="1:14" x14ac:dyDescent="0.2">
      <c r="A89" s="1742">
        <v>2013</v>
      </c>
      <c r="B89" s="1745">
        <f>K21</f>
        <v>179817.31618604637</v>
      </c>
      <c r="C89" s="1703" t="s">
        <v>187</v>
      </c>
      <c r="D89" s="1741" t="str">
        <f>IF(ISERROR(C89/B89),"-",(C89/B89))</f>
        <v>-</v>
      </c>
      <c r="E89" s="1188"/>
      <c r="F89" s="1188"/>
      <c r="G89" s="1188"/>
      <c r="H89" s="1644"/>
      <c r="I89" s="1644"/>
      <c r="J89" s="1698"/>
      <c r="K89" s="1698"/>
      <c r="N89" s="1644"/>
    </row>
    <row r="90" spans="1:14" x14ac:dyDescent="0.2">
      <c r="A90" s="1742">
        <v>2014</v>
      </c>
      <c r="B90" s="1745">
        <f>L21</f>
        <v>212957.70893023242</v>
      </c>
      <c r="C90" s="1703" t="s">
        <v>187</v>
      </c>
      <c r="D90" s="1741" t="str">
        <f>IF(ISERROR(C90/B90),"-",(C90/B90))</f>
        <v>-</v>
      </c>
      <c r="E90" s="1188"/>
      <c r="F90" s="1188"/>
      <c r="G90" s="1188"/>
      <c r="H90" s="1644"/>
      <c r="I90" s="1644"/>
      <c r="J90" s="1698"/>
      <c r="K90" s="1698"/>
      <c r="N90" s="1644"/>
    </row>
    <row r="91" spans="1:14" x14ac:dyDescent="0.2">
      <c r="A91" s="1742">
        <v>2015</v>
      </c>
      <c r="B91" s="1745">
        <f>M21</f>
        <v>261440.87609302308</v>
      </c>
      <c r="C91" s="1703" t="s">
        <v>187</v>
      </c>
      <c r="D91" s="1741" t="str">
        <f>IF(ISERROR(C91/B91),"-",(C91/B91))</f>
        <v>-</v>
      </c>
      <c r="H91" s="1644"/>
      <c r="I91" s="1644"/>
      <c r="N91" s="1644"/>
    </row>
    <row r="92" spans="1:14" x14ac:dyDescent="0.2">
      <c r="H92" s="1644"/>
      <c r="I92" s="1644"/>
      <c r="N92" s="1644"/>
    </row>
    <row r="93" spans="1:14" x14ac:dyDescent="0.2">
      <c r="H93" s="1644"/>
      <c r="I93" s="1644"/>
      <c r="N93" s="1644"/>
    </row>
    <row r="94" spans="1:14" x14ac:dyDescent="0.2">
      <c r="H94" s="1644"/>
      <c r="I94" s="1644"/>
      <c r="N94" s="1644"/>
    </row>
    <row r="95" spans="1:14" x14ac:dyDescent="0.2">
      <c r="H95" s="1644"/>
      <c r="I95" s="1644"/>
      <c r="N95" s="1644"/>
    </row>
    <row r="96" spans="1:14" x14ac:dyDescent="0.2">
      <c r="H96" s="1635"/>
      <c r="I96" s="1635"/>
      <c r="N96" s="1644"/>
    </row>
    <row r="97" spans="8:14" x14ac:dyDescent="0.2">
      <c r="H97" s="1635"/>
      <c r="I97" s="1635"/>
      <c r="N97" s="1644"/>
    </row>
    <row r="98" spans="8:14" x14ac:dyDescent="0.2">
      <c r="N98" s="1644"/>
    </row>
  </sheetData>
  <mergeCells count="1">
    <mergeCell ref="A1:O1"/>
  </mergeCells>
  <pageMargins left="0.98" right="0.75" top="1.1499999999999999" bottom="1" header="0.5" footer="0.5"/>
  <pageSetup scale="45" orientation="portrait" r:id="rId1"/>
  <headerFooter alignWithMargins="0">
    <oddFooter>&amp;C&amp;1#&amp;"Calibri"&amp;12&amp;K008000Internal Use</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7">
    <tabColor indexed="11"/>
    <pageSetUpPr fitToPage="1"/>
  </sheetPr>
  <dimension ref="A1:Q127"/>
  <sheetViews>
    <sheetView topLeftCell="D1" workbookViewId="0">
      <selection activeCell="J57" sqref="J57"/>
    </sheetView>
  </sheetViews>
  <sheetFormatPr defaultRowHeight="12.75" x14ac:dyDescent="0.2"/>
  <cols>
    <col min="1" max="1" width="36.7109375" style="1635" customWidth="1"/>
    <col min="2" max="2" width="13.28515625" style="1635" customWidth="1"/>
    <col min="3" max="3" width="12.42578125" style="1635" customWidth="1"/>
    <col min="4" max="4" width="12.28515625" style="1635" bestFit="1" customWidth="1"/>
    <col min="5" max="5" width="11.28515625" style="1635" bestFit="1" customWidth="1"/>
    <col min="6" max="6" width="11.28515625" style="1635" customWidth="1"/>
    <col min="7" max="7" width="12.85546875" style="1635" customWidth="1"/>
    <col min="8" max="9" width="12" style="1188" customWidth="1"/>
    <col min="10" max="13" width="13.42578125" style="1635" customWidth="1"/>
    <col min="14" max="14" width="6.42578125" style="1635" customWidth="1"/>
    <col min="15" max="15" width="13.5703125" style="1635" customWidth="1"/>
    <col min="16" max="16384" width="9.140625" style="1635"/>
  </cols>
  <sheetData>
    <row r="1" spans="1:14" ht="15.75" x14ac:dyDescent="0.25">
      <c r="A1" s="2976" t="s">
        <v>48</v>
      </c>
      <c r="B1" s="2976"/>
      <c r="C1" s="2976"/>
      <c r="D1" s="2976"/>
      <c r="E1" s="2976"/>
      <c r="F1" s="2976"/>
      <c r="G1" s="2976"/>
      <c r="H1" s="2976"/>
      <c r="I1" s="2976"/>
      <c r="J1" s="2976"/>
      <c r="K1" s="2976"/>
      <c r="L1" s="2976"/>
      <c r="M1" s="2976"/>
      <c r="N1" s="2976"/>
    </row>
    <row r="2" spans="1:14" x14ac:dyDescent="0.2">
      <c r="A2" s="1699"/>
    </row>
    <row r="3" spans="1:14" ht="15.75" x14ac:dyDescent="0.25">
      <c r="A3" s="1700" t="s">
        <v>199</v>
      </c>
    </row>
    <row r="4" spans="1:14" s="1644" customFormat="1" x14ac:dyDescent="0.2">
      <c r="A4" s="1778"/>
      <c r="H4" s="1188"/>
      <c r="I4" s="1188"/>
      <c r="J4" s="1635"/>
      <c r="K4" s="1635"/>
      <c r="L4" s="1635"/>
      <c r="M4" s="1635"/>
    </row>
    <row r="5" spans="1:14" s="1644" customFormat="1" x14ac:dyDescent="0.2">
      <c r="A5" s="1701"/>
      <c r="H5" s="1702"/>
      <c r="I5" s="1702"/>
    </row>
    <row r="6" spans="1:14"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c r="N6" s="1634"/>
    </row>
    <row r="7" spans="1:14"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c r="N7" s="1645"/>
    </row>
    <row r="8" spans="1:14" s="1644" customFormat="1" x14ac:dyDescent="0.2">
      <c r="A8" s="1286"/>
      <c r="H8" s="1705"/>
      <c r="I8" s="1705"/>
    </row>
    <row r="9" spans="1:14" s="1644" customFormat="1" x14ac:dyDescent="0.2">
      <c r="A9" s="1286" t="s">
        <v>53</v>
      </c>
      <c r="B9" s="1706" t="s">
        <v>187</v>
      </c>
      <c r="C9" s="1706" t="s">
        <v>187</v>
      </c>
      <c r="D9" s="1707">
        <v>60129</v>
      </c>
      <c r="E9" s="1707">
        <v>99846</v>
      </c>
      <c r="F9" s="1707">
        <v>102648.76</v>
      </c>
      <c r="G9" s="1779">
        <v>128752</v>
      </c>
      <c r="H9" s="1708">
        <v>285000</v>
      </c>
      <c r="I9" s="1708">
        <v>88840</v>
      </c>
      <c r="J9" s="1707">
        <v>152298</v>
      </c>
      <c r="K9" s="1707">
        <v>186858.23084849428</v>
      </c>
      <c r="L9" s="1707">
        <v>221517.41882845692</v>
      </c>
      <c r="M9" s="1707">
        <v>270209.81063726312</v>
      </c>
    </row>
    <row r="10" spans="1:14" s="1644" customFormat="1" x14ac:dyDescent="0.2">
      <c r="A10" s="1286" t="s">
        <v>45</v>
      </c>
      <c r="B10" s="1706" t="s">
        <v>187</v>
      </c>
      <c r="C10" s="1706" t="s">
        <v>187</v>
      </c>
      <c r="D10" s="1707">
        <v>42888</v>
      </c>
      <c r="E10" s="1707">
        <v>23331</v>
      </c>
      <c r="F10" s="1707">
        <v>31321.35</v>
      </c>
      <c r="G10" s="1779">
        <v>15933</v>
      </c>
      <c r="H10" s="1708">
        <v>200000</v>
      </c>
      <c r="I10" s="1708">
        <v>26923</v>
      </c>
      <c r="J10" s="1707">
        <v>46153</v>
      </c>
      <c r="K10" s="1707">
        <v>131609.89427394091</v>
      </c>
      <c r="L10" s="1707">
        <v>156021.40692152671</v>
      </c>
      <c r="M10" s="1707">
        <v>190316.928766097</v>
      </c>
    </row>
    <row r="11" spans="1:14" s="1644" customFormat="1" x14ac:dyDescent="0.2">
      <c r="A11" s="1286" t="s">
        <v>202</v>
      </c>
      <c r="B11" s="1706" t="s">
        <v>187</v>
      </c>
      <c r="C11" s="1706" t="s">
        <v>187</v>
      </c>
      <c r="D11" s="1707">
        <v>67</v>
      </c>
      <c r="E11" s="1707">
        <v>0</v>
      </c>
      <c r="F11" s="1707">
        <v>0</v>
      </c>
      <c r="G11" s="1779">
        <v>0</v>
      </c>
      <c r="H11" s="1708">
        <v>6500</v>
      </c>
      <c r="I11" s="1708">
        <v>0</v>
      </c>
      <c r="J11" s="1707">
        <v>0</v>
      </c>
      <c r="K11" s="1707">
        <v>4277.3215639030796</v>
      </c>
      <c r="L11" s="1707">
        <v>5070.6957249496181</v>
      </c>
      <c r="M11" s="1707">
        <v>6185.3001848981521</v>
      </c>
    </row>
    <row r="12" spans="1:14" s="1644" customFormat="1" x14ac:dyDescent="0.2">
      <c r="A12" s="1286" t="s">
        <v>2</v>
      </c>
      <c r="B12" s="1706" t="s">
        <v>187</v>
      </c>
      <c r="C12" s="1706" t="s">
        <v>187</v>
      </c>
      <c r="D12" s="1707">
        <v>277680</v>
      </c>
      <c r="E12" s="1707">
        <v>674014</v>
      </c>
      <c r="F12" s="1707">
        <v>852468.1</v>
      </c>
      <c r="G12" s="1779">
        <f>1300988+559809</f>
        <v>1860797</v>
      </c>
      <c r="H12" s="1708">
        <v>2617612</v>
      </c>
      <c r="I12" s="1708">
        <v>321278</v>
      </c>
      <c r="J12" s="1707">
        <v>873239</v>
      </c>
      <c r="K12" s="1707">
        <v>1629641.2273219</v>
      </c>
      <c r="L12" s="1707">
        <v>1952276.2936799999</v>
      </c>
      <c r="M12" s="1707">
        <v>2395421.2102754698</v>
      </c>
    </row>
    <row r="13" spans="1:14" s="1644" customFormat="1" x14ac:dyDescent="0.2">
      <c r="A13" s="1286" t="s">
        <v>14</v>
      </c>
      <c r="B13" s="1706" t="s">
        <v>187</v>
      </c>
      <c r="C13" s="1706" t="s">
        <v>187</v>
      </c>
      <c r="D13" s="1707">
        <v>3650</v>
      </c>
      <c r="E13" s="1707">
        <v>1569</v>
      </c>
      <c r="F13" s="1707">
        <v>7094.21</v>
      </c>
      <c r="G13" s="1779">
        <v>5807</v>
      </c>
      <c r="H13" s="1708">
        <v>12500</v>
      </c>
      <c r="I13" s="1708">
        <v>13008</v>
      </c>
      <c r="J13" s="1707">
        <v>22300</v>
      </c>
      <c r="K13" s="1707">
        <v>46742.583921212739</v>
      </c>
      <c r="L13" s="1707">
        <v>55412.579325953811</v>
      </c>
      <c r="M13" s="1707">
        <v>67592.980478810161</v>
      </c>
    </row>
    <row r="14" spans="1:14" s="1644" customFormat="1" ht="15" x14ac:dyDescent="0.35">
      <c r="A14" s="1286" t="s">
        <v>46</v>
      </c>
      <c r="B14" s="1706" t="s">
        <v>187</v>
      </c>
      <c r="C14" s="1706" t="s">
        <v>187</v>
      </c>
      <c r="D14" s="1712">
        <v>5914</v>
      </c>
      <c r="E14" s="1712">
        <v>5746</v>
      </c>
      <c r="F14" s="1712">
        <v>7986.06</v>
      </c>
      <c r="G14" s="1780">
        <v>3209</v>
      </c>
      <c r="H14" s="1713">
        <v>15000</v>
      </c>
      <c r="I14" s="1713">
        <v>4096</v>
      </c>
      <c r="J14" s="1712">
        <v>7021</v>
      </c>
      <c r="K14" s="1724">
        <v>9870.7420705455679</v>
      </c>
      <c r="L14" s="1724">
        <v>11701.605519114504</v>
      </c>
      <c r="M14" s="1724">
        <v>14273.769657457275</v>
      </c>
    </row>
    <row r="15" spans="1:14" s="1644" customFormat="1" x14ac:dyDescent="0.2">
      <c r="A15" s="1286" t="s">
        <v>86</v>
      </c>
      <c r="B15" s="1714"/>
      <c r="C15" s="1714"/>
      <c r="D15" s="1707">
        <f t="shared" ref="D15:J15" si="0">SUM(D9:D14)</f>
        <v>390328</v>
      </c>
      <c r="E15" s="1707">
        <f t="shared" si="0"/>
        <v>804506</v>
      </c>
      <c r="F15" s="1707">
        <f t="shared" si="0"/>
        <v>1001518.48</v>
      </c>
      <c r="G15" s="1781">
        <f>SUM(G9:G14)</f>
        <v>2014498</v>
      </c>
      <c r="H15" s="1716">
        <f t="shared" si="0"/>
        <v>3136612</v>
      </c>
      <c r="I15" s="1715">
        <f t="shared" si="0"/>
        <v>454145</v>
      </c>
      <c r="J15" s="799">
        <f t="shared" si="0"/>
        <v>1101011</v>
      </c>
      <c r="K15" s="1717">
        <f>SUM(K9:K14)</f>
        <v>2008999.9999999965</v>
      </c>
      <c r="L15" s="1717">
        <f>SUM(L9:L14)</f>
        <v>2402000.0000000019</v>
      </c>
      <c r="M15" s="1717">
        <f>SUM(M9:M14)</f>
        <v>2943999.9999999953</v>
      </c>
      <c r="N15" s="1703" t="s">
        <v>201</v>
      </c>
    </row>
    <row r="16" spans="1:14" s="1644" customFormat="1" x14ac:dyDescent="0.2">
      <c r="A16" s="1286"/>
      <c r="B16" s="1718"/>
      <c r="C16" s="1719"/>
      <c r="D16" s="1720"/>
      <c r="H16" s="1721"/>
      <c r="I16" s="1721"/>
      <c r="J16" s="824"/>
    </row>
    <row r="17" spans="1:17" s="1644" customFormat="1" ht="15" x14ac:dyDescent="0.35">
      <c r="A17" s="1722"/>
      <c r="C17" s="1723"/>
      <c r="D17" s="1723"/>
      <c r="G17" s="1724"/>
      <c r="N17" s="1724"/>
    </row>
    <row r="18" spans="1:17" s="1644" customFormat="1" ht="30" customHeight="1" x14ac:dyDescent="0.2">
      <c r="A18" s="1704" t="s">
        <v>83</v>
      </c>
      <c r="B18" s="1658" t="s">
        <v>192</v>
      </c>
      <c r="C18" s="1658" t="s">
        <v>176</v>
      </c>
      <c r="D18" s="1658" t="s">
        <v>208</v>
      </c>
      <c r="E18" s="1658" t="s">
        <v>218</v>
      </c>
      <c r="F18" s="1658" t="s">
        <v>257</v>
      </c>
      <c r="G18" s="1658" t="s">
        <v>321</v>
      </c>
      <c r="H18" s="1658" t="s">
        <v>445</v>
      </c>
      <c r="I18" s="1658" t="s">
        <v>317</v>
      </c>
      <c r="J18" s="1658" t="s">
        <v>323</v>
      </c>
      <c r="K18" s="1658" t="s">
        <v>447</v>
      </c>
      <c r="L18" s="1658" t="s">
        <v>448</v>
      </c>
      <c r="M18" s="1658" t="s">
        <v>449</v>
      </c>
      <c r="N18" s="1703"/>
      <c r="O18" s="1286"/>
      <c r="P18" s="1286"/>
      <c r="Q18" s="1286"/>
    </row>
    <row r="19" spans="1:17" s="1644" customFormat="1" x14ac:dyDescent="0.2">
      <c r="G19" s="1703"/>
      <c r="N19" s="1703"/>
      <c r="O19" s="1229"/>
      <c r="P19" s="1286"/>
      <c r="Q19" s="1286"/>
    </row>
    <row r="20" spans="1:17" s="1644" customFormat="1" x14ac:dyDescent="0.2">
      <c r="A20" s="1644" t="s">
        <v>49</v>
      </c>
      <c r="B20" s="1706" t="s">
        <v>187</v>
      </c>
      <c r="C20" s="1706" t="s">
        <v>187</v>
      </c>
      <c r="D20" s="1757">
        <v>43558</v>
      </c>
      <c r="E20" s="1733">
        <v>112046</v>
      </c>
      <c r="F20" s="1733">
        <v>287670</v>
      </c>
      <c r="G20" s="1734">
        <v>359929</v>
      </c>
      <c r="H20" s="1751">
        <v>672820</v>
      </c>
      <c r="I20" s="1751">
        <v>108399</v>
      </c>
      <c r="J20" s="1726">
        <f>I20/I15*J15</f>
        <v>262798.20627552876</v>
      </c>
      <c r="K20" s="1727">
        <v>306585.49171854713</v>
      </c>
      <c r="L20" s="1727">
        <v>356325.64265201159</v>
      </c>
      <c r="M20" s="1727">
        <v>426128.06321221043</v>
      </c>
      <c r="N20" s="1703" t="s">
        <v>64</v>
      </c>
      <c r="O20" s="1728"/>
      <c r="P20" s="1286"/>
      <c r="Q20" s="1286"/>
    </row>
    <row r="21" spans="1:17" s="1644" customFormat="1" x14ac:dyDescent="0.2">
      <c r="A21" s="1644" t="s">
        <v>50</v>
      </c>
      <c r="B21" s="1706" t="s">
        <v>187</v>
      </c>
      <c r="C21" s="1706" t="s">
        <v>187</v>
      </c>
      <c r="D21" s="1757">
        <v>670160</v>
      </c>
      <c r="E21" s="1733">
        <v>1770613</v>
      </c>
      <c r="F21" s="1733">
        <v>4371511</v>
      </c>
      <c r="G21" s="1734">
        <v>5637483</v>
      </c>
      <c r="H21" s="1751">
        <v>10190977</v>
      </c>
      <c r="I21" s="1751">
        <v>1672230</v>
      </c>
      <c r="J21" s="1726">
        <f>I21/I15*J15</f>
        <v>4054087.6251637689</v>
      </c>
      <c r="K21" s="1727">
        <v>4709137.1835290538</v>
      </c>
      <c r="L21" s="1727">
        <v>5473143.3110276014</v>
      </c>
      <c r="M21" s="1727">
        <v>6545304.8549995786</v>
      </c>
      <c r="N21" s="1703" t="s">
        <v>10</v>
      </c>
      <c r="O21" s="1675"/>
      <c r="P21" s="1286"/>
      <c r="Q21" s="1286"/>
    </row>
    <row r="22" spans="1:17" s="1644" customFormat="1" x14ac:dyDescent="0.2">
      <c r="E22" s="1782"/>
      <c r="F22" s="1782"/>
      <c r="G22" s="1734"/>
      <c r="H22" s="1753"/>
      <c r="I22" s="1753"/>
      <c r="J22" s="1782"/>
      <c r="K22" s="1782"/>
      <c r="L22" s="1782"/>
      <c r="M22" s="1782"/>
      <c r="N22" s="1703"/>
      <c r="O22" s="1678"/>
      <c r="P22" s="1286"/>
      <c r="Q22" s="1286"/>
    </row>
    <row r="23" spans="1:17" s="1644" customFormat="1" x14ac:dyDescent="0.2">
      <c r="A23" s="1644" t="s">
        <v>51</v>
      </c>
      <c r="B23" s="1706" t="s">
        <v>187</v>
      </c>
      <c r="C23" s="1706" t="s">
        <v>187</v>
      </c>
      <c r="D23" s="1731">
        <f t="shared" ref="D23:J23" si="1">SUM(D15/D20)</f>
        <v>8.9611093254970378</v>
      </c>
      <c r="E23" s="1783">
        <f t="shared" si="1"/>
        <v>7.1801402995198398</v>
      </c>
      <c r="F23" s="1783">
        <f t="shared" si="1"/>
        <v>3.4814839225501442</v>
      </c>
      <c r="G23" s="1783">
        <f t="shared" si="1"/>
        <v>5.5969316170689218</v>
      </c>
      <c r="H23" s="1754">
        <f t="shared" si="1"/>
        <v>4.6618887666835116</v>
      </c>
      <c r="I23" s="1754">
        <f t="shared" si="1"/>
        <v>4.1895681694480578</v>
      </c>
      <c r="J23" s="1783">
        <f t="shared" si="1"/>
        <v>4.1895681694480569</v>
      </c>
      <c r="K23" s="1783">
        <f>SUM(K15/K20)</f>
        <v>6.5528214943853476</v>
      </c>
      <c r="L23" s="1783">
        <f>SUM(L15/L20)</f>
        <v>6.7410248168577649</v>
      </c>
      <c r="M23" s="1783">
        <f>SUM(M15/M20)</f>
        <v>6.9087212370096651</v>
      </c>
      <c r="N23" s="1703" t="s">
        <v>65</v>
      </c>
      <c r="O23" s="1678"/>
      <c r="P23" s="1286"/>
      <c r="Q23" s="1286"/>
    </row>
    <row r="24" spans="1:17" s="1644" customFormat="1" x14ac:dyDescent="0.2">
      <c r="A24" s="1644" t="s">
        <v>52</v>
      </c>
      <c r="B24" s="1706" t="s">
        <v>187</v>
      </c>
      <c r="C24" s="1706" t="s">
        <v>187</v>
      </c>
      <c r="D24" s="1731">
        <f t="shared" ref="D24:J24" si="2">SUM(D15/D21)</f>
        <v>0.58244001432493731</v>
      </c>
      <c r="E24" s="1783">
        <f t="shared" si="2"/>
        <v>0.45436580438526092</v>
      </c>
      <c r="F24" s="1783">
        <f t="shared" si="2"/>
        <v>0.22910121466010264</v>
      </c>
      <c r="G24" s="1783">
        <f t="shared" si="2"/>
        <v>0.3573399689187533</v>
      </c>
      <c r="H24" s="1754">
        <f t="shared" si="2"/>
        <v>0.30778324786720646</v>
      </c>
      <c r="I24" s="1754">
        <f t="shared" si="2"/>
        <v>0.2715804644098001</v>
      </c>
      <c r="J24" s="1783">
        <f t="shared" si="2"/>
        <v>0.2715804644098001</v>
      </c>
      <c r="K24" s="1783">
        <f>SUM(K15/K21)</f>
        <v>0.42661742941505065</v>
      </c>
      <c r="L24" s="1783">
        <f>SUM(L15/L21)</f>
        <v>0.43887029143934808</v>
      </c>
      <c r="M24" s="1783">
        <f>SUM(M15/M21)</f>
        <v>0.44978806414971562</v>
      </c>
      <c r="N24" s="1703" t="s">
        <v>66</v>
      </c>
      <c r="O24" s="1682"/>
      <c r="P24" s="1286"/>
      <c r="Q24" s="1286"/>
    </row>
    <row r="25" spans="1:17" s="1644" customFormat="1" x14ac:dyDescent="0.2">
      <c r="E25" s="1782"/>
      <c r="F25" s="1782"/>
      <c r="G25" s="1734"/>
      <c r="H25" s="1753"/>
      <c r="I25" s="1753"/>
      <c r="J25" s="1782"/>
      <c r="K25" s="1782"/>
      <c r="L25" s="1782"/>
      <c r="M25" s="1782"/>
      <c r="N25" s="1703"/>
      <c r="O25" s="1675"/>
      <c r="P25" s="1286"/>
      <c r="Q25" s="1286"/>
    </row>
    <row r="26" spans="1:17" s="1644" customFormat="1" x14ac:dyDescent="0.2">
      <c r="A26" s="1644" t="s">
        <v>84</v>
      </c>
      <c r="B26" s="1706" t="s">
        <v>187</v>
      </c>
      <c r="C26" s="1706" t="s">
        <v>187</v>
      </c>
      <c r="D26" s="1706">
        <f>E26/E21*D21</f>
        <v>534945.36223566928</v>
      </c>
      <c r="E26" s="1784">
        <v>1413365.782297041</v>
      </c>
      <c r="F26" s="1784">
        <v>3909090.1225846978</v>
      </c>
      <c r="G26" s="1755">
        <f>2374940/F21*G21</f>
        <v>3062713.0701535461</v>
      </c>
      <c r="H26" s="1784">
        <v>5349942</v>
      </c>
      <c r="I26" s="1784">
        <f>H26/G21*I21</f>
        <v>1586937.5589531711</v>
      </c>
      <c r="J26" s="1714">
        <f>H26/H21*J21</f>
        <v>2128268.3355623218</v>
      </c>
      <c r="K26" s="523">
        <v>2689205.8418684946</v>
      </c>
      <c r="L26" s="523">
        <v>3251998.9915499054</v>
      </c>
      <c r="M26" s="523">
        <v>4033751.4861054923</v>
      </c>
      <c r="N26" s="1703" t="s">
        <v>67</v>
      </c>
      <c r="O26" s="1785"/>
      <c r="P26" s="1286"/>
      <c r="Q26" s="1286"/>
    </row>
    <row r="27" spans="1:17" s="1644" customFormat="1" x14ac:dyDescent="0.2">
      <c r="A27" s="1644" t="s">
        <v>85</v>
      </c>
      <c r="B27" s="1706" t="s">
        <v>187</v>
      </c>
      <c r="C27" s="1706" t="s">
        <v>187</v>
      </c>
      <c r="D27" s="1732">
        <f t="shared" ref="D27:I27" si="3">SUM(D26/D15)</f>
        <v>1.3705021475161128</v>
      </c>
      <c r="E27" s="1786">
        <f t="shared" si="3"/>
        <v>1.7568119843693411</v>
      </c>
      <c r="F27" s="1786">
        <f t="shared" si="3"/>
        <v>3.903163247257003</v>
      </c>
      <c r="G27" s="1786">
        <f t="shared" si="3"/>
        <v>1.5203356221517947</v>
      </c>
      <c r="H27" s="1783">
        <f t="shared" si="3"/>
        <v>1.7056435415027424</v>
      </c>
      <c r="I27" s="1783">
        <f t="shared" si="3"/>
        <v>3.4943411442450563</v>
      </c>
      <c r="J27" s="1774">
        <f>SUM(J26/J15)</f>
        <v>1.933012781491122</v>
      </c>
      <c r="K27" s="1774">
        <f>SUM(K26/K15)</f>
        <v>1.3385793140211544</v>
      </c>
      <c r="L27" s="1773">
        <f>SUM(L26/L15)</f>
        <v>1.3538713536843892</v>
      </c>
      <c r="M27" s="1773">
        <f>SUM(M26/M15)</f>
        <v>1.3701601515304003</v>
      </c>
      <c r="N27" s="1703" t="s">
        <v>68</v>
      </c>
      <c r="O27" s="1678"/>
      <c r="P27" s="1286"/>
      <c r="Q27" s="1286"/>
    </row>
    <row r="28" spans="1:17" s="1644" customFormat="1" x14ac:dyDescent="0.2">
      <c r="A28" s="1644" t="s">
        <v>214</v>
      </c>
      <c r="B28" s="1706" t="s">
        <v>187</v>
      </c>
      <c r="C28" s="1706" t="s">
        <v>187</v>
      </c>
      <c r="D28" s="1757">
        <v>14</v>
      </c>
      <c r="E28" s="1733">
        <v>30</v>
      </c>
      <c r="F28" s="1733">
        <v>64</v>
      </c>
      <c r="G28" s="1734">
        <v>85</v>
      </c>
      <c r="H28" s="1751">
        <v>175</v>
      </c>
      <c r="I28" s="1751">
        <v>31</v>
      </c>
      <c r="J28" s="1726">
        <f>I28/I15*J15</f>
        <v>75.155161897631814</v>
      </c>
      <c r="K28" s="1727">
        <v>48</v>
      </c>
      <c r="L28" s="1727">
        <v>57</v>
      </c>
      <c r="M28" s="1727">
        <v>70</v>
      </c>
      <c r="N28" s="1703" t="s">
        <v>69</v>
      </c>
      <c r="O28" s="1678"/>
      <c r="P28" s="1286"/>
      <c r="Q28" s="1286"/>
    </row>
    <row r="29" spans="1:17" s="1644" customFormat="1" x14ac:dyDescent="0.2">
      <c r="A29" s="1644" t="s">
        <v>215</v>
      </c>
      <c r="B29" s="1706" t="s">
        <v>187</v>
      </c>
      <c r="C29" s="1706" t="s">
        <v>187</v>
      </c>
      <c r="D29" s="1734">
        <f>SUM(D21/D28)</f>
        <v>47868.571428571428</v>
      </c>
      <c r="E29" s="1734">
        <f>SUM(E21/E28)</f>
        <v>59020.433333333334</v>
      </c>
      <c r="F29" s="1734">
        <f>SUM(F21/F28)</f>
        <v>68304.859375</v>
      </c>
      <c r="G29" s="1734">
        <f>SUM(G21/G28)</f>
        <v>66323.329411764702</v>
      </c>
      <c r="H29" s="1734">
        <f t="shared" ref="H29:M29" si="4">SUM(H21/H28)</f>
        <v>58234.154285714285</v>
      </c>
      <c r="I29" s="1734">
        <f t="shared" si="4"/>
        <v>53942.903225806454</v>
      </c>
      <c r="J29" s="1734">
        <f t="shared" si="4"/>
        <v>53942.903225806447</v>
      </c>
      <c r="K29" s="1734">
        <f t="shared" si="4"/>
        <v>98107.024656855283</v>
      </c>
      <c r="L29" s="1734">
        <f t="shared" si="4"/>
        <v>96020.058088203528</v>
      </c>
      <c r="M29" s="1734">
        <f t="shared" si="4"/>
        <v>93504.355071422557</v>
      </c>
      <c r="N29" s="1703" t="s">
        <v>70</v>
      </c>
      <c r="O29" s="1675"/>
      <c r="P29" s="1286"/>
      <c r="Q29" s="1286"/>
    </row>
    <row r="30" spans="1:17" s="1644" customFormat="1" x14ac:dyDescent="0.2">
      <c r="A30" s="1644" t="s">
        <v>216</v>
      </c>
      <c r="B30" s="1706" t="s">
        <v>187</v>
      </c>
      <c r="C30" s="1706" t="s">
        <v>187</v>
      </c>
      <c r="D30" s="1714">
        <f>SUM(D15/D28)</f>
        <v>27880.571428571428</v>
      </c>
      <c r="E30" s="1784">
        <f>SUM(E15/E28)</f>
        <v>26816.866666666665</v>
      </c>
      <c r="F30" s="1784">
        <f>SUM(F15/F28)</f>
        <v>15648.72625</v>
      </c>
      <c r="G30" s="1784">
        <f>SUM(G15/G28)</f>
        <v>23699.976470588233</v>
      </c>
      <c r="H30" s="1755">
        <f>H15/H28</f>
        <v>17923.497142857144</v>
      </c>
      <c r="I30" s="1755">
        <f>I15/I28</f>
        <v>14649.838709677419</v>
      </c>
      <c r="J30" s="1707">
        <f>SUM(J15/J28)</f>
        <v>14649.838709677419</v>
      </c>
      <c r="K30" s="1707">
        <f>SUM(K15/K28)</f>
        <v>41854.166666666591</v>
      </c>
      <c r="L30" s="1714">
        <f>SUM(L15/L28)</f>
        <v>42140.350877193014</v>
      </c>
      <c r="M30" s="1714">
        <f>SUM(M15/M28)</f>
        <v>42057.14285714279</v>
      </c>
      <c r="N30" s="1703" t="s">
        <v>72</v>
      </c>
      <c r="O30" s="1675"/>
      <c r="P30" s="1286"/>
      <c r="Q30" s="1286"/>
    </row>
    <row r="31" spans="1:17" s="1644" customFormat="1" x14ac:dyDescent="0.2">
      <c r="A31" s="1644" t="s">
        <v>217</v>
      </c>
      <c r="B31" s="1706" t="s">
        <v>187</v>
      </c>
      <c r="C31" s="1706" t="s">
        <v>187</v>
      </c>
      <c r="D31" s="1714">
        <f>SUM(D26/D28)</f>
        <v>38210.383016833519</v>
      </c>
      <c r="E31" s="1784">
        <f>SUM(E26/E28)</f>
        <v>47112.1927432347</v>
      </c>
      <c r="F31" s="1784">
        <f>SUM(F26/F28)</f>
        <v>61079.533165385903</v>
      </c>
      <c r="G31" s="1784">
        <f>SUM(G26/G28)</f>
        <v>36031.91847239466</v>
      </c>
      <c r="H31" s="1755">
        <f>H26/H28</f>
        <v>30571.097142857143</v>
      </c>
      <c r="I31" s="1755">
        <f>I26/I28</f>
        <v>51191.534159779716</v>
      </c>
      <c r="J31" s="1707">
        <f>SUM(J26/J28)</f>
        <v>28318.325472589859</v>
      </c>
      <c r="K31" s="1707">
        <f>SUM(K26/K28)</f>
        <v>56025.121705593636</v>
      </c>
      <c r="L31" s="1714">
        <f>SUM(L26/L28)</f>
        <v>57052.613886840445</v>
      </c>
      <c r="M31" s="1714">
        <f>SUM(M26/M28)</f>
        <v>57625.021230078462</v>
      </c>
      <c r="N31" s="1703" t="s">
        <v>73</v>
      </c>
      <c r="O31" s="1286"/>
      <c r="P31" s="1286"/>
      <c r="Q31" s="1286"/>
    </row>
    <row r="32" spans="1:17" s="1644" customFormat="1" ht="13.5" x14ac:dyDescent="0.2">
      <c r="A32" s="1644" t="s">
        <v>450</v>
      </c>
      <c r="B32" s="1703" t="s">
        <v>187</v>
      </c>
      <c r="C32" s="1706" t="s">
        <v>187</v>
      </c>
      <c r="D32" s="1776">
        <f t="shared" ref="D32:L32" si="5">D12/D21</f>
        <v>0.41434881222394654</v>
      </c>
      <c r="E32" s="1776">
        <f t="shared" si="5"/>
        <v>0.38066703452420153</v>
      </c>
      <c r="F32" s="1776">
        <f t="shared" si="5"/>
        <v>0.1950053654217043</v>
      </c>
      <c r="G32" s="1776">
        <f t="shared" si="5"/>
        <v>0.33007585122651367</v>
      </c>
      <c r="H32" s="1776">
        <f t="shared" si="5"/>
        <v>0.25685584414526691</v>
      </c>
      <c r="I32" s="1776">
        <f t="shared" si="5"/>
        <v>0.19212548513063393</v>
      </c>
      <c r="J32" s="1776">
        <f t="shared" si="5"/>
        <v>0.21539716965656969</v>
      </c>
      <c r="K32" s="1776">
        <f t="shared" si="5"/>
        <v>0.34605940829709225</v>
      </c>
      <c r="L32" s="1776">
        <f t="shared" si="5"/>
        <v>0.35670110989903048</v>
      </c>
      <c r="M32" s="1776">
        <f>M12/M21</f>
        <v>0.36597549897859172</v>
      </c>
      <c r="N32" s="1639" t="s">
        <v>451</v>
      </c>
    </row>
    <row r="33" spans="1:15" s="1644" customFormat="1" ht="13.5" x14ac:dyDescent="0.2">
      <c r="A33" s="1644" t="s">
        <v>452</v>
      </c>
      <c r="B33" s="1703" t="s">
        <v>187</v>
      </c>
      <c r="C33" s="1706" t="s">
        <v>187</v>
      </c>
      <c r="D33" s="1776">
        <f t="shared" ref="D33:L33" si="6">D13/D21</f>
        <v>5.4464605467351079E-3</v>
      </c>
      <c r="E33" s="1776">
        <f t="shared" si="6"/>
        <v>8.8613378530486334E-4</v>
      </c>
      <c r="F33" s="1776">
        <f t="shared" si="6"/>
        <v>1.6228278963497976E-3</v>
      </c>
      <c r="G33" s="1776">
        <f t="shared" si="6"/>
        <v>1.0300696250436588E-3</v>
      </c>
      <c r="H33" s="1776">
        <f t="shared" si="6"/>
        <v>1.226575234150759E-3</v>
      </c>
      <c r="I33" s="1776">
        <f t="shared" si="6"/>
        <v>7.7788342512692633E-3</v>
      </c>
      <c r="J33" s="1776">
        <f t="shared" si="6"/>
        <v>5.5006211167177646E-3</v>
      </c>
      <c r="K33" s="1776">
        <f t="shared" si="6"/>
        <v>9.9259337962593792E-3</v>
      </c>
      <c r="L33" s="1776">
        <f t="shared" si="6"/>
        <v>1.0124452472184565E-2</v>
      </c>
      <c r="M33" s="1776">
        <f>M13/M21</f>
        <v>1.0326941521628255E-2</v>
      </c>
      <c r="N33" s="1639" t="s">
        <v>453</v>
      </c>
    </row>
    <row r="34" spans="1:15" s="1644" customFormat="1" x14ac:dyDescent="0.2">
      <c r="A34" s="1704"/>
      <c r="B34" s="1735"/>
      <c r="C34" s="1736"/>
      <c r="D34" s="1736"/>
      <c r="H34" s="1727"/>
      <c r="I34" s="1737"/>
      <c r="J34" s="1703"/>
      <c r="K34" s="1703"/>
      <c r="L34" s="1703"/>
      <c r="M34" s="1703"/>
      <c r="O34" s="1286"/>
    </row>
    <row r="35" spans="1:15" s="1644" customFormat="1" x14ac:dyDescent="0.2">
      <c r="A35" s="1738" t="s">
        <v>194</v>
      </c>
      <c r="B35" s="1739"/>
      <c r="C35" s="1286"/>
      <c r="H35" s="1714"/>
      <c r="J35" s="1703"/>
      <c r="K35" s="1703"/>
      <c r="L35" s="1703"/>
      <c r="M35" s="1703"/>
      <c r="O35" s="1286"/>
    </row>
    <row r="36" spans="1:15" s="1644" customFormat="1" x14ac:dyDescent="0.2">
      <c r="A36" s="1738"/>
      <c r="J36" s="1703"/>
      <c r="K36" s="1703"/>
      <c r="L36" s="1703"/>
      <c r="M36" s="1703"/>
    </row>
    <row r="37" spans="1:15" s="1644" customFormat="1" x14ac:dyDescent="0.2">
      <c r="A37" s="1742" t="s">
        <v>185</v>
      </c>
      <c r="B37" s="1736" t="s">
        <v>1</v>
      </c>
      <c r="C37" s="1736" t="s">
        <v>186</v>
      </c>
      <c r="D37" s="1736" t="s">
        <v>18</v>
      </c>
      <c r="J37" s="1703"/>
      <c r="K37" s="1703"/>
      <c r="L37" s="1703"/>
      <c r="M37" s="1703"/>
    </row>
    <row r="38" spans="1:15" s="1644" customFormat="1" x14ac:dyDescent="0.2">
      <c r="A38" s="1742">
        <v>2006</v>
      </c>
      <c r="B38" s="1706" t="s">
        <v>187</v>
      </c>
      <c r="C38" s="1706" t="s">
        <v>187</v>
      </c>
      <c r="D38" s="1741" t="str">
        <f t="shared" ref="D38:D45" si="7">IF(ISERROR(C38/B38),"-",(C38/B38))</f>
        <v>-</v>
      </c>
      <c r="J38" s="1703"/>
      <c r="K38" s="1703"/>
      <c r="L38" s="1703"/>
      <c r="M38" s="1703"/>
    </row>
    <row r="39" spans="1:15" s="1644" customFormat="1" x14ac:dyDescent="0.2">
      <c r="A39" s="1742">
        <v>2007</v>
      </c>
      <c r="B39" s="1706" t="s">
        <v>187</v>
      </c>
      <c r="C39" s="1706" t="s">
        <v>187</v>
      </c>
      <c r="D39" s="1741" t="str">
        <f t="shared" si="7"/>
        <v>-</v>
      </c>
      <c r="J39" s="1703"/>
      <c r="K39" s="1703"/>
      <c r="L39" s="1703"/>
      <c r="M39" s="1703"/>
    </row>
    <row r="40" spans="1:15" s="1644" customFormat="1" x14ac:dyDescent="0.2">
      <c r="A40" s="1742">
        <v>2008</v>
      </c>
      <c r="B40" s="1740">
        <v>292668</v>
      </c>
      <c r="C40" s="1706">
        <v>390328</v>
      </c>
      <c r="D40" s="1741">
        <f t="shared" si="7"/>
        <v>1.333688684789591</v>
      </c>
      <c r="J40" s="1703"/>
      <c r="K40" s="1703"/>
      <c r="L40" s="1703"/>
      <c r="M40" s="1703"/>
    </row>
    <row r="41" spans="1:15" s="1644" customFormat="1" x14ac:dyDescent="0.2">
      <c r="A41" s="1742">
        <v>2009</v>
      </c>
      <c r="B41" s="1740">
        <v>1300000</v>
      </c>
      <c r="C41" s="1706">
        <v>804505</v>
      </c>
      <c r="D41" s="1741">
        <f t="shared" si="7"/>
        <v>0.61885000000000001</v>
      </c>
      <c r="J41" s="1703"/>
      <c r="K41" s="1703"/>
      <c r="L41" s="1703"/>
      <c r="M41" s="1703"/>
    </row>
    <row r="42" spans="1:15" s="1644" customFormat="1" x14ac:dyDescent="0.2">
      <c r="A42" s="1742">
        <v>2010</v>
      </c>
      <c r="B42" s="1740">
        <v>1420000</v>
      </c>
      <c r="C42" s="1706">
        <v>1001518.48</v>
      </c>
      <c r="D42" s="1741">
        <f t="shared" si="7"/>
        <v>0.70529470422535212</v>
      </c>
      <c r="J42" s="1703"/>
      <c r="K42" s="1703"/>
      <c r="L42" s="1703"/>
      <c r="M42" s="1703"/>
    </row>
    <row r="43" spans="1:15" s="1644" customFormat="1" x14ac:dyDescent="0.2">
      <c r="A43" s="1742">
        <v>2011</v>
      </c>
      <c r="B43" s="1740">
        <v>2180154</v>
      </c>
      <c r="C43" s="1740">
        <f>G15</f>
        <v>2014498</v>
      </c>
      <c r="D43" s="1741">
        <f t="shared" si="7"/>
        <v>0.92401637682475646</v>
      </c>
      <c r="J43" s="1703"/>
      <c r="K43" s="1703"/>
      <c r="L43" s="1703"/>
      <c r="M43" s="1703"/>
    </row>
    <row r="44" spans="1:15" s="1644" customFormat="1" x14ac:dyDescent="0.2">
      <c r="A44" s="1742" t="s">
        <v>319</v>
      </c>
      <c r="B44" s="1740">
        <f>H15</f>
        <v>3136612</v>
      </c>
      <c r="C44" s="1740">
        <f>I15</f>
        <v>454145</v>
      </c>
      <c r="D44" s="1741">
        <f t="shared" si="7"/>
        <v>0.14478838951072048</v>
      </c>
      <c r="J44" s="1703"/>
      <c r="K44" s="1703"/>
      <c r="L44" s="1703"/>
      <c r="M44" s="1703"/>
    </row>
    <row r="45" spans="1:15" s="1644" customFormat="1" x14ac:dyDescent="0.2">
      <c r="A45" s="1742" t="s">
        <v>318</v>
      </c>
      <c r="B45" s="1717">
        <f>B44</f>
        <v>3136612</v>
      </c>
      <c r="C45" s="1766">
        <f>J15</f>
        <v>1101011</v>
      </c>
      <c r="D45" s="1741">
        <f t="shared" si="7"/>
        <v>0.35101918885727657</v>
      </c>
      <c r="J45" s="1703"/>
      <c r="K45" s="1703"/>
      <c r="L45" s="1703"/>
      <c r="M45" s="1703"/>
    </row>
    <row r="46" spans="1:15" s="1644" customFormat="1" x14ac:dyDescent="0.2">
      <c r="A46" s="1742">
        <v>2013</v>
      </c>
      <c r="B46" s="1717">
        <f>K15</f>
        <v>2008999.9999999965</v>
      </c>
      <c r="C46" s="1706" t="s">
        <v>187</v>
      </c>
      <c r="D46" s="1741" t="str">
        <f>IF(ISERROR(C46/B46),"-",(C46/B46))</f>
        <v>-</v>
      </c>
      <c r="J46" s="1703"/>
      <c r="K46" s="1703"/>
      <c r="L46" s="1703"/>
      <c r="M46" s="1703"/>
    </row>
    <row r="47" spans="1:15" s="1644" customFormat="1" x14ac:dyDescent="0.2">
      <c r="A47" s="1742">
        <v>2014</v>
      </c>
      <c r="B47" s="1717">
        <f>L15</f>
        <v>2402000.0000000019</v>
      </c>
      <c r="C47" s="1706" t="s">
        <v>187</v>
      </c>
      <c r="D47" s="1741" t="str">
        <f>IF(ISERROR(C47/B47),"-",(C47/B47))</f>
        <v>-</v>
      </c>
      <c r="J47" s="1703"/>
      <c r="K47" s="1703"/>
      <c r="L47" s="1703"/>
      <c r="M47" s="1703"/>
    </row>
    <row r="48" spans="1:15" s="1644" customFormat="1" x14ac:dyDescent="0.2">
      <c r="A48" s="1742">
        <v>2015</v>
      </c>
      <c r="B48" s="1717">
        <f>M15</f>
        <v>2943999.9999999953</v>
      </c>
      <c r="C48" s="1706" t="s">
        <v>187</v>
      </c>
      <c r="D48" s="1741" t="str">
        <f>IF(ISERROR(C48/B48),"-",(C48/B48))</f>
        <v>-</v>
      </c>
      <c r="J48" s="1703"/>
      <c r="K48" s="1703"/>
      <c r="L48" s="1703"/>
      <c r="M48" s="1703"/>
    </row>
    <row r="49" spans="1:13" s="1644" customFormat="1" x14ac:dyDescent="0.2">
      <c r="A49" s="1742"/>
      <c r="J49" s="1703"/>
      <c r="K49" s="1703"/>
      <c r="L49" s="1703"/>
      <c r="M49" s="1703"/>
    </row>
    <row r="50" spans="1:13" s="1644" customFormat="1" x14ac:dyDescent="0.2">
      <c r="A50" s="1743" t="s">
        <v>193</v>
      </c>
      <c r="J50" s="1703"/>
      <c r="K50" s="1703"/>
      <c r="L50" s="1703"/>
      <c r="M50" s="1703"/>
    </row>
    <row r="51" spans="1:13" s="1644" customFormat="1" x14ac:dyDescent="0.2">
      <c r="A51" s="1742" t="s">
        <v>185</v>
      </c>
      <c r="B51" s="1736" t="s">
        <v>188</v>
      </c>
      <c r="C51" s="1736" t="s">
        <v>186</v>
      </c>
      <c r="D51" s="1736" t="s">
        <v>189</v>
      </c>
      <c r="J51" s="1703"/>
      <c r="K51" s="1703"/>
      <c r="L51" s="1703"/>
      <c r="M51" s="1703"/>
    </row>
    <row r="52" spans="1:13" s="1644" customFormat="1" x14ac:dyDescent="0.2">
      <c r="A52" s="1742">
        <v>2006</v>
      </c>
      <c r="B52" s="1706" t="s">
        <v>187</v>
      </c>
      <c r="C52" s="1706" t="s">
        <v>187</v>
      </c>
      <c r="D52" s="1741" t="str">
        <f t="shared" ref="D52:D59" si="8">IF(ISERROR(C52/B52),"-",(C52/B52))</f>
        <v>-</v>
      </c>
      <c r="J52" s="1703"/>
      <c r="K52" s="1703"/>
      <c r="L52" s="1703"/>
      <c r="M52" s="1703"/>
    </row>
    <row r="53" spans="1:13" s="1644" customFormat="1" x14ac:dyDescent="0.2">
      <c r="A53" s="1742">
        <v>2007</v>
      </c>
      <c r="B53" s="1706" t="s">
        <v>187</v>
      </c>
      <c r="C53" s="1706" t="s">
        <v>187</v>
      </c>
      <c r="D53" s="1741" t="str">
        <f t="shared" si="8"/>
        <v>-</v>
      </c>
      <c r="J53" s="1703"/>
      <c r="K53" s="1703"/>
      <c r="L53" s="1703"/>
      <c r="M53" s="1703"/>
    </row>
    <row r="54" spans="1:13" s="1644" customFormat="1" x14ac:dyDescent="0.2">
      <c r="A54" s="1742">
        <v>2008</v>
      </c>
      <c r="B54" s="1706" t="s">
        <v>187</v>
      </c>
      <c r="C54" s="1745">
        <v>14</v>
      </c>
      <c r="D54" s="1741" t="str">
        <f t="shared" si="8"/>
        <v>-</v>
      </c>
      <c r="J54" s="1703"/>
      <c r="K54" s="1703"/>
      <c r="L54" s="1703"/>
      <c r="M54" s="1703"/>
    </row>
    <row r="55" spans="1:13" s="1644" customFormat="1" x14ac:dyDescent="0.2">
      <c r="A55" s="1742">
        <v>2009</v>
      </c>
      <c r="B55" s="1745">
        <v>31</v>
      </c>
      <c r="C55" s="1745">
        <v>30</v>
      </c>
      <c r="D55" s="1741">
        <f t="shared" si="8"/>
        <v>0.967741935483871</v>
      </c>
      <c r="J55" s="1703"/>
      <c r="K55" s="1703"/>
      <c r="L55" s="1703"/>
      <c r="M55" s="1703"/>
    </row>
    <row r="56" spans="1:13" s="1644" customFormat="1" x14ac:dyDescent="0.2">
      <c r="A56" s="1742">
        <v>2010</v>
      </c>
      <c r="B56" s="1745">
        <v>77</v>
      </c>
      <c r="C56" s="1745">
        <v>64</v>
      </c>
      <c r="D56" s="1741">
        <f t="shared" si="8"/>
        <v>0.83116883116883122</v>
      </c>
      <c r="J56" s="1703"/>
      <c r="K56" s="1703"/>
      <c r="L56" s="1703"/>
      <c r="M56" s="1703"/>
    </row>
    <row r="57" spans="1:13" s="1644" customFormat="1" x14ac:dyDescent="0.2">
      <c r="A57" s="1742">
        <v>2011</v>
      </c>
      <c r="B57" s="1745">
        <v>52</v>
      </c>
      <c r="C57" s="1761">
        <f>G28</f>
        <v>85</v>
      </c>
      <c r="D57" s="1741">
        <f t="shared" si="8"/>
        <v>1.6346153846153846</v>
      </c>
      <c r="J57" s="1703"/>
      <c r="K57" s="1703"/>
      <c r="L57" s="1703"/>
      <c r="M57" s="1703"/>
    </row>
    <row r="58" spans="1:13" s="1644" customFormat="1" x14ac:dyDescent="0.2">
      <c r="A58" s="1742" t="s">
        <v>319</v>
      </c>
      <c r="B58" s="1745">
        <f>H28</f>
        <v>175</v>
      </c>
      <c r="C58" s="1745">
        <f>I28</f>
        <v>31</v>
      </c>
      <c r="D58" s="1741">
        <f t="shared" si="8"/>
        <v>0.17714285714285713</v>
      </c>
      <c r="J58" s="1703"/>
      <c r="K58" s="1703"/>
      <c r="L58" s="1703"/>
      <c r="M58" s="1703"/>
    </row>
    <row r="59" spans="1:13" s="1644" customFormat="1" x14ac:dyDescent="0.2">
      <c r="A59" s="1742" t="s">
        <v>318</v>
      </c>
      <c r="B59" s="1745">
        <f>H28</f>
        <v>175</v>
      </c>
      <c r="C59" s="1761">
        <f>J28</f>
        <v>75.155161897631814</v>
      </c>
      <c r="D59" s="1741">
        <f t="shared" si="8"/>
        <v>0.42945806798646752</v>
      </c>
      <c r="J59" s="1703"/>
      <c r="K59" s="1703"/>
      <c r="L59" s="1703"/>
      <c r="M59" s="1703"/>
    </row>
    <row r="60" spans="1:13" s="1644" customFormat="1" x14ac:dyDescent="0.2">
      <c r="A60" s="1742">
        <v>2013</v>
      </c>
      <c r="B60" s="1745">
        <f>K28</f>
        <v>48</v>
      </c>
      <c r="C60" s="1706" t="s">
        <v>187</v>
      </c>
      <c r="D60" s="1741" t="str">
        <f>IF(ISERROR(C60/B60),"-",(C60/B60))</f>
        <v>-</v>
      </c>
      <c r="J60" s="1703"/>
      <c r="K60" s="1703"/>
      <c r="L60" s="1703"/>
      <c r="M60" s="1703"/>
    </row>
    <row r="61" spans="1:13" s="1644" customFormat="1" x14ac:dyDescent="0.2">
      <c r="A61" s="1742">
        <v>2014</v>
      </c>
      <c r="B61" s="1745">
        <f>L28</f>
        <v>57</v>
      </c>
      <c r="C61" s="1706" t="s">
        <v>187</v>
      </c>
      <c r="D61" s="1741" t="str">
        <f>IF(ISERROR(C61/B61),"-",(C61/B61))</f>
        <v>-</v>
      </c>
      <c r="J61" s="1703"/>
      <c r="K61" s="1703"/>
      <c r="L61" s="1703"/>
      <c r="M61" s="1703"/>
    </row>
    <row r="62" spans="1:13" s="1644" customFormat="1" x14ac:dyDescent="0.2">
      <c r="A62" s="1742">
        <v>2015</v>
      </c>
      <c r="B62" s="1745">
        <f>M28</f>
        <v>70</v>
      </c>
      <c r="C62" s="1706" t="s">
        <v>187</v>
      </c>
      <c r="D62" s="1741" t="str">
        <f>IF(ISERROR(C62/B62),"-",(C62/B62))</f>
        <v>-</v>
      </c>
      <c r="J62" s="1703"/>
      <c r="K62" s="1703"/>
      <c r="L62" s="1703"/>
      <c r="M62" s="1703"/>
    </row>
    <row r="63" spans="1:13" s="1644" customFormat="1" x14ac:dyDescent="0.2">
      <c r="B63" s="1764"/>
      <c r="C63" s="1764"/>
      <c r="J63" s="1703"/>
      <c r="K63" s="1703"/>
      <c r="L63" s="1703"/>
      <c r="M63" s="1703"/>
    </row>
    <row r="64" spans="1:13" s="1644" customFormat="1" x14ac:dyDescent="0.2">
      <c r="A64" s="1743" t="s">
        <v>191</v>
      </c>
      <c r="B64" s="1764"/>
      <c r="C64" s="1764"/>
      <c r="J64" s="1703"/>
      <c r="K64" s="1703"/>
      <c r="L64" s="1703"/>
      <c r="M64" s="1703"/>
    </row>
    <row r="65" spans="1:13" s="1644" customFormat="1" x14ac:dyDescent="0.2">
      <c r="A65" s="1742" t="s">
        <v>185</v>
      </c>
      <c r="B65" s="1736" t="s">
        <v>188</v>
      </c>
      <c r="C65" s="1748" t="s">
        <v>186</v>
      </c>
      <c r="D65" s="1736" t="s">
        <v>189</v>
      </c>
      <c r="J65" s="1703"/>
      <c r="K65" s="1703"/>
      <c r="L65" s="1703"/>
      <c r="M65" s="1703"/>
    </row>
    <row r="66" spans="1:13" s="1644" customFormat="1" x14ac:dyDescent="0.2">
      <c r="A66" s="1742">
        <v>2006</v>
      </c>
      <c r="B66" s="1787" t="s">
        <v>187</v>
      </c>
      <c r="C66" s="1787" t="s">
        <v>187</v>
      </c>
      <c r="D66" s="1741" t="str">
        <f t="shared" ref="D66:D73" si="9">IF(ISERROR(C66/B66),"-",(C66/B66))</f>
        <v>-</v>
      </c>
      <c r="J66" s="1703"/>
      <c r="K66" s="1703"/>
      <c r="L66" s="1703"/>
      <c r="M66" s="1703"/>
    </row>
    <row r="67" spans="1:13" s="1644" customFormat="1" x14ac:dyDescent="0.2">
      <c r="A67" s="1742">
        <v>2007</v>
      </c>
      <c r="B67" s="1787" t="s">
        <v>187</v>
      </c>
      <c r="C67" s="1787" t="s">
        <v>187</v>
      </c>
      <c r="D67" s="1741" t="str">
        <f t="shared" si="9"/>
        <v>-</v>
      </c>
      <c r="J67" s="1703"/>
      <c r="K67" s="1703"/>
      <c r="L67" s="1703"/>
      <c r="M67" s="1703"/>
    </row>
    <row r="68" spans="1:13" s="1644" customFormat="1" x14ac:dyDescent="0.2">
      <c r="A68" s="1742">
        <v>2008</v>
      </c>
      <c r="B68" s="1787" t="s">
        <v>187</v>
      </c>
      <c r="C68" s="1745">
        <v>43558</v>
      </c>
      <c r="D68" s="1741" t="str">
        <f t="shared" si="9"/>
        <v>-</v>
      </c>
      <c r="J68" s="1703"/>
      <c r="K68" s="1703"/>
      <c r="L68" s="1703"/>
      <c r="M68" s="1703"/>
    </row>
    <row r="69" spans="1:13" s="1644" customFormat="1" x14ac:dyDescent="0.2">
      <c r="A69" s="1742">
        <v>2009</v>
      </c>
      <c r="B69" s="1745">
        <v>97627.987106164728</v>
      </c>
      <c r="C69" s="1745">
        <v>112046</v>
      </c>
      <c r="D69" s="1788">
        <f t="shared" si="9"/>
        <v>1.1476831933260749</v>
      </c>
      <c r="J69" s="1703"/>
      <c r="K69" s="1703"/>
      <c r="L69" s="1703"/>
      <c r="M69" s="1703"/>
    </row>
    <row r="70" spans="1:13" s="1644" customFormat="1" x14ac:dyDescent="0.2">
      <c r="A70" s="1742">
        <v>2010</v>
      </c>
      <c r="B70" s="1745">
        <v>189646</v>
      </c>
      <c r="C70" s="1745">
        <v>287670</v>
      </c>
      <c r="D70" s="1788">
        <f t="shared" si="9"/>
        <v>1.5168788163209348</v>
      </c>
      <c r="J70" s="1703"/>
      <c r="K70" s="1703"/>
      <c r="L70" s="1703"/>
      <c r="M70" s="1703"/>
    </row>
    <row r="71" spans="1:13" s="1644" customFormat="1" x14ac:dyDescent="0.2">
      <c r="A71" s="1742">
        <v>2011</v>
      </c>
      <c r="B71" s="1745">
        <v>197858</v>
      </c>
      <c r="C71" s="1745">
        <f>G20</f>
        <v>359929</v>
      </c>
      <c r="D71" s="1788">
        <f t="shared" si="9"/>
        <v>1.8191278593738944</v>
      </c>
      <c r="J71" s="1703"/>
      <c r="K71" s="1703"/>
      <c r="L71" s="1703"/>
      <c r="M71" s="1703"/>
    </row>
    <row r="72" spans="1:13" s="1644" customFormat="1" x14ac:dyDescent="0.2">
      <c r="A72" s="1742" t="s">
        <v>319</v>
      </c>
      <c r="B72" s="1745">
        <f>H20</f>
        <v>672820</v>
      </c>
      <c r="C72" s="1745">
        <f>I20</f>
        <v>108399</v>
      </c>
      <c r="D72" s="1788">
        <f t="shared" si="9"/>
        <v>0.16111144139591571</v>
      </c>
      <c r="J72" s="1703"/>
      <c r="K72" s="1703"/>
      <c r="L72" s="1703"/>
      <c r="M72" s="1703"/>
    </row>
    <row r="73" spans="1:13" x14ac:dyDescent="0.2">
      <c r="A73" s="1742" t="s">
        <v>318</v>
      </c>
      <c r="B73" s="1745">
        <f>H20</f>
        <v>672820</v>
      </c>
      <c r="C73" s="1745">
        <f>J20</f>
        <v>262798.20627552876</v>
      </c>
      <c r="D73" s="1788">
        <f t="shared" si="9"/>
        <v>0.39059214392486663</v>
      </c>
      <c r="E73" s="1188"/>
      <c r="F73" s="1188"/>
      <c r="H73" s="1644"/>
      <c r="I73" s="1644"/>
      <c r="J73" s="1703"/>
      <c r="K73" s="1703"/>
      <c r="L73" s="1703"/>
      <c r="M73" s="1703"/>
    </row>
    <row r="74" spans="1:13" x14ac:dyDescent="0.2">
      <c r="A74" s="1742">
        <v>2013</v>
      </c>
      <c r="B74" s="1745">
        <f>K20</f>
        <v>306585.49171854713</v>
      </c>
      <c r="C74" s="1787" t="s">
        <v>187</v>
      </c>
      <c r="D74" s="1741" t="str">
        <f>IF(ISERROR(C74/B74),"-",(C74/B74))</f>
        <v>-</v>
      </c>
      <c r="E74" s="1188"/>
      <c r="F74" s="1188"/>
      <c r="H74" s="1644"/>
      <c r="I74" s="1644"/>
      <c r="J74" s="1703"/>
      <c r="K74" s="1703"/>
      <c r="L74" s="1703"/>
      <c r="M74" s="1703"/>
    </row>
    <row r="75" spans="1:13" x14ac:dyDescent="0.2">
      <c r="A75" s="1742">
        <v>2014</v>
      </c>
      <c r="B75" s="1745">
        <f>L20</f>
        <v>356325.64265201159</v>
      </c>
      <c r="C75" s="1787" t="s">
        <v>187</v>
      </c>
      <c r="D75" s="1741" t="str">
        <f>IF(ISERROR(C75/B75),"-",(C75/B75))</f>
        <v>-</v>
      </c>
      <c r="E75" s="1188"/>
      <c r="F75" s="1188"/>
      <c r="H75" s="1644"/>
      <c r="I75" s="1644"/>
      <c r="J75" s="1703"/>
      <c r="K75" s="1703"/>
      <c r="L75" s="1703"/>
      <c r="M75" s="1703"/>
    </row>
    <row r="76" spans="1:13" x14ac:dyDescent="0.2">
      <c r="A76" s="1742">
        <v>2015</v>
      </c>
      <c r="B76" s="1745">
        <f>M20</f>
        <v>426128.06321221043</v>
      </c>
      <c r="C76" s="1787" t="s">
        <v>187</v>
      </c>
      <c r="D76" s="1741" t="str">
        <f>IF(ISERROR(C76/B76),"-",(C76/B76))</f>
        <v>-</v>
      </c>
      <c r="E76" s="1188"/>
      <c r="F76" s="1188"/>
      <c r="H76" s="1644"/>
      <c r="I76" s="1644"/>
      <c r="J76" s="1703"/>
      <c r="K76" s="1703"/>
      <c r="L76" s="1703"/>
      <c r="M76" s="1703"/>
    </row>
    <row r="77" spans="1:13" x14ac:dyDescent="0.2">
      <c r="A77" s="1742"/>
      <c r="B77" s="1789"/>
      <c r="C77" s="1789"/>
      <c r="H77" s="1644"/>
      <c r="I77" s="1644"/>
      <c r="J77" s="1703"/>
      <c r="K77" s="1703"/>
      <c r="L77" s="1703"/>
      <c r="M77" s="1703"/>
    </row>
    <row r="78" spans="1:13" x14ac:dyDescent="0.2">
      <c r="A78" s="1743" t="s">
        <v>190</v>
      </c>
      <c r="B78" s="1789"/>
      <c r="C78" s="1789"/>
      <c r="H78" s="1644"/>
      <c r="I78" s="1644"/>
      <c r="J78" s="1703"/>
      <c r="K78" s="1703"/>
      <c r="L78" s="1703"/>
      <c r="M78" s="1703"/>
    </row>
    <row r="79" spans="1:13" x14ac:dyDescent="0.2">
      <c r="A79" s="1742" t="s">
        <v>185</v>
      </c>
      <c r="B79" s="1736" t="s">
        <v>188</v>
      </c>
      <c r="C79" s="1748" t="s">
        <v>186</v>
      </c>
      <c r="D79" s="1736" t="s">
        <v>189</v>
      </c>
      <c r="H79" s="1644"/>
      <c r="I79" s="1644"/>
      <c r="J79" s="1703"/>
      <c r="K79" s="1703"/>
      <c r="L79" s="1703"/>
      <c r="M79" s="1703"/>
    </row>
    <row r="80" spans="1:13" x14ac:dyDescent="0.2">
      <c r="A80" s="1742">
        <v>2006</v>
      </c>
      <c r="B80" s="1787" t="s">
        <v>187</v>
      </c>
      <c r="C80" s="1787" t="s">
        <v>187</v>
      </c>
      <c r="D80" s="1741" t="str">
        <f t="shared" ref="D80:D87" si="10">IF(ISERROR(C80/B80),"-",(C80/B80))</f>
        <v>-</v>
      </c>
      <c r="H80" s="1644"/>
      <c r="I80" s="1644"/>
      <c r="J80" s="1703"/>
      <c r="K80" s="1703"/>
      <c r="L80" s="1703"/>
      <c r="M80" s="1703"/>
    </row>
    <row r="81" spans="1:13" x14ac:dyDescent="0.2">
      <c r="A81" s="1742">
        <v>2007</v>
      </c>
      <c r="B81" s="1787" t="s">
        <v>187</v>
      </c>
      <c r="C81" s="1787" t="s">
        <v>187</v>
      </c>
      <c r="D81" s="1741" t="str">
        <f t="shared" si="10"/>
        <v>-</v>
      </c>
      <c r="H81" s="1644"/>
      <c r="I81" s="1644"/>
      <c r="J81" s="1703"/>
      <c r="K81" s="1703"/>
      <c r="L81" s="1703"/>
      <c r="M81" s="1703"/>
    </row>
    <row r="82" spans="1:13" x14ac:dyDescent="0.2">
      <c r="A82" s="1742">
        <v>2008</v>
      </c>
      <c r="B82" s="1745" t="s">
        <v>187</v>
      </c>
      <c r="C82" s="1745">
        <f>D21</f>
        <v>670160</v>
      </c>
      <c r="D82" s="1741" t="str">
        <f t="shared" si="10"/>
        <v>-</v>
      </c>
      <c r="H82" s="1644"/>
      <c r="I82" s="1644"/>
      <c r="J82" s="1703"/>
      <c r="K82" s="1703"/>
      <c r="L82" s="1703"/>
      <c r="M82" s="1703"/>
    </row>
    <row r="83" spans="1:13" x14ac:dyDescent="0.2">
      <c r="A83" s="1742">
        <v>2009</v>
      </c>
      <c r="B83" s="1745">
        <v>1464419.8065924707</v>
      </c>
      <c r="C83" s="1745">
        <v>1770613</v>
      </c>
      <c r="D83" s="1741">
        <f t="shared" si="10"/>
        <v>1.20908839939826</v>
      </c>
      <c r="H83" s="1644"/>
      <c r="I83" s="1644"/>
      <c r="J83" s="1703"/>
      <c r="K83" s="1703"/>
      <c r="L83" s="1703"/>
      <c r="M83" s="1703"/>
    </row>
    <row r="84" spans="1:13" x14ac:dyDescent="0.2">
      <c r="A84" s="1742">
        <v>2010</v>
      </c>
      <c r="B84" s="1745">
        <v>3012116</v>
      </c>
      <c r="C84" s="1745">
        <v>4371511</v>
      </c>
      <c r="D84" s="1741">
        <f t="shared" si="10"/>
        <v>1.4513089801322392</v>
      </c>
      <c r="H84" s="1644"/>
      <c r="I84" s="1644"/>
      <c r="J84" s="1703"/>
      <c r="K84" s="1703"/>
      <c r="L84" s="1703"/>
      <c r="M84" s="1703"/>
    </row>
    <row r="85" spans="1:13" x14ac:dyDescent="0.2">
      <c r="A85" s="1742">
        <v>2011</v>
      </c>
      <c r="B85" s="1745">
        <f>3032051</f>
        <v>3032051</v>
      </c>
      <c r="C85" s="1761">
        <f>G21</f>
        <v>5637483</v>
      </c>
      <c r="D85" s="1741">
        <f t="shared" si="10"/>
        <v>1.8592968917739181</v>
      </c>
      <c r="H85" s="1644"/>
      <c r="I85" s="1644"/>
      <c r="J85" s="1703"/>
      <c r="K85" s="1703"/>
      <c r="L85" s="1703"/>
      <c r="M85" s="1703"/>
    </row>
    <row r="86" spans="1:13" x14ac:dyDescent="0.2">
      <c r="A86" s="1742" t="s">
        <v>319</v>
      </c>
      <c r="B86" s="1761">
        <f>H21</f>
        <v>10190977</v>
      </c>
      <c r="C86" s="1761">
        <f>I21</f>
        <v>1672230</v>
      </c>
      <c r="D86" s="1741">
        <f t="shared" si="10"/>
        <v>0.16408927230431392</v>
      </c>
      <c r="H86" s="1644"/>
      <c r="I86" s="1644"/>
      <c r="J86" s="1703"/>
      <c r="K86" s="1703"/>
      <c r="L86" s="1703"/>
      <c r="M86" s="1703"/>
    </row>
    <row r="87" spans="1:13" x14ac:dyDescent="0.2">
      <c r="A87" s="1742" t="s">
        <v>318</v>
      </c>
      <c r="B87" s="1761">
        <f>H21</f>
        <v>10190977</v>
      </c>
      <c r="C87" s="1761">
        <f>J21</f>
        <v>4054087.6251637689</v>
      </c>
      <c r="D87" s="1741">
        <f t="shared" si="10"/>
        <v>0.39781147824823554</v>
      </c>
      <c r="H87" s="1644"/>
      <c r="I87" s="1644"/>
      <c r="J87" s="1698"/>
      <c r="K87" s="1698"/>
      <c r="L87" s="1698"/>
      <c r="M87" s="1698"/>
    </row>
    <row r="88" spans="1:13" x14ac:dyDescent="0.2">
      <c r="A88" s="1742">
        <v>2013</v>
      </c>
      <c r="B88" s="1761">
        <f>K21</f>
        <v>4709137.1835290538</v>
      </c>
      <c r="C88" s="1761" t="s">
        <v>187</v>
      </c>
      <c r="D88" s="1741" t="str">
        <f>IF(ISERROR(C88/B88),"-",(C88/B88))</f>
        <v>-</v>
      </c>
      <c r="H88" s="1644"/>
      <c r="I88" s="1644"/>
    </row>
    <row r="89" spans="1:13" x14ac:dyDescent="0.2">
      <c r="A89" s="1742">
        <v>2014</v>
      </c>
      <c r="B89" s="1761">
        <f>L21</f>
        <v>5473143.3110276014</v>
      </c>
      <c r="C89" s="1761" t="s">
        <v>187</v>
      </c>
      <c r="D89" s="1741" t="str">
        <f>IF(ISERROR(C89/B89),"-",(C89/B89))</f>
        <v>-</v>
      </c>
      <c r="H89" s="1644"/>
      <c r="I89" s="1644"/>
    </row>
    <row r="90" spans="1:13" x14ac:dyDescent="0.2">
      <c r="A90" s="1742">
        <v>2015</v>
      </c>
      <c r="B90" s="1761">
        <f>M21</f>
        <v>6545304.8549995786</v>
      </c>
      <c r="C90" s="1761" t="s">
        <v>187</v>
      </c>
      <c r="D90" s="1741" t="str">
        <f>IF(ISERROR(C90/B90),"-",(C90/B90))</f>
        <v>-</v>
      </c>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N1"/>
  </mergeCells>
  <pageMargins left="0.98" right="0.75" top="1.1499999999999999" bottom="1" header="0.5" footer="0.5"/>
  <pageSetup scale="45" orientation="portrait" r:id="rId1"/>
  <headerFooter alignWithMargins="0">
    <oddFooter>&amp;C&amp;1#&amp;"Calibri"&amp;12&amp;K008000Internal Use</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8">
    <tabColor indexed="11"/>
    <pageSetUpPr fitToPage="1"/>
  </sheetPr>
  <dimension ref="A1:W127"/>
  <sheetViews>
    <sheetView topLeftCell="D10" workbookViewId="0">
      <selection activeCell="J57" sqref="J57"/>
    </sheetView>
  </sheetViews>
  <sheetFormatPr defaultRowHeight="12.75" x14ac:dyDescent="0.2"/>
  <cols>
    <col min="1" max="1" width="40.5703125" style="1635" customWidth="1"/>
    <col min="2" max="2" width="11.28515625" style="1635" customWidth="1"/>
    <col min="3" max="3" width="12" style="1635" customWidth="1"/>
    <col min="4" max="4" width="12.28515625" style="1635" bestFit="1" customWidth="1"/>
    <col min="5" max="5" width="11.28515625" style="1635" bestFit="1" customWidth="1"/>
    <col min="6" max="6" width="11.28515625" style="1635" customWidth="1"/>
    <col min="7" max="7" width="11.140625" style="1635" customWidth="1"/>
    <col min="8" max="8" width="12" style="1188" customWidth="1"/>
    <col min="9" max="9" width="11.28515625" style="1188" customWidth="1"/>
    <col min="10" max="10" width="13" style="1635" customWidth="1"/>
    <col min="11" max="13" width="11.42578125" style="1635" customWidth="1"/>
    <col min="14" max="14" width="6.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200</v>
      </c>
    </row>
    <row r="4" spans="1:15" x14ac:dyDescent="0.2">
      <c r="A4" s="1699"/>
    </row>
    <row r="5" spans="1:15" s="1644" customFormat="1" x14ac:dyDescent="0.2">
      <c r="A5" s="1701"/>
      <c r="H5" s="1702"/>
      <c r="I5" s="1702"/>
    </row>
    <row r="6" spans="1:15" s="1644" customFormat="1" x14ac:dyDescent="0.2">
      <c r="A6" s="1701"/>
      <c r="B6" s="1790">
        <v>2006</v>
      </c>
      <c r="C6" s="1790">
        <v>2007</v>
      </c>
      <c r="D6" s="1790">
        <v>2008</v>
      </c>
      <c r="E6" s="1790">
        <v>2009</v>
      </c>
      <c r="F6" s="1790">
        <v>2010</v>
      </c>
      <c r="G6" s="1634">
        <v>2011</v>
      </c>
      <c r="H6" s="1634">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645" t="s">
        <v>148</v>
      </c>
      <c r="H7" s="1645"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7">
        <v>23617.5</v>
      </c>
      <c r="E9" s="1707">
        <v>27254.05</v>
      </c>
      <c r="F9" s="1707">
        <v>52520.72</v>
      </c>
      <c r="G9" s="1707">
        <v>52912.479999999996</v>
      </c>
      <c r="H9" s="1708">
        <v>220084</v>
      </c>
      <c r="I9" s="1708">
        <v>45553.909999999996</v>
      </c>
      <c r="J9" s="1707">
        <v>78092.417142857128</v>
      </c>
      <c r="K9" s="1707">
        <v>141607.430639792</v>
      </c>
      <c r="L9" s="1707">
        <v>167859.26970455344</v>
      </c>
      <c r="M9" s="1707">
        <v>204786.1304636992</v>
      </c>
    </row>
    <row r="10" spans="1:15" s="1644" customFormat="1" x14ac:dyDescent="0.2">
      <c r="A10" s="1286" t="s">
        <v>45</v>
      </c>
      <c r="B10" s="1703" t="s">
        <v>195</v>
      </c>
      <c r="C10" s="1703" t="s">
        <v>195</v>
      </c>
      <c r="D10" s="1707">
        <v>17550.5</v>
      </c>
      <c r="E10" s="1707">
        <v>32386.85</v>
      </c>
      <c r="F10" s="1707">
        <v>6224.91</v>
      </c>
      <c r="G10" s="1707">
        <v>25365.52</v>
      </c>
      <c r="H10" s="1708">
        <v>200000</v>
      </c>
      <c r="I10" s="1708">
        <v>21172.57</v>
      </c>
      <c r="J10" s="1707">
        <v>36295.834285714285</v>
      </c>
      <c r="K10" s="1707">
        <v>105057.55133475618</v>
      </c>
      <c r="L10" s="1707">
        <v>124533.60508219944</v>
      </c>
      <c r="M10" s="1707">
        <v>151929.38193026278</v>
      </c>
    </row>
    <row r="11" spans="1:15" s="1644" customFormat="1" x14ac:dyDescent="0.2">
      <c r="A11" s="1286" t="s">
        <v>202</v>
      </c>
      <c r="B11" s="1703" t="s">
        <v>195</v>
      </c>
      <c r="C11" s="1703" t="s">
        <v>195</v>
      </c>
      <c r="D11" s="1707">
        <v>443</v>
      </c>
      <c r="E11" s="1707">
        <v>0</v>
      </c>
      <c r="F11" s="1707">
        <v>0</v>
      </c>
      <c r="G11" s="1707"/>
      <c r="H11" s="1708">
        <v>1200</v>
      </c>
      <c r="I11" s="1708">
        <v>0</v>
      </c>
      <c r="J11" s="1707">
        <v>0</v>
      </c>
      <c r="K11" s="1707">
        <v>630.34530800853713</v>
      </c>
      <c r="L11" s="1707">
        <v>747.20163049319672</v>
      </c>
      <c r="M11" s="1707">
        <v>911.5762915815767</v>
      </c>
    </row>
    <row r="12" spans="1:15" s="1644" customFormat="1" x14ac:dyDescent="0.2">
      <c r="A12" s="1286" t="s">
        <v>2</v>
      </c>
      <c r="B12" s="1703" t="s">
        <v>195</v>
      </c>
      <c r="C12" s="1703" t="s">
        <v>195</v>
      </c>
      <c r="D12" s="1707">
        <v>3934</v>
      </c>
      <c r="E12" s="1707">
        <v>979355.03</v>
      </c>
      <c r="F12" s="1707">
        <v>414789.22</v>
      </c>
      <c r="G12" s="1707">
        <v>1510264.04</v>
      </c>
      <c r="H12" s="1708">
        <v>2016050</v>
      </c>
      <c r="I12" s="1708">
        <v>130844.45000000001</v>
      </c>
      <c r="J12" s="1707">
        <v>534620.45000000007</v>
      </c>
      <c r="K12" s="1707">
        <v>1091106.3818421802</v>
      </c>
      <c r="L12" s="1707">
        <v>1354476.8726298399</v>
      </c>
      <c r="M12" s="1707">
        <v>1694446.1522025301</v>
      </c>
    </row>
    <row r="13" spans="1:15" s="1644" customFormat="1" x14ac:dyDescent="0.2">
      <c r="A13" s="1286" t="s">
        <v>14</v>
      </c>
      <c r="B13" s="1703" t="s">
        <v>195</v>
      </c>
      <c r="C13" s="1703" t="s">
        <v>195</v>
      </c>
      <c r="D13" s="1707">
        <v>1771</v>
      </c>
      <c r="E13" s="1707">
        <v>2796</v>
      </c>
      <c r="F13" s="1707">
        <v>13826.57</v>
      </c>
      <c r="G13" s="1707">
        <v>4998.7700000000004</v>
      </c>
      <c r="H13" s="1708">
        <v>30000</v>
      </c>
      <c r="I13" s="1708">
        <v>28709.31</v>
      </c>
      <c r="J13" s="1707">
        <v>49215.960000000006</v>
      </c>
      <c r="K13" s="1707">
        <v>32658.632700212998</v>
      </c>
      <c r="L13" s="1707">
        <v>38713.040762329409</v>
      </c>
      <c r="M13" s="1707">
        <v>47229.407289538802</v>
      </c>
    </row>
    <row r="14" spans="1:15" s="1644" customFormat="1" ht="15" x14ac:dyDescent="0.35">
      <c r="A14" s="1286" t="s">
        <v>46</v>
      </c>
      <c r="B14" s="1703" t="s">
        <v>195</v>
      </c>
      <c r="C14" s="1703" t="s">
        <v>195</v>
      </c>
      <c r="D14" s="1712">
        <v>1967</v>
      </c>
      <c r="E14" s="1712">
        <v>3494.44</v>
      </c>
      <c r="F14" s="1712">
        <v>4537.2</v>
      </c>
      <c r="G14" s="1712">
        <v>6253.2199999999993</v>
      </c>
      <c r="H14" s="1713">
        <v>7500</v>
      </c>
      <c r="I14" s="1713">
        <v>5452.8099999999995</v>
      </c>
      <c r="J14" s="1712">
        <v>9347.6742857142835</v>
      </c>
      <c r="K14" s="1724">
        <v>3939.6581750533574</v>
      </c>
      <c r="L14" s="1724">
        <v>4670.0101905824795</v>
      </c>
      <c r="M14" s="1724">
        <v>5697.3518223848596</v>
      </c>
    </row>
    <row r="15" spans="1:15" s="1644" customFormat="1" x14ac:dyDescent="0.2">
      <c r="A15" s="1286" t="s">
        <v>86</v>
      </c>
      <c r="C15" s="1714"/>
      <c r="D15" s="1707">
        <f t="shared" ref="D15:J15" si="0">SUM(D9:D14)</f>
        <v>49283</v>
      </c>
      <c r="E15" s="1707">
        <f t="shared" si="0"/>
        <v>1045286.37</v>
      </c>
      <c r="F15" s="1707">
        <f t="shared" si="0"/>
        <v>491898.62</v>
      </c>
      <c r="G15" s="1707">
        <f t="shared" si="0"/>
        <v>1599794.03</v>
      </c>
      <c r="H15" s="1716">
        <f t="shared" si="0"/>
        <v>2474834</v>
      </c>
      <c r="I15" s="1715">
        <f t="shared" si="0"/>
        <v>231733.05</v>
      </c>
      <c r="J15" s="1717">
        <f t="shared" si="0"/>
        <v>707572.33571428573</v>
      </c>
      <c r="K15" s="1717">
        <f>SUM(K9:K14)</f>
        <v>1375000.0000000033</v>
      </c>
      <c r="L15" s="1717">
        <f>SUM(L9:L14)</f>
        <v>1690999.9999999979</v>
      </c>
      <c r="M15" s="1717">
        <f>SUM(M9:M14)</f>
        <v>2104999.9999999972</v>
      </c>
      <c r="N15" s="1703" t="s">
        <v>201</v>
      </c>
    </row>
    <row r="16" spans="1:15" s="1644" customFormat="1" x14ac:dyDescent="0.2">
      <c r="A16" s="1286"/>
      <c r="B16" s="1718"/>
      <c r="C16" s="1719"/>
      <c r="D16" s="1720"/>
      <c r="H16" s="1721"/>
      <c r="I16" s="1721"/>
    </row>
    <row r="17" spans="1:23" s="1644" customFormat="1" ht="15" x14ac:dyDescent="0.35">
      <c r="A17" s="1722"/>
      <c r="C17" s="1723"/>
      <c r="D17" s="1723"/>
      <c r="N17" s="1724"/>
    </row>
    <row r="18" spans="1:23"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Q18" s="1286"/>
      <c r="R18" s="1286"/>
      <c r="S18" s="1286"/>
      <c r="T18" s="1286"/>
      <c r="U18" s="1286"/>
      <c r="V18" s="1286"/>
      <c r="W18" s="1286"/>
    </row>
    <row r="19" spans="1:23" s="1644" customFormat="1" x14ac:dyDescent="0.2">
      <c r="N19" s="1703"/>
      <c r="Q19" s="1725"/>
      <c r="R19" s="1725"/>
      <c r="S19" s="1229"/>
      <c r="T19" s="1229"/>
      <c r="U19" s="1229"/>
      <c r="V19" s="1286"/>
      <c r="W19" s="1286"/>
    </row>
    <row r="20" spans="1:23" s="1644" customFormat="1" x14ac:dyDescent="0.2">
      <c r="A20" s="1644" t="s">
        <v>49</v>
      </c>
      <c r="B20" s="1703" t="s">
        <v>195</v>
      </c>
      <c r="C20" s="1703" t="s">
        <v>195</v>
      </c>
      <c r="D20" s="1757">
        <v>17218</v>
      </c>
      <c r="E20" s="1727">
        <v>639931</v>
      </c>
      <c r="F20" s="1727">
        <v>205653</v>
      </c>
      <c r="G20" s="1727">
        <v>404921</v>
      </c>
      <c r="H20" s="1751">
        <v>888623</v>
      </c>
      <c r="I20" s="1751">
        <v>86180</v>
      </c>
      <c r="J20" s="1751">
        <f>I20/I15*J15</f>
        <v>263141.50653891254</v>
      </c>
      <c r="K20" s="1727">
        <v>329738.76875187107</v>
      </c>
      <c r="L20" s="1727">
        <v>385100.24512516829</v>
      </c>
      <c r="M20" s="1727">
        <v>467412.17041070329</v>
      </c>
      <c r="N20" s="1703" t="s">
        <v>64</v>
      </c>
      <c r="Q20" s="1725"/>
      <c r="R20" s="1725"/>
      <c r="S20" s="1728"/>
      <c r="T20" s="1728"/>
      <c r="U20" s="1728"/>
      <c r="V20" s="1286"/>
      <c r="W20" s="1286"/>
    </row>
    <row r="21" spans="1:23" s="1644" customFormat="1" x14ac:dyDescent="0.2">
      <c r="A21" s="1644" t="s">
        <v>50</v>
      </c>
      <c r="B21" s="1703" t="s">
        <v>195</v>
      </c>
      <c r="C21" s="1703" t="s">
        <v>195</v>
      </c>
      <c r="D21" s="1757">
        <v>191374</v>
      </c>
      <c r="E21" s="1727">
        <v>9216030</v>
      </c>
      <c r="F21" s="1727">
        <v>2347874</v>
      </c>
      <c r="G21" s="1727">
        <v>4168922</v>
      </c>
      <c r="H21" s="1751">
        <v>10221524</v>
      </c>
      <c r="I21" s="1751">
        <v>1327869</v>
      </c>
      <c r="J21" s="1751">
        <f>I21/I15*J15</f>
        <v>4054507.4164112234</v>
      </c>
      <c r="K21" s="1727">
        <v>3711875.2094795601</v>
      </c>
      <c r="L21" s="1727">
        <v>4335080.3378545791</v>
      </c>
      <c r="M21" s="1727">
        <v>5261667.151010978</v>
      </c>
      <c r="N21" s="1703" t="s">
        <v>10</v>
      </c>
      <c r="Q21" s="1229"/>
      <c r="R21" s="1674"/>
      <c r="S21" s="1675"/>
      <c r="T21" s="1675"/>
      <c r="U21" s="1675"/>
      <c r="V21" s="1286"/>
      <c r="W21" s="1286"/>
    </row>
    <row r="22" spans="1:23" s="1644" customFormat="1" x14ac:dyDescent="0.2">
      <c r="C22" s="1729" t="s">
        <v>3</v>
      </c>
      <c r="H22" s="1753"/>
      <c r="I22" s="1753"/>
      <c r="K22" s="1782"/>
      <c r="L22" s="1782"/>
      <c r="M22" s="1782"/>
      <c r="N22" s="1703"/>
      <c r="Q22" s="1229"/>
      <c r="R22" s="1674"/>
      <c r="S22" s="1678"/>
      <c r="T22" s="1678"/>
      <c r="U22" s="1678"/>
      <c r="V22" s="1286"/>
      <c r="W22" s="1286"/>
    </row>
    <row r="23" spans="1:23" s="1644" customFormat="1" x14ac:dyDescent="0.2">
      <c r="A23" s="1644" t="s">
        <v>51</v>
      </c>
      <c r="B23" s="1703" t="s">
        <v>195</v>
      </c>
      <c r="C23" s="1703" t="s">
        <v>195</v>
      </c>
      <c r="D23" s="1731">
        <f t="shared" ref="D23:J23" si="1">SUM(D15/D20)</f>
        <v>2.86229527238936</v>
      </c>
      <c r="E23" s="1731">
        <f t="shared" si="1"/>
        <v>1.6334360579499978</v>
      </c>
      <c r="F23" s="1731">
        <f t="shared" si="1"/>
        <v>2.3918864300545093</v>
      </c>
      <c r="G23" s="1731">
        <f t="shared" si="1"/>
        <v>3.9508793814102012</v>
      </c>
      <c r="H23" s="1754">
        <f t="shared" si="1"/>
        <v>2.7850213195021962</v>
      </c>
      <c r="I23" s="1754">
        <f t="shared" si="1"/>
        <v>2.6889423300069621</v>
      </c>
      <c r="J23" s="1731">
        <f t="shared" si="1"/>
        <v>2.6889423300069621</v>
      </c>
      <c r="K23" s="1783">
        <f>SUM(K15/K20)</f>
        <v>4.1699676541058865</v>
      </c>
      <c r="L23" s="1783">
        <f>SUM(L15/L20)</f>
        <v>4.39106446024301</v>
      </c>
      <c r="M23" s="1783">
        <f>SUM(M15/M20)</f>
        <v>4.5035198765799933</v>
      </c>
      <c r="N23" s="1703" t="s">
        <v>65</v>
      </c>
      <c r="Q23" s="1229"/>
      <c r="R23" s="1674"/>
      <c r="S23" s="1678"/>
      <c r="T23" s="1678"/>
      <c r="U23" s="1678"/>
      <c r="V23" s="1286"/>
      <c r="W23" s="1286"/>
    </row>
    <row r="24" spans="1:23" s="1644" customFormat="1" x14ac:dyDescent="0.2">
      <c r="A24" s="1644" t="s">
        <v>52</v>
      </c>
      <c r="B24" s="1703" t="s">
        <v>195</v>
      </c>
      <c r="C24" s="1703" t="s">
        <v>195</v>
      </c>
      <c r="D24" s="1731">
        <f t="shared" ref="D24:J24" si="2">SUM(D15/D21)</f>
        <v>0.25752192042806232</v>
      </c>
      <c r="E24" s="1731">
        <f t="shared" si="2"/>
        <v>0.11342046087089561</v>
      </c>
      <c r="F24" s="1731">
        <f t="shared" si="2"/>
        <v>0.2095080996680401</v>
      </c>
      <c r="G24" s="1731">
        <f t="shared" si="2"/>
        <v>0.3837428548675173</v>
      </c>
      <c r="H24" s="1754">
        <f t="shared" si="2"/>
        <v>0.24211986392635776</v>
      </c>
      <c r="I24" s="1754">
        <f t="shared" si="2"/>
        <v>0.1745149935724081</v>
      </c>
      <c r="J24" s="1731">
        <f t="shared" si="2"/>
        <v>0.17451499357240813</v>
      </c>
      <c r="K24" s="1783">
        <f>SUM(K15/K21)</f>
        <v>0.37043271187793814</v>
      </c>
      <c r="L24" s="1783">
        <f>SUM(L15/L21)</f>
        <v>0.39007350918826794</v>
      </c>
      <c r="M24" s="1783">
        <f>SUM(M15/M21)</f>
        <v>0.40006331445643462</v>
      </c>
      <c r="N24" s="1703" t="s">
        <v>66</v>
      </c>
      <c r="Q24" s="1229"/>
      <c r="R24" s="1674"/>
      <c r="S24" s="1682"/>
      <c r="T24" s="1682"/>
      <c r="U24" s="1682"/>
      <c r="V24" s="1286"/>
      <c r="W24" s="1286"/>
    </row>
    <row r="25" spans="1:23" s="1644" customFormat="1" x14ac:dyDescent="0.2">
      <c r="C25" s="1729"/>
      <c r="H25" s="1753"/>
      <c r="I25" s="1753"/>
      <c r="K25" s="1782"/>
      <c r="L25" s="1782"/>
      <c r="M25" s="1782"/>
      <c r="N25" s="1703"/>
      <c r="Q25" s="1229"/>
      <c r="R25" s="1674"/>
      <c r="S25" s="1675"/>
      <c r="T25" s="1675"/>
      <c r="U25" s="1675"/>
      <c r="V25" s="1286"/>
      <c r="W25" s="1286"/>
    </row>
    <row r="26" spans="1:23" s="1644" customFormat="1" x14ac:dyDescent="0.2">
      <c r="A26" s="1644" t="s">
        <v>84</v>
      </c>
      <c r="B26" s="1703" t="s">
        <v>195</v>
      </c>
      <c r="C26" s="1703" t="s">
        <v>195</v>
      </c>
      <c r="D26" s="1755">
        <f>E26/E21*D21</f>
        <v>163130.26997975493</v>
      </c>
      <c r="E26" s="1714">
        <v>7855891.9291101238</v>
      </c>
      <c r="F26" s="1714">
        <v>2050247.7877231182</v>
      </c>
      <c r="G26" s="1714">
        <v>6112362</v>
      </c>
      <c r="H26" s="1714">
        <v>5695315</v>
      </c>
      <c r="I26" s="1714">
        <f>H26/H21*I21</f>
        <v>739873.25507771643</v>
      </c>
      <c r="J26" s="799">
        <f>H26/H21*J21</f>
        <v>2259124.6575655537</v>
      </c>
      <c r="K26" s="523">
        <v>2303352.7345882524</v>
      </c>
      <c r="L26" s="523">
        <v>2803430.5694436892</v>
      </c>
      <c r="M26" s="523">
        <v>3531424.5739667397</v>
      </c>
      <c r="N26" s="1703" t="s">
        <v>67</v>
      </c>
      <c r="Q26" s="1229"/>
      <c r="R26" s="1674"/>
      <c r="S26" s="1674"/>
      <c r="T26" s="1674"/>
      <c r="U26" s="1674"/>
      <c r="V26" s="1286"/>
      <c r="W26" s="1286"/>
    </row>
    <row r="27" spans="1:23" s="1644" customFormat="1" x14ac:dyDescent="0.2">
      <c r="A27" s="1644" t="s">
        <v>85</v>
      </c>
      <c r="B27" s="1703" t="s">
        <v>195</v>
      </c>
      <c r="C27" s="1703" t="s">
        <v>195</v>
      </c>
      <c r="D27" s="1786">
        <f t="shared" ref="D27:K27" si="3">SUM(D26/D15)</f>
        <v>3.310071829632022</v>
      </c>
      <c r="E27" s="1732">
        <f t="shared" si="3"/>
        <v>7.5155403864207315</v>
      </c>
      <c r="F27" s="1732">
        <f t="shared" si="3"/>
        <v>4.1680291514603525</v>
      </c>
      <c r="G27" s="1732">
        <f t="shared" si="3"/>
        <v>3.820718095816372</v>
      </c>
      <c r="H27" s="1754">
        <f t="shared" si="3"/>
        <v>2.3012917230004115</v>
      </c>
      <c r="I27" s="1754">
        <f t="shared" si="3"/>
        <v>3.1927826224084845</v>
      </c>
      <c r="J27" s="1732">
        <f t="shared" si="3"/>
        <v>3.1927826224084845</v>
      </c>
      <c r="K27" s="1774">
        <f t="shared" si="3"/>
        <v>1.6751656251550886</v>
      </c>
      <c r="L27" s="1773">
        <f>SUM(L26/L15)</f>
        <v>1.6578536779678845</v>
      </c>
      <c r="M27" s="1773">
        <f>SUM(M26/M15)</f>
        <v>1.6776363771813512</v>
      </c>
      <c r="N27" s="1703" t="s">
        <v>68</v>
      </c>
      <c r="O27" s="1792"/>
      <c r="Q27" s="1229"/>
      <c r="R27" s="1674"/>
      <c r="S27" s="1678"/>
      <c r="T27" s="1674"/>
      <c r="U27" s="1678"/>
      <c r="V27" s="1286"/>
      <c r="W27" s="1286"/>
    </row>
    <row r="28" spans="1:23" s="1644" customFormat="1" x14ac:dyDescent="0.2">
      <c r="A28" s="1644" t="s">
        <v>214</v>
      </c>
      <c r="B28" s="1703" t="s">
        <v>195</v>
      </c>
      <c r="C28" s="1703" t="s">
        <v>195</v>
      </c>
      <c r="D28" s="1782">
        <v>2</v>
      </c>
      <c r="E28" s="1733">
        <v>18</v>
      </c>
      <c r="F28" s="1733">
        <v>28</v>
      </c>
      <c r="G28" s="1733">
        <v>42</v>
      </c>
      <c r="H28" s="1751">
        <v>154</v>
      </c>
      <c r="I28" s="1751">
        <v>11</v>
      </c>
      <c r="J28" s="799">
        <f>H28/H23*J23</f>
        <v>148.68723478752014</v>
      </c>
      <c r="K28" s="523">
        <v>24</v>
      </c>
      <c r="L28" s="1727">
        <v>28</v>
      </c>
      <c r="M28" s="1727">
        <v>34</v>
      </c>
      <c r="N28" s="1703" t="s">
        <v>69</v>
      </c>
      <c r="Q28" s="1229"/>
      <c r="R28" s="1674"/>
      <c r="S28" s="1678"/>
      <c r="T28" s="1678"/>
      <c r="U28" s="1678"/>
      <c r="V28" s="1286"/>
      <c r="W28" s="1286"/>
    </row>
    <row r="29" spans="1:23" s="1644" customFormat="1" x14ac:dyDescent="0.2">
      <c r="A29" s="1644" t="s">
        <v>215</v>
      </c>
      <c r="B29" s="1703" t="s">
        <v>195</v>
      </c>
      <c r="C29" s="1703" t="s">
        <v>195</v>
      </c>
      <c r="D29" s="1734">
        <f>SUM(D21/D28)</f>
        <v>95687</v>
      </c>
      <c r="E29" s="1734">
        <f>SUM(E21/E28)</f>
        <v>512001.66666666669</v>
      </c>
      <c r="F29" s="1734">
        <f>SUM(F21/F28)</f>
        <v>83852.642857142855</v>
      </c>
      <c r="G29" s="1734">
        <f>SUM(G21/G28)</f>
        <v>99260.047619047618</v>
      </c>
      <c r="H29" s="1751">
        <f>H21/H28</f>
        <v>66373.532467532466</v>
      </c>
      <c r="I29" s="1751">
        <f>I21/I28</f>
        <v>120715.36363636363</v>
      </c>
      <c r="J29" s="1757">
        <f>J21/J28</f>
        <v>27268.698770309857</v>
      </c>
      <c r="K29" s="1734">
        <f>SUM(K21/K28)</f>
        <v>154661.46706164835</v>
      </c>
      <c r="L29" s="1734">
        <f>SUM(L21/L28)</f>
        <v>154824.29778052069</v>
      </c>
      <c r="M29" s="1734">
        <f>SUM(M21/M28)</f>
        <v>154754.91620620523</v>
      </c>
      <c r="N29" s="1703" t="s">
        <v>70</v>
      </c>
      <c r="Q29" s="1229"/>
      <c r="R29" s="1674"/>
      <c r="S29" s="1675"/>
      <c r="T29" s="1675"/>
      <c r="U29" s="1675"/>
      <c r="V29" s="1286"/>
      <c r="W29" s="1286"/>
    </row>
    <row r="30" spans="1:23" s="1644" customFormat="1" x14ac:dyDescent="0.2">
      <c r="A30" s="1644" t="s">
        <v>216</v>
      </c>
      <c r="B30" s="1703" t="s">
        <v>195</v>
      </c>
      <c r="C30" s="1703" t="s">
        <v>195</v>
      </c>
      <c r="D30" s="1714">
        <f>SUM(D15/D28)</f>
        <v>24641.5</v>
      </c>
      <c r="E30" s="1714">
        <f>SUM(E15/E28)</f>
        <v>58071.464999999997</v>
      </c>
      <c r="F30" s="1714">
        <f>SUM(F15/F28)</f>
        <v>17567.807857142856</v>
      </c>
      <c r="G30" s="1714">
        <f>SUM(G15/G28)</f>
        <v>38090.33404761905</v>
      </c>
      <c r="H30" s="1755">
        <f>H15/H28</f>
        <v>16070.35064935065</v>
      </c>
      <c r="I30" s="1755">
        <f>I15/I28</f>
        <v>21066.640909090907</v>
      </c>
      <c r="J30" s="1706">
        <f>J15/J28</f>
        <v>4758.7967906285576</v>
      </c>
      <c r="K30" s="1707">
        <f>SUM(K15/K28)</f>
        <v>57291.666666666802</v>
      </c>
      <c r="L30" s="1714">
        <f>SUM(L15/L28)</f>
        <v>60392.857142857065</v>
      </c>
      <c r="M30" s="1714">
        <f>SUM(M15/M28)</f>
        <v>61911.764705882269</v>
      </c>
      <c r="N30" s="1703" t="s">
        <v>72</v>
      </c>
      <c r="Q30" s="1229"/>
      <c r="R30" s="1674"/>
      <c r="S30" s="1675"/>
      <c r="T30" s="1675"/>
      <c r="U30" s="1675"/>
      <c r="V30" s="1286"/>
      <c r="W30" s="1286"/>
    </row>
    <row r="31" spans="1:23" s="1644" customFormat="1" x14ac:dyDescent="0.2">
      <c r="A31" s="1644" t="s">
        <v>217</v>
      </c>
      <c r="B31" s="1703" t="s">
        <v>195</v>
      </c>
      <c r="C31" s="1703" t="s">
        <v>195</v>
      </c>
      <c r="D31" s="1714">
        <f>SUM(D26/D28)</f>
        <v>81565.134989877464</v>
      </c>
      <c r="E31" s="1714">
        <f>SUM(E26/E28)</f>
        <v>436438.440506118</v>
      </c>
      <c r="F31" s="1714">
        <f>SUM(F26/F28)</f>
        <v>73223.135275825654</v>
      </c>
      <c r="G31" s="1714">
        <f>SUM(G26/G28)</f>
        <v>145532.42857142858</v>
      </c>
      <c r="H31" s="1755">
        <f>H26/H28</f>
        <v>36982.564935064933</v>
      </c>
      <c r="I31" s="1755">
        <f>I26/I28</f>
        <v>67261.205007065131</v>
      </c>
      <c r="J31" s="1706">
        <f>J26/J28</f>
        <v>15193.803696692126</v>
      </c>
      <c r="K31" s="1707">
        <f>SUM(K26/K28)</f>
        <v>95973.030607843844</v>
      </c>
      <c r="L31" s="1714">
        <f>SUM(L26/L28)</f>
        <v>100122.52033727462</v>
      </c>
      <c r="M31" s="1714">
        <f>SUM(M26/M28)</f>
        <v>103865.42864608057</v>
      </c>
      <c r="N31" s="1703" t="s">
        <v>73</v>
      </c>
      <c r="Q31" s="1286"/>
      <c r="R31" s="1286"/>
      <c r="S31" s="1286"/>
      <c r="T31" s="1286"/>
      <c r="U31" s="1286"/>
      <c r="V31" s="1286"/>
      <c r="W31" s="1286"/>
    </row>
    <row r="32" spans="1:23" s="1644" customFormat="1" ht="13.5" x14ac:dyDescent="0.2">
      <c r="A32" s="1644" t="s">
        <v>450</v>
      </c>
      <c r="B32" s="1703" t="s">
        <v>187</v>
      </c>
      <c r="C32" s="1706" t="s">
        <v>187</v>
      </c>
      <c r="D32" s="1776">
        <f t="shared" ref="D32:I32" si="4">D12/D21</f>
        <v>2.055660643556596E-2</v>
      </c>
      <c r="E32" s="1776">
        <f t="shared" si="4"/>
        <v>0.10626647591207929</v>
      </c>
      <c r="F32" s="1776">
        <f t="shared" si="4"/>
        <v>0.17666587730005953</v>
      </c>
      <c r="G32" s="1776">
        <f t="shared" si="4"/>
        <v>0.36226728156583404</v>
      </c>
      <c r="H32" s="1776">
        <f t="shared" si="4"/>
        <v>0.19723575466828625</v>
      </c>
      <c r="I32" s="1776">
        <f t="shared" si="4"/>
        <v>9.8537167446487578E-2</v>
      </c>
      <c r="J32" s="1776">
        <f>J12/J21</f>
        <v>0.13185829870135249</v>
      </c>
      <c r="K32" s="1776">
        <f>K12/K21</f>
        <v>0.29395017888954394</v>
      </c>
      <c r="L32" s="1776">
        <f>L12/L21</f>
        <v>0.31244562201127912</v>
      </c>
      <c r="M32" s="1776">
        <f>M12/M21</f>
        <v>0.32203598281144763</v>
      </c>
      <c r="N32" s="1639" t="s">
        <v>451</v>
      </c>
    </row>
    <row r="33" spans="1:21" s="1644" customFormat="1" ht="13.5" x14ac:dyDescent="0.2">
      <c r="A33" s="1644" t="s">
        <v>452</v>
      </c>
      <c r="B33" s="1703" t="s">
        <v>187</v>
      </c>
      <c r="C33" s="1706" t="s">
        <v>187</v>
      </c>
      <c r="D33" s="1776">
        <f t="shared" ref="D33:I33" si="5">D13/D21</f>
        <v>9.2541306551569176E-3</v>
      </c>
      <c r="E33" s="1776">
        <f t="shared" si="5"/>
        <v>3.0338442908714491E-4</v>
      </c>
      <c r="F33" s="1776">
        <f t="shared" si="5"/>
        <v>5.8889744509287977E-3</v>
      </c>
      <c r="G33" s="1776">
        <f t="shared" si="5"/>
        <v>1.1990557750900593E-3</v>
      </c>
      <c r="H33" s="1776">
        <f t="shared" si="5"/>
        <v>2.9349830808008668E-3</v>
      </c>
      <c r="I33" s="1776">
        <f t="shared" si="5"/>
        <v>2.1620589079193807E-2</v>
      </c>
      <c r="J33" s="1776">
        <f>J13/J21</f>
        <v>1.2138579350179771E-2</v>
      </c>
      <c r="K33" s="1776">
        <f>K13/K21</f>
        <v>8.7984188199020964E-3</v>
      </c>
      <c r="L33" s="1776">
        <f>L13/L21</f>
        <v>8.9301783923774747E-3</v>
      </c>
      <c r="M33" s="1776">
        <f>M13/M21</f>
        <v>8.9761297957557298E-3</v>
      </c>
      <c r="N33" s="1639" t="s">
        <v>453</v>
      </c>
    </row>
    <row r="34" spans="1:21" s="1644" customFormat="1" x14ac:dyDescent="0.2">
      <c r="A34" s="1704"/>
      <c r="B34" s="1735"/>
      <c r="C34" s="1736"/>
      <c r="D34" s="1736"/>
      <c r="H34" s="1727"/>
      <c r="I34" s="1737"/>
      <c r="J34" s="1703"/>
      <c r="K34" s="1703"/>
      <c r="L34" s="1703"/>
      <c r="M34" s="1703"/>
      <c r="O34" s="1703"/>
      <c r="P34" s="1229"/>
      <c r="Q34" s="1674"/>
      <c r="R34" s="1675"/>
      <c r="S34" s="1675"/>
      <c r="T34" s="1675"/>
      <c r="U34" s="1286"/>
    </row>
    <row r="35" spans="1:21" s="1644" customFormat="1" x14ac:dyDescent="0.2">
      <c r="A35" s="1738" t="s">
        <v>194</v>
      </c>
      <c r="B35" s="1739"/>
      <c r="C35" s="1286"/>
      <c r="H35" s="1714"/>
      <c r="J35" s="1703"/>
      <c r="K35" s="1703"/>
      <c r="L35" s="1703"/>
      <c r="M35" s="1703"/>
      <c r="O35" s="1703"/>
      <c r="P35" s="1229"/>
      <c r="Q35" s="1674"/>
      <c r="R35" s="1675"/>
      <c r="S35" s="1675"/>
      <c r="T35" s="1675"/>
      <c r="U35" s="1286"/>
    </row>
    <row r="36" spans="1:21" s="1644" customFormat="1" x14ac:dyDescent="0.2">
      <c r="A36" s="1738"/>
      <c r="J36" s="1703"/>
      <c r="K36" s="1703"/>
      <c r="L36" s="1703"/>
      <c r="M36" s="1703"/>
      <c r="O36" s="1703"/>
    </row>
    <row r="37" spans="1:21" s="1644" customFormat="1" x14ac:dyDescent="0.2">
      <c r="A37" s="1742" t="s">
        <v>185</v>
      </c>
      <c r="B37" s="1736" t="s">
        <v>1</v>
      </c>
      <c r="C37" s="1736" t="s">
        <v>186</v>
      </c>
      <c r="D37" s="1736" t="s">
        <v>18</v>
      </c>
      <c r="J37" s="1703"/>
      <c r="K37" s="1703"/>
      <c r="L37" s="1703"/>
      <c r="M37" s="1703"/>
      <c r="O37" s="1703"/>
    </row>
    <row r="38" spans="1:21" s="1644" customFormat="1" x14ac:dyDescent="0.2">
      <c r="A38" s="1742">
        <v>2006</v>
      </c>
      <c r="B38" s="1703" t="s">
        <v>195</v>
      </c>
      <c r="C38" s="1703" t="s">
        <v>195</v>
      </c>
      <c r="D38" s="1741" t="str">
        <f t="shared" ref="D38:D48" si="6">IF(ISERROR(C38/B38),"-",(C38/B38))</f>
        <v>-</v>
      </c>
      <c r="J38" s="1703"/>
      <c r="K38" s="1703"/>
      <c r="L38" s="1703"/>
      <c r="M38" s="1703"/>
      <c r="O38" s="1703"/>
    </row>
    <row r="39" spans="1:21" s="1644" customFormat="1" x14ac:dyDescent="0.2">
      <c r="A39" s="1742">
        <v>2007</v>
      </c>
      <c r="B39" s="1703" t="s">
        <v>195</v>
      </c>
      <c r="C39" s="1703" t="s">
        <v>195</v>
      </c>
      <c r="D39" s="1741" t="str">
        <f t="shared" si="6"/>
        <v>-</v>
      </c>
      <c r="J39" s="1703"/>
      <c r="K39" s="1703"/>
      <c r="L39" s="1703"/>
      <c r="M39" s="1703"/>
      <c r="O39" s="1703"/>
    </row>
    <row r="40" spans="1:21" s="1644" customFormat="1" x14ac:dyDescent="0.2">
      <c r="A40" s="1742">
        <v>2008</v>
      </c>
      <c r="B40" s="1760">
        <v>539535</v>
      </c>
      <c r="C40" s="1706">
        <v>49283</v>
      </c>
      <c r="D40" s="1741">
        <f t="shared" si="6"/>
        <v>9.1343471693217312E-2</v>
      </c>
      <c r="J40" s="1703"/>
      <c r="K40" s="1703"/>
      <c r="L40" s="1703"/>
      <c r="M40" s="1703"/>
      <c r="O40" s="1703"/>
    </row>
    <row r="41" spans="1:21" s="1644" customFormat="1" x14ac:dyDescent="0.2">
      <c r="A41" s="1742">
        <v>2009</v>
      </c>
      <c r="B41" s="1740">
        <v>890000</v>
      </c>
      <c r="C41" s="1760">
        <f>E15</f>
        <v>1045286.37</v>
      </c>
      <c r="D41" s="1741">
        <f t="shared" si="6"/>
        <v>1.1744790674157304</v>
      </c>
      <c r="J41" s="1703"/>
      <c r="K41" s="1703"/>
      <c r="L41" s="1703"/>
      <c r="M41" s="1703"/>
      <c r="O41" s="1703"/>
    </row>
    <row r="42" spans="1:21" s="1644" customFormat="1" x14ac:dyDescent="0.2">
      <c r="A42" s="1742">
        <v>2010</v>
      </c>
      <c r="B42" s="1740">
        <v>890000</v>
      </c>
      <c r="C42" s="1760">
        <v>491898.62</v>
      </c>
      <c r="D42" s="1741">
        <f t="shared" si="6"/>
        <v>0.55269507865168543</v>
      </c>
      <c r="J42" s="1703"/>
      <c r="K42" s="1703"/>
      <c r="L42" s="1703"/>
      <c r="M42" s="1703"/>
      <c r="O42" s="1703"/>
    </row>
    <row r="43" spans="1:21" s="1644" customFormat="1" ht="12" customHeight="1" x14ac:dyDescent="0.2">
      <c r="A43" s="1742">
        <v>2011</v>
      </c>
      <c r="B43" s="1740">
        <v>2007570</v>
      </c>
      <c r="C43" s="1760">
        <f>G15</f>
        <v>1599794.03</v>
      </c>
      <c r="D43" s="1741">
        <f t="shared" si="6"/>
        <v>0.79688082109216618</v>
      </c>
      <c r="J43" s="1703"/>
      <c r="K43" s="1703"/>
      <c r="L43" s="1703"/>
      <c r="M43" s="1703"/>
      <c r="O43" s="1703"/>
    </row>
    <row r="44" spans="1:21" s="1644" customFormat="1" x14ac:dyDescent="0.2">
      <c r="A44" s="1742" t="s">
        <v>319</v>
      </c>
      <c r="B44" s="1740">
        <f>H15</f>
        <v>2474834</v>
      </c>
      <c r="C44" s="1760">
        <f>I15</f>
        <v>231733.05</v>
      </c>
      <c r="D44" s="1741">
        <f t="shared" si="6"/>
        <v>9.3635795370517777E-2</v>
      </c>
      <c r="J44" s="1703"/>
      <c r="K44" s="1703"/>
      <c r="L44" s="1703"/>
      <c r="M44" s="1703"/>
    </row>
    <row r="45" spans="1:21" s="1644" customFormat="1" x14ac:dyDescent="0.2">
      <c r="A45" s="1742" t="s">
        <v>318</v>
      </c>
      <c r="B45" s="1740">
        <f>H15</f>
        <v>2474834</v>
      </c>
      <c r="C45" s="1760">
        <f>J15</f>
        <v>707572.33571428573</v>
      </c>
      <c r="D45" s="1741">
        <f t="shared" si="6"/>
        <v>0.28590698839368045</v>
      </c>
      <c r="J45" s="1703"/>
      <c r="K45" s="1703"/>
      <c r="L45" s="1703"/>
      <c r="M45" s="1703"/>
    </row>
    <row r="46" spans="1:21" s="1644" customFormat="1" x14ac:dyDescent="0.2">
      <c r="A46" s="1742">
        <v>2013</v>
      </c>
      <c r="B46" s="1740">
        <f>K15</f>
        <v>1375000.0000000033</v>
      </c>
      <c r="C46" s="1760" t="s">
        <v>187</v>
      </c>
      <c r="D46" s="1741" t="str">
        <f t="shared" si="6"/>
        <v>-</v>
      </c>
      <c r="J46" s="1703"/>
      <c r="K46" s="1703"/>
      <c r="L46" s="1703"/>
      <c r="M46" s="1703"/>
    </row>
    <row r="47" spans="1:21" s="1644" customFormat="1" x14ac:dyDescent="0.2">
      <c r="A47" s="1742">
        <v>2014</v>
      </c>
      <c r="B47" s="1740">
        <f>L15</f>
        <v>1690999.9999999979</v>
      </c>
      <c r="C47" s="1760" t="s">
        <v>187</v>
      </c>
      <c r="D47" s="1741" t="str">
        <f t="shared" si="6"/>
        <v>-</v>
      </c>
      <c r="J47" s="1703"/>
      <c r="K47" s="1703"/>
      <c r="L47" s="1703"/>
      <c r="M47" s="1703"/>
    </row>
    <row r="48" spans="1:21" s="1644" customFormat="1" x14ac:dyDescent="0.2">
      <c r="A48" s="1742">
        <v>2015</v>
      </c>
      <c r="B48" s="1740">
        <f>M15</f>
        <v>2104999.9999999972</v>
      </c>
      <c r="C48" s="1760" t="s">
        <v>187</v>
      </c>
      <c r="D48" s="1741" t="str">
        <f t="shared" si="6"/>
        <v>-</v>
      </c>
      <c r="J48" s="1703"/>
      <c r="K48" s="1703"/>
      <c r="L48" s="1703"/>
      <c r="M48" s="1703"/>
    </row>
    <row r="49" spans="1:15" s="1644" customFormat="1" x14ac:dyDescent="0.2">
      <c r="A49" s="1742"/>
      <c r="J49" s="1703"/>
      <c r="K49" s="1703"/>
      <c r="L49" s="1703"/>
      <c r="M49" s="1703"/>
      <c r="O49" s="1703"/>
    </row>
    <row r="50" spans="1:15" s="1644" customFormat="1" x14ac:dyDescent="0.2">
      <c r="A50" s="1743" t="s">
        <v>193</v>
      </c>
      <c r="J50" s="1703"/>
      <c r="K50" s="1703"/>
      <c r="L50" s="1703"/>
      <c r="M50" s="1703"/>
      <c r="O50" s="1703"/>
    </row>
    <row r="51" spans="1:15" s="1644" customFormat="1" x14ac:dyDescent="0.2">
      <c r="A51" s="1742" t="s">
        <v>185</v>
      </c>
      <c r="B51" s="1736" t="s">
        <v>188</v>
      </c>
      <c r="C51" s="1736" t="s">
        <v>186</v>
      </c>
      <c r="D51" s="1736" t="s">
        <v>189</v>
      </c>
      <c r="J51" s="1703"/>
      <c r="K51" s="1703"/>
      <c r="L51" s="1703"/>
      <c r="M51" s="1703"/>
      <c r="O51" s="1703"/>
    </row>
    <row r="52" spans="1:15" s="1644" customFormat="1" x14ac:dyDescent="0.2">
      <c r="A52" s="1742">
        <v>2006</v>
      </c>
      <c r="B52" s="1761" t="s">
        <v>195</v>
      </c>
      <c r="C52" s="1703" t="s">
        <v>195</v>
      </c>
      <c r="D52" s="1741" t="str">
        <f t="shared" ref="D52:D62" si="7">IF(ISERROR(C52/B52),"-",(C52/B52))</f>
        <v>-</v>
      </c>
      <c r="J52" s="1703"/>
      <c r="K52" s="1703"/>
      <c r="L52" s="1703"/>
      <c r="M52" s="1703"/>
      <c r="O52" s="1703"/>
    </row>
    <row r="53" spans="1:15" s="1644" customFormat="1" x14ac:dyDescent="0.2">
      <c r="A53" s="1742">
        <v>2007</v>
      </c>
      <c r="B53" s="1761" t="s">
        <v>195</v>
      </c>
      <c r="C53" s="1703" t="s">
        <v>195</v>
      </c>
      <c r="D53" s="1741" t="str">
        <f t="shared" si="7"/>
        <v>-</v>
      </c>
      <c r="J53" s="1703"/>
      <c r="K53" s="1703"/>
      <c r="L53" s="1703"/>
      <c r="M53" s="1703"/>
      <c r="O53" s="1703"/>
    </row>
    <row r="54" spans="1:15" s="1644" customFormat="1" x14ac:dyDescent="0.2">
      <c r="A54" s="1742">
        <v>2008</v>
      </c>
      <c r="B54" s="1761" t="s">
        <v>195</v>
      </c>
      <c r="C54" s="1703">
        <v>2</v>
      </c>
      <c r="D54" s="1741" t="str">
        <f t="shared" si="7"/>
        <v>-</v>
      </c>
      <c r="J54" s="1703"/>
      <c r="K54" s="1703"/>
      <c r="L54" s="1703"/>
      <c r="M54" s="1703"/>
      <c r="O54" s="1703"/>
    </row>
    <row r="55" spans="1:15" s="1644" customFormat="1" x14ac:dyDescent="0.2">
      <c r="A55" s="1742">
        <v>2009</v>
      </c>
      <c r="B55" s="1745">
        <v>30</v>
      </c>
      <c r="C55" s="1703">
        <v>18</v>
      </c>
      <c r="D55" s="1741">
        <f t="shared" si="7"/>
        <v>0.6</v>
      </c>
      <c r="J55" s="1703"/>
      <c r="K55" s="1703"/>
      <c r="L55" s="1703"/>
      <c r="M55" s="1703"/>
      <c r="O55" s="1703"/>
    </row>
    <row r="56" spans="1:15" s="1644" customFormat="1" x14ac:dyDescent="0.2">
      <c r="A56" s="1742">
        <v>2010</v>
      </c>
      <c r="B56" s="1745">
        <v>51</v>
      </c>
      <c r="C56" s="1703">
        <v>28</v>
      </c>
      <c r="D56" s="1741">
        <f t="shared" si="7"/>
        <v>0.5490196078431373</v>
      </c>
      <c r="J56" s="1703"/>
      <c r="K56" s="1703"/>
      <c r="L56" s="1703"/>
      <c r="M56" s="1703"/>
      <c r="O56" s="1703"/>
    </row>
    <row r="57" spans="1:15" s="1644" customFormat="1" x14ac:dyDescent="0.2">
      <c r="A57" s="1742">
        <v>2011</v>
      </c>
      <c r="B57" s="1745">
        <v>31</v>
      </c>
      <c r="C57" s="1761">
        <f>G28</f>
        <v>42</v>
      </c>
      <c r="D57" s="1741">
        <f t="shared" si="7"/>
        <v>1.3548387096774193</v>
      </c>
      <c r="J57" s="1703"/>
      <c r="K57" s="1703"/>
      <c r="L57" s="1703"/>
      <c r="M57" s="1703"/>
    </row>
    <row r="58" spans="1:15" s="1644" customFormat="1" x14ac:dyDescent="0.2">
      <c r="A58" s="1742" t="s">
        <v>319</v>
      </c>
      <c r="B58" s="1745">
        <f>H28</f>
        <v>154</v>
      </c>
      <c r="C58" s="1745">
        <f>I28</f>
        <v>11</v>
      </c>
      <c r="D58" s="1741">
        <f t="shared" si="7"/>
        <v>7.1428571428571425E-2</v>
      </c>
      <c r="J58" s="1703"/>
      <c r="K58" s="1703"/>
      <c r="L58" s="1703"/>
      <c r="M58" s="1703"/>
    </row>
    <row r="59" spans="1:15" s="1644" customFormat="1" x14ac:dyDescent="0.2">
      <c r="A59" s="1742" t="s">
        <v>318</v>
      </c>
      <c r="B59" s="1745">
        <f>H28</f>
        <v>154</v>
      </c>
      <c r="C59" s="1761">
        <f>J28</f>
        <v>148.68723478752014</v>
      </c>
      <c r="D59" s="1741">
        <f t="shared" si="7"/>
        <v>0.96550152459428662</v>
      </c>
      <c r="J59" s="1703"/>
      <c r="K59" s="1703"/>
      <c r="L59" s="1703"/>
      <c r="M59" s="1703"/>
    </row>
    <row r="60" spans="1:15" s="1644" customFormat="1" x14ac:dyDescent="0.2">
      <c r="A60" s="1742">
        <v>2013</v>
      </c>
      <c r="B60" s="1745">
        <f>K28</f>
        <v>24</v>
      </c>
      <c r="C60" s="1706" t="s">
        <v>187</v>
      </c>
      <c r="D60" s="1741" t="str">
        <f t="shared" si="7"/>
        <v>-</v>
      </c>
      <c r="J60" s="1703"/>
      <c r="K60" s="1703"/>
      <c r="L60" s="1703"/>
      <c r="M60" s="1703"/>
    </row>
    <row r="61" spans="1:15" s="1644" customFormat="1" x14ac:dyDescent="0.2">
      <c r="A61" s="1742">
        <v>2014</v>
      </c>
      <c r="B61" s="1745">
        <f>L28</f>
        <v>28</v>
      </c>
      <c r="C61" s="1706" t="s">
        <v>187</v>
      </c>
      <c r="D61" s="1741" t="str">
        <f t="shared" si="7"/>
        <v>-</v>
      </c>
      <c r="J61" s="1703"/>
      <c r="K61" s="1703"/>
      <c r="L61" s="1703"/>
      <c r="M61" s="1703"/>
    </row>
    <row r="62" spans="1:15" s="1644" customFormat="1" x14ac:dyDescent="0.2">
      <c r="A62" s="1742">
        <v>2015</v>
      </c>
      <c r="B62" s="1745">
        <f>M28</f>
        <v>34</v>
      </c>
      <c r="C62" s="1706" t="s">
        <v>187</v>
      </c>
      <c r="D62" s="1741" t="str">
        <f t="shared" si="7"/>
        <v>-</v>
      </c>
      <c r="J62" s="1703"/>
      <c r="K62" s="1703"/>
      <c r="L62" s="1703"/>
      <c r="M62" s="1703"/>
    </row>
    <row r="63" spans="1:15" s="1644" customFormat="1" x14ac:dyDescent="0.2">
      <c r="J63" s="1703"/>
      <c r="K63" s="1703"/>
      <c r="L63" s="1703"/>
      <c r="M63" s="1703"/>
      <c r="O63" s="1703"/>
    </row>
    <row r="64" spans="1:15" s="1644" customFormat="1" x14ac:dyDescent="0.2">
      <c r="A64" s="1743" t="s">
        <v>191</v>
      </c>
      <c r="J64" s="1703"/>
      <c r="K64" s="1703"/>
      <c r="L64" s="1703"/>
      <c r="M64" s="1703"/>
      <c r="O64" s="1703"/>
    </row>
    <row r="65" spans="1:15" s="1644" customFormat="1" x14ac:dyDescent="0.2">
      <c r="A65" s="1742" t="s">
        <v>185</v>
      </c>
      <c r="B65" s="1736" t="s">
        <v>188</v>
      </c>
      <c r="C65" s="1736" t="s">
        <v>186</v>
      </c>
      <c r="D65" s="1736" t="s">
        <v>189</v>
      </c>
      <c r="J65" s="1703"/>
      <c r="K65" s="1703"/>
      <c r="L65" s="1703"/>
      <c r="M65" s="1703"/>
      <c r="O65" s="1703"/>
    </row>
    <row r="66" spans="1:15" s="1644" customFormat="1" x14ac:dyDescent="0.2">
      <c r="A66" s="1742">
        <v>2006</v>
      </c>
      <c r="B66" s="1703" t="s">
        <v>195</v>
      </c>
      <c r="C66" s="1703" t="s">
        <v>195</v>
      </c>
      <c r="D66" s="1741" t="str">
        <f t="shared" ref="D66:D76" si="8">IF(ISERROR(C66/B66),"-",(C66/B66))</f>
        <v>-</v>
      </c>
      <c r="J66" s="1703"/>
      <c r="K66" s="1703"/>
      <c r="L66" s="1703"/>
      <c r="M66" s="1703"/>
      <c r="O66" s="1703"/>
    </row>
    <row r="67" spans="1:15" s="1644" customFormat="1" x14ac:dyDescent="0.2">
      <c r="A67" s="1742">
        <v>2007</v>
      </c>
      <c r="B67" s="1703" t="s">
        <v>195</v>
      </c>
      <c r="C67" s="1703" t="s">
        <v>195</v>
      </c>
      <c r="D67" s="1741" t="str">
        <f t="shared" si="8"/>
        <v>-</v>
      </c>
      <c r="J67" s="1703"/>
      <c r="K67" s="1703"/>
      <c r="L67" s="1703"/>
      <c r="M67" s="1703"/>
      <c r="O67" s="1703"/>
    </row>
    <row r="68" spans="1:15" s="1644" customFormat="1" x14ac:dyDescent="0.2">
      <c r="A68" s="1742">
        <v>2008</v>
      </c>
      <c r="B68" s="1703" t="s">
        <v>195</v>
      </c>
      <c r="C68" s="1761">
        <v>17218</v>
      </c>
      <c r="D68" s="1741" t="str">
        <f t="shared" si="8"/>
        <v>-</v>
      </c>
      <c r="J68" s="1703"/>
      <c r="K68" s="1703"/>
      <c r="L68" s="1703"/>
      <c r="M68" s="1703"/>
      <c r="O68" s="1703"/>
    </row>
    <row r="69" spans="1:15" s="1644" customFormat="1" x14ac:dyDescent="0.2">
      <c r="A69" s="1742">
        <v>2009</v>
      </c>
      <c r="B69" s="1745">
        <v>158038.1927350857</v>
      </c>
      <c r="C69" s="1761">
        <v>639931</v>
      </c>
      <c r="D69" s="1741">
        <f t="shared" si="8"/>
        <v>4.0492174007120898</v>
      </c>
      <c r="J69" s="1703"/>
      <c r="K69" s="1703"/>
      <c r="L69" s="1703"/>
      <c r="M69" s="1703"/>
      <c r="O69" s="1703"/>
    </row>
    <row r="70" spans="1:15" s="1644" customFormat="1" x14ac:dyDescent="0.2">
      <c r="A70" s="1742">
        <v>2010</v>
      </c>
      <c r="B70" s="1745">
        <v>435940</v>
      </c>
      <c r="C70" s="1761">
        <v>205653</v>
      </c>
      <c r="D70" s="1741">
        <f t="shared" si="8"/>
        <v>0.47174611185025461</v>
      </c>
      <c r="J70" s="1703"/>
      <c r="K70" s="1703"/>
      <c r="L70" s="1703"/>
      <c r="M70" s="1703"/>
      <c r="O70" s="1703"/>
    </row>
    <row r="71" spans="1:15" s="1644" customFormat="1" x14ac:dyDescent="0.2">
      <c r="A71" s="1742">
        <v>2011</v>
      </c>
      <c r="B71" s="1762">
        <v>548792</v>
      </c>
      <c r="C71" s="1745">
        <f>G20</f>
        <v>404921</v>
      </c>
      <c r="D71" s="1741">
        <f t="shared" si="8"/>
        <v>0.7378405661890115</v>
      </c>
      <c r="J71" s="1703"/>
      <c r="K71" s="1703"/>
      <c r="L71" s="1703"/>
      <c r="M71" s="1703"/>
      <c r="O71" s="1703"/>
    </row>
    <row r="72" spans="1:15" s="1644" customFormat="1" x14ac:dyDescent="0.2">
      <c r="A72" s="1742" t="s">
        <v>319</v>
      </c>
      <c r="B72" s="1745">
        <f>H20</f>
        <v>888623</v>
      </c>
      <c r="C72" s="1745">
        <f>I20</f>
        <v>86180</v>
      </c>
      <c r="D72" s="1788">
        <f t="shared" si="8"/>
        <v>9.6981509594057325E-2</v>
      </c>
      <c r="J72" s="1703"/>
      <c r="K72" s="1703"/>
      <c r="L72" s="1703"/>
      <c r="M72" s="1703"/>
    </row>
    <row r="73" spans="1:15" x14ac:dyDescent="0.2">
      <c r="A73" s="1742" t="s">
        <v>318</v>
      </c>
      <c r="B73" s="1745">
        <f>H20</f>
        <v>888623</v>
      </c>
      <c r="C73" s="1745">
        <f>J20</f>
        <v>263141.50653891254</v>
      </c>
      <c r="D73" s="1788">
        <f t="shared" si="8"/>
        <v>0.2961227725806248</v>
      </c>
      <c r="E73" s="1188"/>
      <c r="F73" s="1188"/>
      <c r="H73" s="1644"/>
      <c r="I73" s="1644"/>
      <c r="J73" s="1703"/>
      <c r="K73" s="1703"/>
      <c r="L73" s="1703"/>
      <c r="M73" s="1703"/>
    </row>
    <row r="74" spans="1:15" x14ac:dyDescent="0.2">
      <c r="A74" s="1742">
        <v>2013</v>
      </c>
      <c r="B74" s="1745">
        <f>K20</f>
        <v>329738.76875187107</v>
      </c>
      <c r="C74" s="1787" t="s">
        <v>187</v>
      </c>
      <c r="D74" s="1741" t="str">
        <f t="shared" si="8"/>
        <v>-</v>
      </c>
      <c r="E74" s="1188"/>
      <c r="F74" s="1188"/>
      <c r="H74" s="1644"/>
      <c r="I74" s="1644"/>
      <c r="J74" s="1703"/>
      <c r="K74" s="1703"/>
      <c r="L74" s="1703"/>
      <c r="M74" s="1703"/>
    </row>
    <row r="75" spans="1:15" x14ac:dyDescent="0.2">
      <c r="A75" s="1742">
        <v>2014</v>
      </c>
      <c r="B75" s="1745">
        <f>L20</f>
        <v>385100.24512516829</v>
      </c>
      <c r="C75" s="1787" t="s">
        <v>187</v>
      </c>
      <c r="D75" s="1741" t="str">
        <f t="shared" si="8"/>
        <v>-</v>
      </c>
      <c r="E75" s="1188"/>
      <c r="F75" s="1188"/>
      <c r="H75" s="1644"/>
      <c r="I75" s="1644"/>
      <c r="J75" s="1703"/>
      <c r="K75" s="1703"/>
      <c r="L75" s="1703"/>
      <c r="M75" s="1703"/>
    </row>
    <row r="76" spans="1:15" x14ac:dyDescent="0.2">
      <c r="A76" s="1742">
        <v>2015</v>
      </c>
      <c r="B76" s="1745">
        <f>M20</f>
        <v>467412.17041070329</v>
      </c>
      <c r="C76" s="1787" t="s">
        <v>187</v>
      </c>
      <c r="D76" s="1741" t="str">
        <f t="shared" si="8"/>
        <v>-</v>
      </c>
      <c r="E76" s="1188"/>
      <c r="F76" s="1188"/>
      <c r="H76" s="1644"/>
      <c r="I76" s="1644"/>
      <c r="J76" s="1703"/>
      <c r="K76" s="1703"/>
      <c r="L76" s="1703"/>
      <c r="M76" s="1703"/>
    </row>
    <row r="77" spans="1:15" x14ac:dyDescent="0.2">
      <c r="A77" s="1742"/>
      <c r="B77" s="1789"/>
      <c r="C77" s="1789"/>
      <c r="H77" s="1644"/>
      <c r="I77" s="1644"/>
      <c r="J77" s="1703"/>
      <c r="K77" s="1703"/>
      <c r="L77" s="1703"/>
      <c r="M77" s="1703"/>
    </row>
    <row r="78" spans="1:15" x14ac:dyDescent="0.2">
      <c r="A78" s="1743" t="s">
        <v>190</v>
      </c>
      <c r="B78" s="1789"/>
      <c r="C78" s="1789"/>
      <c r="H78" s="1644"/>
      <c r="I78" s="1644"/>
      <c r="J78" s="1703"/>
      <c r="K78" s="1703"/>
      <c r="L78" s="1703"/>
      <c r="M78" s="1703"/>
    </row>
    <row r="79" spans="1:15" x14ac:dyDescent="0.2">
      <c r="A79" s="1742" t="s">
        <v>185</v>
      </c>
      <c r="B79" s="1748" t="s">
        <v>188</v>
      </c>
      <c r="C79" s="1748" t="s">
        <v>186</v>
      </c>
      <c r="D79" s="1736" t="s">
        <v>189</v>
      </c>
      <c r="H79" s="1644"/>
      <c r="I79" s="1644"/>
      <c r="J79" s="1703"/>
      <c r="K79" s="1703"/>
      <c r="L79" s="1703"/>
      <c r="M79" s="1703"/>
    </row>
    <row r="80" spans="1:15" x14ac:dyDescent="0.2">
      <c r="A80" s="1742">
        <v>2006</v>
      </c>
      <c r="B80" s="1761" t="s">
        <v>195</v>
      </c>
      <c r="C80" s="1761" t="s">
        <v>195</v>
      </c>
      <c r="D80" s="1741" t="str">
        <f t="shared" ref="D80:D90" si="9">IF(ISERROR(C80/B80),"-",(C80/B80))</f>
        <v>-</v>
      </c>
      <c r="H80" s="1644"/>
      <c r="I80" s="1644"/>
      <c r="J80" s="1703"/>
      <c r="K80" s="1703"/>
      <c r="L80" s="1703"/>
      <c r="M80" s="1703"/>
    </row>
    <row r="81" spans="1:13" x14ac:dyDescent="0.2">
      <c r="A81" s="1742">
        <v>2007</v>
      </c>
      <c r="B81" s="1761" t="s">
        <v>195</v>
      </c>
      <c r="C81" s="1761" t="s">
        <v>195</v>
      </c>
      <c r="D81" s="1741" t="str">
        <f t="shared" si="9"/>
        <v>-</v>
      </c>
      <c r="H81" s="1644"/>
      <c r="I81" s="1644"/>
      <c r="J81" s="1703"/>
      <c r="K81" s="1703"/>
      <c r="L81" s="1703"/>
      <c r="M81" s="1703"/>
    </row>
    <row r="82" spans="1:13" x14ac:dyDescent="0.2">
      <c r="A82" s="1742">
        <v>2008</v>
      </c>
      <c r="B82" s="1761" t="s">
        <v>195</v>
      </c>
      <c r="C82" s="1763">
        <v>191374</v>
      </c>
      <c r="D82" s="1741" t="str">
        <f t="shared" si="9"/>
        <v>-</v>
      </c>
      <c r="H82" s="1644"/>
      <c r="I82" s="1644"/>
      <c r="J82" s="1703"/>
      <c r="K82" s="1703"/>
      <c r="L82" s="1703"/>
      <c r="M82" s="1703"/>
    </row>
    <row r="83" spans="1:13" x14ac:dyDescent="0.2">
      <c r="A83" s="1742">
        <v>2009</v>
      </c>
      <c r="B83" s="1745">
        <v>1738420.1200859428</v>
      </c>
      <c r="C83" s="1761">
        <v>9216030</v>
      </c>
      <c r="D83" s="1741">
        <f t="shared" si="9"/>
        <v>5.3013824986933447</v>
      </c>
      <c r="H83" s="1644"/>
      <c r="I83" s="1644"/>
      <c r="J83" s="1703"/>
      <c r="K83" s="1703"/>
      <c r="L83" s="1703"/>
      <c r="M83" s="1703"/>
    </row>
    <row r="84" spans="1:13" x14ac:dyDescent="0.2">
      <c r="A84" s="1742">
        <v>2010</v>
      </c>
      <c r="B84" s="1745">
        <v>6693658</v>
      </c>
      <c r="C84" s="1761">
        <v>2347874</v>
      </c>
      <c r="D84" s="1741">
        <f t="shared" si="9"/>
        <v>0.3507609740443865</v>
      </c>
      <c r="H84" s="1644"/>
      <c r="I84" s="1644"/>
      <c r="J84" s="1703"/>
      <c r="K84" s="1703"/>
      <c r="L84" s="1703"/>
      <c r="M84" s="1703"/>
    </row>
    <row r="85" spans="1:13" x14ac:dyDescent="0.2">
      <c r="A85" s="1742">
        <v>2011</v>
      </c>
      <c r="B85" s="1745">
        <v>3032051</v>
      </c>
      <c r="C85" s="1761">
        <f>G21</f>
        <v>4168922</v>
      </c>
      <c r="D85" s="1741">
        <f t="shared" si="9"/>
        <v>1.3749511469299165</v>
      </c>
      <c r="H85" s="1644"/>
      <c r="I85" s="1644"/>
      <c r="J85" s="1703"/>
      <c r="K85" s="1703"/>
      <c r="L85" s="1703"/>
      <c r="M85" s="1703"/>
    </row>
    <row r="86" spans="1:13" x14ac:dyDescent="0.2">
      <c r="A86" s="1742" t="s">
        <v>319</v>
      </c>
      <c r="B86" s="1761">
        <f>H21</f>
        <v>10221524</v>
      </c>
      <c r="C86" s="1761">
        <f>I21</f>
        <v>1327869</v>
      </c>
      <c r="D86" s="1741">
        <f t="shared" si="9"/>
        <v>0.12990910161733221</v>
      </c>
      <c r="H86" s="1644"/>
      <c r="I86" s="1644"/>
      <c r="J86" s="1703"/>
      <c r="K86" s="1703"/>
      <c r="L86" s="1703"/>
      <c r="M86" s="1703"/>
    </row>
    <row r="87" spans="1:13" x14ac:dyDescent="0.2">
      <c r="A87" s="1742" t="s">
        <v>318</v>
      </c>
      <c r="B87" s="1761">
        <f>H21</f>
        <v>10221524</v>
      </c>
      <c r="C87" s="1761">
        <f>J21</f>
        <v>4054507.4164112234</v>
      </c>
      <c r="D87" s="1741">
        <f t="shared" si="9"/>
        <v>0.39666368893828585</v>
      </c>
      <c r="H87" s="1644"/>
      <c r="I87" s="1644"/>
      <c r="J87" s="1698"/>
      <c r="K87" s="1698"/>
      <c r="L87" s="1698"/>
      <c r="M87" s="1698"/>
    </row>
    <row r="88" spans="1:13" x14ac:dyDescent="0.2">
      <c r="A88" s="1742">
        <v>2013</v>
      </c>
      <c r="B88" s="1761">
        <f>K21</f>
        <v>3711875.2094795601</v>
      </c>
      <c r="C88" s="1761" t="s">
        <v>187</v>
      </c>
      <c r="D88" s="1741" t="str">
        <f t="shared" si="9"/>
        <v>-</v>
      </c>
      <c r="H88" s="1644"/>
      <c r="I88" s="1644"/>
    </row>
    <row r="89" spans="1:13" x14ac:dyDescent="0.2">
      <c r="A89" s="1742">
        <v>2014</v>
      </c>
      <c r="B89" s="1761">
        <f>L21</f>
        <v>4335080.3378545791</v>
      </c>
      <c r="C89" s="1761" t="s">
        <v>187</v>
      </c>
      <c r="D89" s="1741" t="str">
        <f t="shared" si="9"/>
        <v>-</v>
      </c>
      <c r="H89" s="1644"/>
      <c r="I89" s="1644"/>
    </row>
    <row r="90" spans="1:13" x14ac:dyDescent="0.2">
      <c r="A90" s="1742">
        <v>2015</v>
      </c>
      <c r="B90" s="1761">
        <f>M21</f>
        <v>5261667.151010978</v>
      </c>
      <c r="C90" s="1761" t="s">
        <v>187</v>
      </c>
      <c r="D90" s="1741" t="str">
        <f t="shared" si="9"/>
        <v>-</v>
      </c>
      <c r="H90" s="1644"/>
      <c r="I90" s="1644"/>
    </row>
    <row r="91" spans="1:13" x14ac:dyDescent="0.2">
      <c r="B91" s="1789"/>
      <c r="C91" s="1789"/>
      <c r="H91" s="1644"/>
      <c r="I91" s="1644"/>
    </row>
    <row r="92" spans="1:13" x14ac:dyDescent="0.2">
      <c r="B92" s="1789"/>
      <c r="C92" s="1789"/>
      <c r="H92" s="1644"/>
      <c r="I92" s="1644"/>
    </row>
    <row r="93" spans="1:13" x14ac:dyDescent="0.2">
      <c r="B93" s="1789"/>
      <c r="C93" s="1789"/>
      <c r="H93" s="1644"/>
      <c r="I93" s="1644"/>
    </row>
    <row r="94" spans="1:13" x14ac:dyDescent="0.2">
      <c r="B94" s="1789"/>
      <c r="C94" s="1789"/>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O1"/>
  </mergeCells>
  <pageMargins left="0.98" right="0.75" top="1.1499999999999999" bottom="1" header="0.5" footer="0.5"/>
  <pageSetup scale="47" orientation="portrait" r:id="rId1"/>
  <headerFooter alignWithMargins="0">
    <oddFooter>&amp;C&amp;1#&amp;"Calibri"&amp;12&amp;K008000Internal Use</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9">
    <tabColor indexed="11"/>
    <pageSetUpPr fitToPage="1"/>
  </sheetPr>
  <dimension ref="A1:T127"/>
  <sheetViews>
    <sheetView topLeftCell="D1" workbookViewId="0">
      <selection activeCell="J57" sqref="J57"/>
    </sheetView>
  </sheetViews>
  <sheetFormatPr defaultRowHeight="12.75" x14ac:dyDescent="0.2"/>
  <cols>
    <col min="1" max="1" width="40.140625" style="1635" customWidth="1"/>
    <col min="2" max="2" width="12" style="1635" customWidth="1"/>
    <col min="3" max="3" width="10.5703125" style="1635" customWidth="1"/>
    <col min="4" max="4" width="11.7109375" style="1635" bestFit="1" customWidth="1"/>
    <col min="5" max="5" width="10.7109375" style="1635" customWidth="1"/>
    <col min="6" max="6" width="12.7109375" style="1635" customWidth="1"/>
    <col min="7" max="7" width="10.7109375" style="1635" customWidth="1"/>
    <col min="8" max="8" width="12" style="1188" customWidth="1"/>
    <col min="9" max="9" width="13.28515625" style="1188" customWidth="1"/>
    <col min="10" max="10" width="11.42578125" style="1635" customWidth="1"/>
    <col min="11" max="11" width="12" style="1635" customWidth="1"/>
    <col min="12" max="12" width="12.140625" style="1635" customWidth="1"/>
    <col min="13" max="13" width="12.42578125" style="1635" customWidth="1"/>
    <col min="14" max="14" width="6.85546875" style="1635" customWidth="1"/>
    <col min="15" max="15" width="2.42578125" style="1635" customWidth="1"/>
    <col min="16" max="16" width="11.42578125" style="1635" customWidth="1"/>
    <col min="17" max="17" width="10.7109375" style="1635" customWidth="1"/>
    <col min="18" max="18" width="12.28515625" style="1635" customWidth="1"/>
    <col min="19" max="16384" width="9.140625" style="1635"/>
  </cols>
  <sheetData>
    <row r="1" spans="1:14" ht="15.75" x14ac:dyDescent="0.25">
      <c r="A1" s="2976" t="s">
        <v>48</v>
      </c>
      <c r="B1" s="2976"/>
      <c r="C1" s="2976"/>
      <c r="D1" s="2976"/>
      <c r="E1" s="2976"/>
      <c r="F1" s="2976"/>
      <c r="G1" s="2976"/>
      <c r="H1" s="2976"/>
      <c r="I1" s="2976"/>
      <c r="J1" s="2976"/>
      <c r="K1" s="2976"/>
      <c r="L1" s="2976"/>
    </row>
    <row r="2" spans="1:14" x14ac:dyDescent="0.2">
      <c r="A2" s="1699"/>
    </row>
    <row r="3" spans="1:14" ht="15.75" x14ac:dyDescent="0.25">
      <c r="A3" s="1700" t="s">
        <v>205</v>
      </c>
    </row>
    <row r="4" spans="1:14" x14ac:dyDescent="0.2">
      <c r="A4" s="1699"/>
    </row>
    <row r="5" spans="1:14" x14ac:dyDescent="0.2">
      <c r="A5" s="1749"/>
      <c r="H5" s="1702"/>
      <c r="I5" s="1702"/>
      <c r="J5" s="1644"/>
    </row>
    <row r="6" spans="1:14" s="1644" customFormat="1" x14ac:dyDescent="0.2">
      <c r="A6" s="1701"/>
      <c r="B6" s="1790">
        <v>2006</v>
      </c>
      <c r="C6" s="1790">
        <v>2007</v>
      </c>
      <c r="D6" s="1790">
        <v>2008</v>
      </c>
      <c r="E6" s="1790">
        <v>2009</v>
      </c>
      <c r="F6" s="1790">
        <v>2010</v>
      </c>
      <c r="G6" s="1634">
        <v>2011</v>
      </c>
      <c r="H6" s="1634">
        <v>2012</v>
      </c>
      <c r="I6" s="1634">
        <v>2012</v>
      </c>
      <c r="J6" s="1634">
        <v>2012</v>
      </c>
      <c r="K6" s="1634">
        <v>2013</v>
      </c>
      <c r="L6" s="1634">
        <v>2014</v>
      </c>
      <c r="M6" s="1634">
        <v>2015</v>
      </c>
    </row>
    <row r="7" spans="1:14" s="1644" customFormat="1" x14ac:dyDescent="0.2">
      <c r="A7" s="1704" t="s">
        <v>44</v>
      </c>
      <c r="B7" s="1738" t="s">
        <v>148</v>
      </c>
      <c r="C7" s="1738" t="s">
        <v>148</v>
      </c>
      <c r="D7" s="1738" t="s">
        <v>148</v>
      </c>
      <c r="E7" s="1738" t="s">
        <v>148</v>
      </c>
      <c r="F7" s="1738" t="s">
        <v>148</v>
      </c>
      <c r="G7" s="1645" t="s">
        <v>148</v>
      </c>
      <c r="H7" s="1645" t="s">
        <v>1</v>
      </c>
      <c r="I7" s="1645" t="s">
        <v>442</v>
      </c>
      <c r="J7" s="1645" t="s">
        <v>212</v>
      </c>
      <c r="K7" s="1645" t="s">
        <v>1</v>
      </c>
      <c r="L7" s="1645" t="s">
        <v>1</v>
      </c>
      <c r="M7" s="1645" t="s">
        <v>1</v>
      </c>
    </row>
    <row r="8" spans="1:14" s="1644" customFormat="1" x14ac:dyDescent="0.2">
      <c r="A8" s="1286"/>
      <c r="H8" s="1705"/>
      <c r="I8" s="1705"/>
    </row>
    <row r="9" spans="1:14" s="1644" customFormat="1" x14ac:dyDescent="0.2">
      <c r="A9" s="1286" t="s">
        <v>53</v>
      </c>
      <c r="B9" s="1703" t="s">
        <v>195</v>
      </c>
      <c r="C9" s="1703" t="s">
        <v>195</v>
      </c>
      <c r="D9" s="1707">
        <v>5316.5</v>
      </c>
      <c r="E9" s="1707">
        <v>10774.68</v>
      </c>
      <c r="F9" s="1707">
        <v>5006.4399999999996</v>
      </c>
      <c r="G9" s="1707">
        <v>5181.9699999999993</v>
      </c>
      <c r="H9" s="1708">
        <v>75170</v>
      </c>
      <c r="I9" s="1708">
        <v>3398.1000000000004</v>
      </c>
      <c r="J9" s="1707">
        <v>5825.3142857142857</v>
      </c>
      <c r="K9" s="1707">
        <v>39236.967071284482</v>
      </c>
      <c r="L9" s="1707">
        <v>43979.983182899203</v>
      </c>
      <c r="M9" s="1707">
        <v>50668.776828215094</v>
      </c>
    </row>
    <row r="10" spans="1:14" s="1644" customFormat="1" x14ac:dyDescent="0.2">
      <c r="A10" s="1286" t="s">
        <v>45</v>
      </c>
      <c r="B10" s="1703" t="s">
        <v>195</v>
      </c>
      <c r="C10" s="1703" t="s">
        <v>195</v>
      </c>
      <c r="D10" s="1707">
        <v>2090</v>
      </c>
      <c r="E10" s="1707">
        <v>3430.7</v>
      </c>
      <c r="F10" s="1707">
        <v>618.34</v>
      </c>
      <c r="G10" s="1707">
        <v>980.58</v>
      </c>
      <c r="H10" s="1708">
        <v>15000</v>
      </c>
      <c r="I10" s="1708">
        <v>113.95</v>
      </c>
      <c r="J10" s="1707">
        <v>195.34285714285718</v>
      </c>
      <c r="K10" s="1707">
        <v>13230.690369757602</v>
      </c>
      <c r="L10" s="1707">
        <v>15033.210968081457</v>
      </c>
      <c r="M10" s="1707">
        <v>17575.207837573857</v>
      </c>
    </row>
    <row r="11" spans="1:14" s="1644" customFormat="1" x14ac:dyDescent="0.2">
      <c r="A11" s="1286" t="s">
        <v>202</v>
      </c>
      <c r="B11" s="1703" t="s">
        <v>195</v>
      </c>
      <c r="C11" s="1703" t="s">
        <v>195</v>
      </c>
      <c r="D11" s="1707">
        <v>100.5</v>
      </c>
      <c r="E11" s="1707">
        <v>0</v>
      </c>
      <c r="F11" s="1707">
        <v>516.80999999999995</v>
      </c>
      <c r="G11" s="1707"/>
      <c r="H11" s="1708">
        <v>1500</v>
      </c>
      <c r="I11" s="1708">
        <v>0</v>
      </c>
      <c r="J11" s="1707">
        <v>0</v>
      </c>
      <c r="K11" s="1707">
        <v>1730.2539291011378</v>
      </c>
      <c r="L11" s="1707">
        <v>1910.5075746651846</v>
      </c>
      <c r="M11" s="1707">
        <v>2164.7072616144246</v>
      </c>
    </row>
    <row r="12" spans="1:14" s="1644" customFormat="1" x14ac:dyDescent="0.2">
      <c r="A12" s="1286" t="s">
        <v>2</v>
      </c>
      <c r="B12" s="1703" t="s">
        <v>195</v>
      </c>
      <c r="C12" s="1703" t="s">
        <v>195</v>
      </c>
      <c r="D12" s="1707">
        <v>0</v>
      </c>
      <c r="E12" s="1707">
        <v>3250</v>
      </c>
      <c r="F12" s="1707">
        <v>116347.18</v>
      </c>
      <c r="G12" s="1707">
        <v>18524.080000000002</v>
      </c>
      <c r="H12" s="1708">
        <v>220378</v>
      </c>
      <c r="I12" s="1708">
        <v>24891.599999999999</v>
      </c>
      <c r="J12" s="1707">
        <v>42671.314285714288</v>
      </c>
      <c r="K12" s="1707">
        <v>278696.41100854101</v>
      </c>
      <c r="L12" s="1707">
        <v>309468.60162441299</v>
      </c>
      <c r="M12" s="1707">
        <v>352865.28069807903</v>
      </c>
    </row>
    <row r="13" spans="1:14" s="1644" customFormat="1" x14ac:dyDescent="0.2">
      <c r="A13" s="1286" t="s">
        <v>14</v>
      </c>
      <c r="B13" s="1703" t="s">
        <v>195</v>
      </c>
      <c r="C13" s="1703" t="s">
        <v>195</v>
      </c>
      <c r="D13" s="1707">
        <v>742</v>
      </c>
      <c r="E13" s="1707">
        <v>430</v>
      </c>
      <c r="F13" s="1707">
        <v>827.92</v>
      </c>
      <c r="G13" s="1707">
        <v>791.2</v>
      </c>
      <c r="H13" s="1708">
        <v>5000</v>
      </c>
      <c r="I13" s="1708">
        <v>5030.1900000000014</v>
      </c>
      <c r="J13" s="1707">
        <v>8623.1828571428596</v>
      </c>
      <c r="K13" s="1707">
        <v>19023.610845161897</v>
      </c>
      <c r="L13" s="1707">
        <v>19624.507954623517</v>
      </c>
      <c r="M13" s="1707">
        <v>20471.840244454299</v>
      </c>
    </row>
    <row r="14" spans="1:14" s="1644" customFormat="1" ht="15" x14ac:dyDescent="0.35">
      <c r="A14" s="1286" t="s">
        <v>46</v>
      </c>
      <c r="B14" s="1703" t="s">
        <v>195</v>
      </c>
      <c r="C14" s="1703" t="s">
        <v>195</v>
      </c>
      <c r="D14" s="1712">
        <v>0</v>
      </c>
      <c r="E14" s="1724">
        <v>0</v>
      </c>
      <c r="F14" s="1724">
        <v>20.92</v>
      </c>
      <c r="G14" s="1712">
        <v>0</v>
      </c>
      <c r="H14" s="1712">
        <v>7500</v>
      </c>
      <c r="I14" s="1712">
        <v>0</v>
      </c>
      <c r="J14" s="1712">
        <v>0</v>
      </c>
      <c r="K14" s="1724">
        <v>8082.1345592704492</v>
      </c>
      <c r="L14" s="1724">
        <v>8983.4005706638436</v>
      </c>
      <c r="M14" s="1724">
        <v>10254.244020631184</v>
      </c>
    </row>
    <row r="15" spans="1:14" s="1644" customFormat="1" x14ac:dyDescent="0.2">
      <c r="A15" s="1286" t="s">
        <v>86</v>
      </c>
      <c r="C15" s="1714"/>
      <c r="D15" s="1707">
        <f t="shared" ref="D15:M15" si="0">SUM(D9:D14)</f>
        <v>8249</v>
      </c>
      <c r="E15" s="1707">
        <f t="shared" si="0"/>
        <v>17885.38</v>
      </c>
      <c r="F15" s="1707">
        <f t="shared" si="0"/>
        <v>123337.60999999999</v>
      </c>
      <c r="G15" s="1707">
        <f t="shared" si="0"/>
        <v>25477.83</v>
      </c>
      <c r="H15" s="1716">
        <f t="shared" si="0"/>
        <v>324548</v>
      </c>
      <c r="I15" s="1715">
        <f>SUM(I9:I14)</f>
        <v>33433.839999999997</v>
      </c>
      <c r="J15" s="1717">
        <f t="shared" si="0"/>
        <v>57315.154285714292</v>
      </c>
      <c r="K15" s="1717">
        <f t="shared" si="0"/>
        <v>360000.0677831166</v>
      </c>
      <c r="L15" s="1717">
        <f t="shared" si="0"/>
        <v>399000.2118753462</v>
      </c>
      <c r="M15" s="1717">
        <f t="shared" si="0"/>
        <v>454000.05689056788</v>
      </c>
      <c r="N15" s="1703" t="s">
        <v>201</v>
      </c>
    </row>
    <row r="16" spans="1:14" s="1644" customFormat="1" x14ac:dyDescent="0.2">
      <c r="A16" s="1286"/>
      <c r="B16" s="1718"/>
      <c r="C16" s="1719"/>
      <c r="D16" s="1720"/>
      <c r="H16" s="1721"/>
      <c r="I16" s="1721"/>
    </row>
    <row r="17" spans="1:20" s="1644" customFormat="1" ht="15" x14ac:dyDescent="0.35">
      <c r="A17" s="1722"/>
      <c r="C17" s="1723"/>
      <c r="D17" s="1723"/>
      <c r="N17" s="1724"/>
    </row>
    <row r="18" spans="1:20"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O18" s="1286"/>
      <c r="P18" s="1286"/>
      <c r="Q18" s="1286"/>
      <c r="R18" s="1286"/>
      <c r="S18" s="1286"/>
      <c r="T18" s="1286"/>
    </row>
    <row r="19" spans="1:20" s="1644" customFormat="1" x14ac:dyDescent="0.2">
      <c r="N19" s="1703"/>
      <c r="O19" s="1725"/>
      <c r="P19" s="1229"/>
      <c r="Q19" s="1229"/>
      <c r="R19" s="1229"/>
      <c r="S19" s="1286"/>
      <c r="T19" s="1286"/>
    </row>
    <row r="20" spans="1:20" s="1644" customFormat="1" x14ac:dyDescent="0.2">
      <c r="A20" s="1644" t="s">
        <v>49</v>
      </c>
      <c r="B20" s="1703" t="s">
        <v>195</v>
      </c>
      <c r="C20" s="1703" t="s">
        <v>195</v>
      </c>
      <c r="D20" s="1703" t="s">
        <v>195</v>
      </c>
      <c r="E20" s="1727">
        <v>6683</v>
      </c>
      <c r="F20" s="1727">
        <v>66979</v>
      </c>
      <c r="G20" s="1727">
        <v>15428</v>
      </c>
      <c r="H20" s="1726">
        <v>143392</v>
      </c>
      <c r="I20" s="1727">
        <v>16901</v>
      </c>
      <c r="J20" s="1727">
        <f>I20/I15*J15</f>
        <v>28973.142857142862</v>
      </c>
      <c r="K20" s="1727">
        <v>84856.038216410001</v>
      </c>
      <c r="L20" s="1727">
        <v>103726.58249709476</v>
      </c>
      <c r="M20" s="1727">
        <v>126830.23481596577</v>
      </c>
      <c r="N20" s="1703" t="s">
        <v>64</v>
      </c>
      <c r="O20" s="1725"/>
      <c r="P20" s="1728"/>
      <c r="Q20" s="1728"/>
      <c r="R20" s="1728"/>
      <c r="S20" s="1286"/>
      <c r="T20" s="1286"/>
    </row>
    <row r="21" spans="1:20" s="1644" customFormat="1" x14ac:dyDescent="0.2">
      <c r="A21" s="1644" t="s">
        <v>50</v>
      </c>
      <c r="B21" s="1703" t="s">
        <v>195</v>
      </c>
      <c r="C21" s="1703" t="s">
        <v>195</v>
      </c>
      <c r="D21" s="1703" t="s">
        <v>195</v>
      </c>
      <c r="E21" s="1727">
        <v>66830</v>
      </c>
      <c r="F21" s="1727">
        <v>669798</v>
      </c>
      <c r="G21" s="1727">
        <v>77145</v>
      </c>
      <c r="H21" s="1726">
        <v>1433932</v>
      </c>
      <c r="I21" s="1727">
        <v>84504</v>
      </c>
      <c r="J21" s="1727">
        <f>I21/I15*J15</f>
        <v>144864.00000000003</v>
      </c>
      <c r="K21" s="1727">
        <v>576424.79794385307</v>
      </c>
      <c r="L21" s="1727">
        <v>671426.15703510074</v>
      </c>
      <c r="M21" s="1727">
        <v>803139.43107580254</v>
      </c>
      <c r="N21" s="1703" t="s">
        <v>10</v>
      </c>
      <c r="O21" s="1674"/>
      <c r="P21" s="1675"/>
      <c r="Q21" s="1675"/>
      <c r="R21" s="1675"/>
      <c r="S21" s="1286"/>
      <c r="T21" s="1286"/>
    </row>
    <row r="22" spans="1:20" s="1644" customFormat="1" x14ac:dyDescent="0.2">
      <c r="C22" s="1729" t="s">
        <v>3</v>
      </c>
      <c r="K22" s="1782"/>
      <c r="L22" s="1782"/>
      <c r="M22" s="1782"/>
      <c r="N22" s="1703"/>
      <c r="O22" s="1674"/>
      <c r="P22" s="1678"/>
      <c r="Q22" s="1678"/>
      <c r="R22" s="1678"/>
      <c r="S22" s="1286"/>
      <c r="T22" s="1286"/>
    </row>
    <row r="23" spans="1:20" s="1644" customFormat="1" x14ac:dyDescent="0.2">
      <c r="A23" s="1644" t="s">
        <v>51</v>
      </c>
      <c r="B23" s="1703" t="s">
        <v>195</v>
      </c>
      <c r="C23" s="1703" t="s">
        <v>195</v>
      </c>
      <c r="D23" s="1703" t="s">
        <v>195</v>
      </c>
      <c r="E23" s="1731">
        <f>SUM(E15/E20)</f>
        <v>2.6762501870417479</v>
      </c>
      <c r="F23" s="1731">
        <f>SUM(F15/F20)</f>
        <v>1.8414370175726718</v>
      </c>
      <c r="G23" s="1731">
        <f>SUM(G15/G20)</f>
        <v>1.651401996370236</v>
      </c>
      <c r="H23" s="1754">
        <f>IF(ISERROR(SUM(H15/H20)),"-",(H15/H20))</f>
        <v>2.2633619727739345</v>
      </c>
      <c r="I23" s="1783">
        <f>IF(ISERROR(SUM(I15/I20)),"-",(I15/I20))</f>
        <v>1.978216673569611</v>
      </c>
      <c r="J23" s="1731">
        <f>SUM(J15/J20)</f>
        <v>1.9782166735696112</v>
      </c>
      <c r="K23" s="1783">
        <f>SUM(K15/K20)</f>
        <v>4.2424802683458003</v>
      </c>
      <c r="L23" s="1783">
        <f>SUM(L15/L20)</f>
        <v>3.8466534061943252</v>
      </c>
      <c r="M23" s="1783">
        <f>SUM(M15/M20)</f>
        <v>3.5795885543327639</v>
      </c>
      <c r="N23" s="1703" t="s">
        <v>65</v>
      </c>
      <c r="O23" s="1674"/>
      <c r="P23" s="1678"/>
      <c r="Q23" s="1678"/>
      <c r="R23" s="1678"/>
      <c r="S23" s="1286"/>
      <c r="T23" s="1286"/>
    </row>
    <row r="24" spans="1:20" s="1644" customFormat="1" x14ac:dyDescent="0.2">
      <c r="A24" s="1644" t="s">
        <v>52</v>
      </c>
      <c r="B24" s="1703" t="s">
        <v>195</v>
      </c>
      <c r="C24" s="1703" t="s">
        <v>195</v>
      </c>
      <c r="D24" s="1703" t="s">
        <v>195</v>
      </c>
      <c r="E24" s="1731">
        <f>SUM(E15/E21)</f>
        <v>0.26762501870417477</v>
      </c>
      <c r="F24" s="1731">
        <f>SUM(F15/F21)</f>
        <v>0.1841415023633991</v>
      </c>
      <c r="G24" s="1731">
        <f>SUM(G15/G21)</f>
        <v>0.33025899280575544</v>
      </c>
      <c r="H24" s="1754">
        <f>IF(ISERROR(SUM(H15/H21)),"-",(H15/H21))</f>
        <v>0.22633430316081934</v>
      </c>
      <c r="I24" s="1783">
        <f>IF(ISERROR(SUM(I15/I21)),"-",(I15/I21))</f>
        <v>0.39564801666193311</v>
      </c>
      <c r="J24" s="1731">
        <f>SUM(J15/J21)</f>
        <v>0.39564801666193311</v>
      </c>
      <c r="K24" s="1783">
        <f>SUM(K15/K21)</f>
        <v>0.62453952201095719</v>
      </c>
      <c r="L24" s="1783">
        <f>SUM(L15/L21)</f>
        <v>0.59425777160255511</v>
      </c>
      <c r="M24" s="1783">
        <f>SUM(M15/M21)</f>
        <v>0.56528174227784622</v>
      </c>
      <c r="N24" s="1703" t="s">
        <v>66</v>
      </c>
      <c r="O24" s="1674"/>
      <c r="P24" s="1682"/>
      <c r="Q24" s="1682"/>
      <c r="R24" s="1682"/>
      <c r="S24" s="1286"/>
      <c r="T24" s="1286"/>
    </row>
    <row r="25" spans="1:20" s="1644" customFormat="1" x14ac:dyDescent="0.2">
      <c r="C25" s="1729"/>
      <c r="K25" s="1782"/>
      <c r="L25" s="1782"/>
      <c r="M25" s="1782"/>
      <c r="N25" s="1703"/>
      <c r="O25" s="1674"/>
      <c r="P25" s="1675"/>
      <c r="Q25" s="1675"/>
      <c r="R25" s="1675"/>
      <c r="S25" s="1286"/>
      <c r="T25" s="1286"/>
    </row>
    <row r="26" spans="1:20" s="1644" customFormat="1" x14ac:dyDescent="0.2">
      <c r="A26" s="1644" t="s">
        <v>84</v>
      </c>
      <c r="B26" s="1703" t="s">
        <v>195</v>
      </c>
      <c r="C26" s="1703" t="s">
        <v>195</v>
      </c>
      <c r="D26" s="1703" t="s">
        <v>195</v>
      </c>
      <c r="E26" s="1714">
        <v>60492.442311276303</v>
      </c>
      <c r="F26" s="1717">
        <f>E26/E21*F21</f>
        <v>606280.36623085802</v>
      </c>
      <c r="G26" s="1714">
        <v>600936</v>
      </c>
      <c r="H26" s="1714">
        <v>857446</v>
      </c>
      <c r="I26" s="1714">
        <f>H26/H21*I21</f>
        <v>50530.720274043677</v>
      </c>
      <c r="J26" s="1714">
        <f>H26/H21*J21</f>
        <v>86624.09189836061</v>
      </c>
      <c r="K26" s="523">
        <v>340166.21592502622</v>
      </c>
      <c r="L26" s="523">
        <v>434055.34489414684</v>
      </c>
      <c r="M26" s="523">
        <v>550267.43892812415</v>
      </c>
      <c r="N26" s="1703" t="s">
        <v>67</v>
      </c>
      <c r="O26" s="1674"/>
      <c r="P26" s="1674"/>
      <c r="Q26" s="1674"/>
      <c r="R26" s="1674"/>
      <c r="S26" s="1286"/>
      <c r="T26" s="1286"/>
    </row>
    <row r="27" spans="1:20" s="1644" customFormat="1" x14ac:dyDescent="0.2">
      <c r="A27" s="1644" t="s">
        <v>85</v>
      </c>
      <c r="B27" s="1703" t="s">
        <v>195</v>
      </c>
      <c r="C27" s="1703" t="s">
        <v>195</v>
      </c>
      <c r="D27" s="1703" t="s">
        <v>195</v>
      </c>
      <c r="E27" s="1732">
        <f t="shared" ref="E27:M27" si="1">SUM(E26/E15)</f>
        <v>3.3822285191187609</v>
      </c>
      <c r="F27" s="1732">
        <f t="shared" si="1"/>
        <v>4.9156163009065779</v>
      </c>
      <c r="G27" s="1732">
        <f t="shared" si="1"/>
        <v>23.586624135571984</v>
      </c>
      <c r="H27" s="1732">
        <f t="shared" si="1"/>
        <v>2.6419697548590655</v>
      </c>
      <c r="I27" s="1732">
        <f t="shared" si="1"/>
        <v>1.5113645418547101</v>
      </c>
      <c r="J27" s="1732">
        <f t="shared" si="1"/>
        <v>1.5113645418547101</v>
      </c>
      <c r="K27" s="1774">
        <f t="shared" si="1"/>
        <v>0.94490597743431715</v>
      </c>
      <c r="L27" s="1773">
        <f t="shared" si="1"/>
        <v>1.0878574295839032</v>
      </c>
      <c r="M27" s="1773">
        <f t="shared" si="1"/>
        <v>1.2120426651416931</v>
      </c>
      <c r="N27" s="1703" t="s">
        <v>68</v>
      </c>
      <c r="O27" s="1674"/>
      <c r="P27" s="1678"/>
      <c r="Q27" s="1674"/>
      <c r="R27" s="1678"/>
      <c r="S27" s="1286"/>
      <c r="T27" s="1286"/>
    </row>
    <row r="28" spans="1:20" s="1644" customFormat="1" x14ac:dyDescent="0.2">
      <c r="A28" s="1644" t="s">
        <v>214</v>
      </c>
      <c r="B28" s="1703" t="s">
        <v>195</v>
      </c>
      <c r="C28" s="1703" t="s">
        <v>195</v>
      </c>
      <c r="D28" s="1703" t="s">
        <v>195</v>
      </c>
      <c r="E28" s="1733">
        <v>1</v>
      </c>
      <c r="F28" s="1733">
        <v>3</v>
      </c>
      <c r="G28" s="1733">
        <v>1</v>
      </c>
      <c r="H28" s="1733">
        <v>9</v>
      </c>
      <c r="I28" s="1727">
        <v>2</v>
      </c>
      <c r="J28" s="1726">
        <f>H28/H23*J23</f>
        <v>7.8661523328088387</v>
      </c>
      <c r="K28" s="1727">
        <v>7</v>
      </c>
      <c r="L28" s="1727">
        <v>8</v>
      </c>
      <c r="M28" s="1727">
        <v>10</v>
      </c>
      <c r="N28" s="1703" t="s">
        <v>69</v>
      </c>
      <c r="O28" s="1674"/>
      <c r="P28" s="1678"/>
      <c r="Q28" s="1678"/>
      <c r="R28" s="1678"/>
      <c r="S28" s="1286"/>
      <c r="T28" s="1286"/>
    </row>
    <row r="29" spans="1:20" s="1644" customFormat="1" x14ac:dyDescent="0.2">
      <c r="A29" s="1644" t="s">
        <v>215</v>
      </c>
      <c r="B29" s="1703" t="s">
        <v>195</v>
      </c>
      <c r="C29" s="1703" t="s">
        <v>195</v>
      </c>
      <c r="D29" s="1703" t="s">
        <v>195</v>
      </c>
      <c r="E29" s="1734">
        <f>SUM(E21/E28)</f>
        <v>66830</v>
      </c>
      <c r="F29" s="1734">
        <f>SUM(F21/F28)</f>
        <v>223266</v>
      </c>
      <c r="G29" s="1734">
        <f>SUM(G21/G28)</f>
        <v>77145</v>
      </c>
      <c r="H29" s="1734">
        <f>SUM(H21/H28)</f>
        <v>159325.77777777778</v>
      </c>
      <c r="I29" s="1734">
        <f>SUM(I21/I28)</f>
        <v>42252</v>
      </c>
      <c r="J29" s="1757">
        <f>J21/J28</f>
        <v>18416.119326317716</v>
      </c>
      <c r="K29" s="1734">
        <f>SUM(K21/K28)</f>
        <v>82346.399706264725</v>
      </c>
      <c r="L29" s="1734">
        <f>SUM(L21/L28)</f>
        <v>83928.269629387592</v>
      </c>
      <c r="M29" s="1734">
        <f>SUM(M21/M28)</f>
        <v>80313.943107580257</v>
      </c>
      <c r="N29" s="1703" t="s">
        <v>70</v>
      </c>
      <c r="O29" s="1674"/>
      <c r="P29" s="1675"/>
      <c r="Q29" s="1675"/>
      <c r="R29" s="1675"/>
      <c r="S29" s="1286"/>
      <c r="T29" s="1286"/>
    </row>
    <row r="30" spans="1:20" s="1644" customFormat="1" x14ac:dyDescent="0.2">
      <c r="A30" s="1644" t="s">
        <v>216</v>
      </c>
      <c r="B30" s="1703" t="s">
        <v>195</v>
      </c>
      <c r="C30" s="1703" t="s">
        <v>195</v>
      </c>
      <c r="D30" s="1703" t="s">
        <v>195</v>
      </c>
      <c r="E30" s="1714">
        <f>SUM(E15/E28)</f>
        <v>17885.38</v>
      </c>
      <c r="F30" s="1714">
        <f>SUM(F15/F28)</f>
        <v>41112.53666666666</v>
      </c>
      <c r="G30" s="1714">
        <f>SUM(G15/G28)</f>
        <v>25477.83</v>
      </c>
      <c r="H30" s="1714">
        <f>SUM(H15/H28)</f>
        <v>36060.888888888891</v>
      </c>
      <c r="I30" s="1714">
        <f>SUM(I15/I28)</f>
        <v>16716.919999999998</v>
      </c>
      <c r="J30" s="1706">
        <f>J15/J28</f>
        <v>7286.3010860671002</v>
      </c>
      <c r="K30" s="1707">
        <f>SUM(K15/K28)</f>
        <v>51428.581111873798</v>
      </c>
      <c r="L30" s="1714">
        <f>SUM(L15/L28)</f>
        <v>49875.026484418275</v>
      </c>
      <c r="M30" s="1714">
        <f>SUM(M15/M28)</f>
        <v>45400.005689056787</v>
      </c>
      <c r="N30" s="1703" t="s">
        <v>72</v>
      </c>
      <c r="O30" s="1674"/>
      <c r="P30" s="1675"/>
      <c r="Q30" s="1675"/>
      <c r="R30" s="1675"/>
      <c r="S30" s="1286"/>
      <c r="T30" s="1286"/>
    </row>
    <row r="31" spans="1:20" s="1644" customFormat="1" x14ac:dyDescent="0.2">
      <c r="A31" s="1644" t="s">
        <v>217</v>
      </c>
      <c r="B31" s="1703" t="s">
        <v>195</v>
      </c>
      <c r="C31" s="1703" t="s">
        <v>195</v>
      </c>
      <c r="D31" s="1703" t="s">
        <v>195</v>
      </c>
      <c r="E31" s="1714">
        <f>SUM(E26/E28)</f>
        <v>60492.442311276303</v>
      </c>
      <c r="F31" s="1714">
        <f>SUM(F26/F28)</f>
        <v>202093.455410286</v>
      </c>
      <c r="G31" s="1714">
        <f>SUM(G26/G28)</f>
        <v>600936</v>
      </c>
      <c r="H31" s="1714">
        <f>SUM(H26/H28)</f>
        <v>95271.777777777781</v>
      </c>
      <c r="I31" s="1714">
        <f>SUM(I26/I28)</f>
        <v>25265.360137021838</v>
      </c>
      <c r="J31" s="1706">
        <f>J26/J28</f>
        <v>11012.25710275928</v>
      </c>
      <c r="K31" s="1707">
        <f>SUM(K26/K28)</f>
        <v>48595.173703575172</v>
      </c>
      <c r="L31" s="1714">
        <f>SUM(L26/L28)</f>
        <v>54256.918111768355</v>
      </c>
      <c r="M31" s="1714">
        <f>SUM(M26/M28)</f>
        <v>55026.743892812417</v>
      </c>
      <c r="N31" s="1703" t="s">
        <v>73</v>
      </c>
      <c r="O31" s="1286"/>
      <c r="P31" s="1286"/>
      <c r="Q31" s="1286"/>
      <c r="R31" s="1286"/>
      <c r="S31" s="1286"/>
      <c r="T31" s="1286"/>
    </row>
    <row r="32" spans="1:20" s="1644" customFormat="1" ht="13.5" x14ac:dyDescent="0.2">
      <c r="A32" s="1644" t="s">
        <v>450</v>
      </c>
      <c r="B32" s="1706" t="s">
        <v>187</v>
      </c>
      <c r="C32" s="1703" t="s">
        <v>195</v>
      </c>
      <c r="D32" s="1703" t="s">
        <v>195</v>
      </c>
      <c r="E32" s="1776">
        <f t="shared" ref="E32:M32" si="2">E12/E21</f>
        <v>4.8630854406703575E-2</v>
      </c>
      <c r="F32" s="1776">
        <f t="shared" si="2"/>
        <v>0.17370487818715491</v>
      </c>
      <c r="G32" s="1776">
        <f t="shared" si="2"/>
        <v>0.24012029295482534</v>
      </c>
      <c r="H32" s="1776">
        <f t="shared" si="2"/>
        <v>0.15368790151834258</v>
      </c>
      <c r="I32" s="1776">
        <f t="shared" si="2"/>
        <v>0.2945612042033513</v>
      </c>
      <c r="J32" s="1776">
        <f t="shared" si="2"/>
        <v>0.2945612042033513</v>
      </c>
      <c r="K32" s="1776">
        <f t="shared" si="2"/>
        <v>0.48349136262470022</v>
      </c>
      <c r="L32" s="1776">
        <f t="shared" si="2"/>
        <v>0.46091234066747061</v>
      </c>
      <c r="M32" s="1776">
        <f t="shared" si="2"/>
        <v>0.4393574353900383</v>
      </c>
      <c r="N32" s="1639" t="s">
        <v>451</v>
      </c>
    </row>
    <row r="33" spans="1:18" s="1644" customFormat="1" ht="13.5" x14ac:dyDescent="0.2">
      <c r="A33" s="1644" t="s">
        <v>452</v>
      </c>
      <c r="B33" s="1706" t="s">
        <v>187</v>
      </c>
      <c r="C33" s="1703" t="s">
        <v>195</v>
      </c>
      <c r="D33" s="1703" t="s">
        <v>195</v>
      </c>
      <c r="E33" s="1776">
        <f t="shared" ref="E33:M33" si="3">E13/E21</f>
        <v>6.4342361215023189E-3</v>
      </c>
      <c r="F33" s="1776">
        <f t="shared" si="3"/>
        <v>1.2360741596720204E-3</v>
      </c>
      <c r="G33" s="1776">
        <f t="shared" si="3"/>
        <v>1.0256011407090544E-2</v>
      </c>
      <c r="H33" s="1776">
        <f t="shared" si="3"/>
        <v>3.4869156975365638E-3</v>
      </c>
      <c r="I33" s="1776">
        <f t="shared" si="3"/>
        <v>5.952605793808579E-2</v>
      </c>
      <c r="J33" s="1776">
        <f t="shared" si="3"/>
        <v>5.9526057938085776E-2</v>
      </c>
      <c r="K33" s="1776">
        <f t="shared" si="3"/>
        <v>3.3002762742027104E-2</v>
      </c>
      <c r="L33" s="1776">
        <f t="shared" si="3"/>
        <v>2.9228095672176189E-2</v>
      </c>
      <c r="M33" s="1776">
        <f t="shared" si="3"/>
        <v>2.548977108125838E-2</v>
      </c>
      <c r="N33" s="1639" t="s">
        <v>453</v>
      </c>
    </row>
    <row r="34" spans="1:18" s="1644" customFormat="1" x14ac:dyDescent="0.2">
      <c r="A34" s="1704"/>
      <c r="B34" s="1735"/>
      <c r="C34" s="1736"/>
      <c r="D34" s="1736"/>
      <c r="H34" s="1727"/>
      <c r="I34" s="1737"/>
      <c r="J34" s="1703"/>
      <c r="L34" s="1703"/>
      <c r="M34" s="1229"/>
      <c r="N34" s="1674"/>
      <c r="O34" s="1675"/>
      <c r="P34" s="1675"/>
      <c r="Q34" s="1675"/>
      <c r="R34" s="1286"/>
    </row>
    <row r="35" spans="1:18" s="1644" customFormat="1" x14ac:dyDescent="0.2">
      <c r="A35" s="1738" t="s">
        <v>194</v>
      </c>
      <c r="B35" s="1739"/>
      <c r="C35" s="1286"/>
      <c r="H35" s="1714"/>
      <c r="J35" s="1703"/>
      <c r="L35" s="1703"/>
      <c r="M35" s="1229"/>
      <c r="N35" s="1674"/>
      <c r="O35" s="1675"/>
      <c r="P35" s="1675"/>
      <c r="Q35" s="1675"/>
      <c r="R35" s="1286"/>
    </row>
    <row r="36" spans="1:18" s="1644" customFormat="1" x14ac:dyDescent="0.2">
      <c r="A36" s="1738"/>
      <c r="J36" s="1703"/>
      <c r="L36" s="1703"/>
    </row>
    <row r="37" spans="1:18" s="1644" customFormat="1" x14ac:dyDescent="0.2">
      <c r="A37" s="1742" t="s">
        <v>185</v>
      </c>
      <c r="B37" s="1736" t="s">
        <v>1</v>
      </c>
      <c r="C37" s="1736" t="s">
        <v>186</v>
      </c>
      <c r="D37" s="1736" t="s">
        <v>18</v>
      </c>
      <c r="J37" s="1703"/>
      <c r="L37" s="1703"/>
    </row>
    <row r="38" spans="1:18" s="1644" customFormat="1" x14ac:dyDescent="0.2">
      <c r="A38" s="1742">
        <v>2006</v>
      </c>
      <c r="B38" s="1703" t="s">
        <v>195</v>
      </c>
      <c r="C38" s="1706" t="s">
        <v>195</v>
      </c>
      <c r="D38" s="1745" t="str">
        <f>IF(ISERROR(C38/B38),"-",(C38/B38))</f>
        <v>-</v>
      </c>
      <c r="J38" s="1703"/>
      <c r="L38" s="1703"/>
    </row>
    <row r="39" spans="1:18" s="1644" customFormat="1" x14ac:dyDescent="0.2">
      <c r="A39" s="1742">
        <v>2007</v>
      </c>
      <c r="B39" s="1703" t="s">
        <v>195</v>
      </c>
      <c r="C39" s="1706" t="s">
        <v>195</v>
      </c>
      <c r="D39" s="1745" t="str">
        <f>IF(ISERROR(C39/B39),"-",(C39/B39))</f>
        <v>-</v>
      </c>
      <c r="J39" s="1703"/>
      <c r="L39" s="1703"/>
    </row>
    <row r="40" spans="1:18" s="1644" customFormat="1" x14ac:dyDescent="0.2">
      <c r="A40" s="1742">
        <v>2008</v>
      </c>
      <c r="B40" s="1760">
        <v>136969</v>
      </c>
      <c r="C40" s="1706">
        <v>8249</v>
      </c>
      <c r="D40" s="1793">
        <f>IF(ISERROR(C40/B40),"-",(C40/B40))</f>
        <v>6.022530645620542E-2</v>
      </c>
      <c r="J40" s="1703"/>
      <c r="L40" s="1703"/>
    </row>
    <row r="41" spans="1:18" s="1644" customFormat="1" x14ac:dyDescent="0.2">
      <c r="A41" s="1742">
        <v>2009</v>
      </c>
      <c r="B41" s="1740">
        <v>100000</v>
      </c>
      <c r="C41" s="1706">
        <f>E15</f>
        <v>17885.38</v>
      </c>
      <c r="D41" s="1741">
        <f>IF(ISERROR(C41/B41),"-",(C41/B41))</f>
        <v>0.17885380000000001</v>
      </c>
      <c r="J41" s="1703"/>
      <c r="L41" s="1703"/>
    </row>
    <row r="42" spans="1:18" s="1644" customFormat="1" x14ac:dyDescent="0.2">
      <c r="A42" s="1742">
        <v>2010</v>
      </c>
      <c r="B42" s="1740">
        <v>100000</v>
      </c>
      <c r="C42" s="1706">
        <v>123337.61</v>
      </c>
      <c r="D42" s="1741">
        <f>IF(ISERROR(C42/B42),"-",(C42/B42))</f>
        <v>1.2333761000000001</v>
      </c>
      <c r="J42" s="1703"/>
      <c r="L42" s="1703"/>
    </row>
    <row r="43" spans="1:18" s="1644" customFormat="1" x14ac:dyDescent="0.2">
      <c r="A43" s="1742">
        <v>2011</v>
      </c>
      <c r="B43" s="1740">
        <v>200000</v>
      </c>
      <c r="C43" s="1706">
        <f>G15</f>
        <v>25477.83</v>
      </c>
      <c r="D43" s="1741">
        <f t="shared" ref="D43:D48" si="4">IF(ISERROR(C43/B43),"-",(C43/B43))</f>
        <v>0.12738915000000001</v>
      </c>
      <c r="J43" s="1703"/>
      <c r="L43" s="1703"/>
    </row>
    <row r="44" spans="1:18" s="1644" customFormat="1" x14ac:dyDescent="0.2">
      <c r="A44" s="1742" t="s">
        <v>319</v>
      </c>
      <c r="B44" s="1706">
        <f>H15</f>
        <v>324548</v>
      </c>
      <c r="C44" s="1706">
        <f>I15</f>
        <v>33433.839999999997</v>
      </c>
      <c r="D44" s="1741">
        <f t="shared" si="4"/>
        <v>0.10301662620013063</v>
      </c>
      <c r="J44" s="1703"/>
      <c r="L44" s="1703"/>
    </row>
    <row r="45" spans="1:18" s="1644" customFormat="1" x14ac:dyDescent="0.2">
      <c r="A45" s="1742" t="s">
        <v>318</v>
      </c>
      <c r="B45" s="1760">
        <f>H15</f>
        <v>324548</v>
      </c>
      <c r="C45" s="1706">
        <f>J15</f>
        <v>57315.154285714292</v>
      </c>
      <c r="D45" s="1741">
        <f t="shared" si="4"/>
        <v>0.17659993062879542</v>
      </c>
      <c r="J45" s="1703"/>
      <c r="L45" s="1703"/>
    </row>
    <row r="46" spans="1:18" s="1644" customFormat="1" x14ac:dyDescent="0.2">
      <c r="A46" s="1742">
        <v>2013</v>
      </c>
      <c r="B46" s="1760">
        <f>K15</f>
        <v>360000.0677831166</v>
      </c>
      <c r="C46" s="1706" t="s">
        <v>187</v>
      </c>
      <c r="D46" s="1741" t="str">
        <f t="shared" si="4"/>
        <v>-</v>
      </c>
      <c r="J46" s="1703"/>
      <c r="L46" s="1703"/>
    </row>
    <row r="47" spans="1:18" s="1644" customFormat="1" x14ac:dyDescent="0.2">
      <c r="A47" s="1742">
        <v>2014</v>
      </c>
      <c r="B47" s="1760">
        <f>L15</f>
        <v>399000.2118753462</v>
      </c>
      <c r="C47" s="1706" t="s">
        <v>187</v>
      </c>
      <c r="D47" s="1741" t="str">
        <f t="shared" si="4"/>
        <v>-</v>
      </c>
      <c r="J47" s="1703"/>
      <c r="L47" s="1703"/>
    </row>
    <row r="48" spans="1:18" s="1644" customFormat="1" x14ac:dyDescent="0.2">
      <c r="A48" s="1742">
        <v>2015</v>
      </c>
      <c r="B48" s="1760">
        <f>M15</f>
        <v>454000.05689056788</v>
      </c>
      <c r="C48" s="1706" t="s">
        <v>187</v>
      </c>
      <c r="D48" s="1741" t="str">
        <f t="shared" si="4"/>
        <v>-</v>
      </c>
      <c r="J48" s="1703"/>
      <c r="L48" s="1703"/>
    </row>
    <row r="49" spans="1:12" s="1644" customFormat="1" x14ac:dyDescent="0.2">
      <c r="A49" s="1742"/>
      <c r="C49" s="1761"/>
      <c r="J49" s="1703"/>
      <c r="L49" s="1703"/>
    </row>
    <row r="50" spans="1:12" s="1644" customFormat="1" x14ac:dyDescent="0.2">
      <c r="A50" s="1743" t="s">
        <v>193</v>
      </c>
      <c r="J50" s="1703"/>
      <c r="L50" s="1703"/>
    </row>
    <row r="51" spans="1:12" s="1644" customFormat="1" x14ac:dyDescent="0.2">
      <c r="A51" s="1742" t="s">
        <v>185</v>
      </c>
      <c r="B51" s="1736" t="s">
        <v>188</v>
      </c>
      <c r="C51" s="1736" t="s">
        <v>186</v>
      </c>
      <c r="D51" s="1736" t="s">
        <v>189</v>
      </c>
      <c r="J51" s="1703"/>
      <c r="L51" s="1703"/>
    </row>
    <row r="52" spans="1:12" s="1644" customFormat="1" x14ac:dyDescent="0.2">
      <c r="A52" s="1742">
        <v>2006</v>
      </c>
      <c r="B52" s="1703" t="s">
        <v>195</v>
      </c>
      <c r="C52" s="1703" t="s">
        <v>195</v>
      </c>
      <c r="D52" s="1745" t="str">
        <f t="shared" ref="D52:D62" si="5">IF(ISERROR(C52/B52),"-",(C52/B52))</f>
        <v>-</v>
      </c>
      <c r="J52" s="1703"/>
      <c r="L52" s="1703"/>
    </row>
    <row r="53" spans="1:12" s="1644" customFormat="1" x14ac:dyDescent="0.2">
      <c r="A53" s="1742">
        <v>2007</v>
      </c>
      <c r="B53" s="1703" t="s">
        <v>195</v>
      </c>
      <c r="C53" s="1703" t="s">
        <v>195</v>
      </c>
      <c r="D53" s="1745" t="str">
        <f t="shared" si="5"/>
        <v>-</v>
      </c>
      <c r="J53" s="1703"/>
      <c r="L53" s="1703"/>
    </row>
    <row r="54" spans="1:12" s="1644" customFormat="1" x14ac:dyDescent="0.2">
      <c r="A54" s="1742">
        <v>2008</v>
      </c>
      <c r="B54" s="1703" t="s">
        <v>195</v>
      </c>
      <c r="C54" s="1703" t="s">
        <v>195</v>
      </c>
      <c r="D54" s="1745" t="str">
        <f t="shared" si="5"/>
        <v>-</v>
      </c>
      <c r="J54" s="1703"/>
      <c r="L54" s="1703"/>
    </row>
    <row r="55" spans="1:12" s="1644" customFormat="1" x14ac:dyDescent="0.2">
      <c r="A55" s="1742">
        <v>2009</v>
      </c>
      <c r="B55" s="1745">
        <v>6</v>
      </c>
      <c r="C55" s="1703">
        <v>1</v>
      </c>
      <c r="D55" s="1741">
        <f t="shared" si="5"/>
        <v>0.16666666666666666</v>
      </c>
      <c r="J55" s="1703"/>
      <c r="L55" s="1703"/>
    </row>
    <row r="56" spans="1:12" s="1644" customFormat="1" x14ac:dyDescent="0.2">
      <c r="A56" s="1742">
        <v>2010</v>
      </c>
      <c r="B56" s="1745">
        <v>12</v>
      </c>
      <c r="C56" s="1703">
        <v>3</v>
      </c>
      <c r="D56" s="1741">
        <f t="shared" si="5"/>
        <v>0.25</v>
      </c>
      <c r="J56" s="1703"/>
      <c r="L56" s="1703"/>
    </row>
    <row r="57" spans="1:12" s="1644" customFormat="1" x14ac:dyDescent="0.2">
      <c r="A57" s="1742">
        <v>2011</v>
      </c>
      <c r="B57" s="1745">
        <v>23</v>
      </c>
      <c r="C57" s="1761">
        <f>G28</f>
        <v>1</v>
      </c>
      <c r="D57" s="1741">
        <f t="shared" si="5"/>
        <v>4.3478260869565216E-2</v>
      </c>
      <c r="J57" s="1703"/>
      <c r="L57" s="1703"/>
    </row>
    <row r="58" spans="1:12" s="1644" customFormat="1" x14ac:dyDescent="0.2">
      <c r="A58" s="1742" t="s">
        <v>319</v>
      </c>
      <c r="B58" s="1703">
        <f>H28</f>
        <v>9</v>
      </c>
      <c r="C58" s="1745">
        <f>I28</f>
        <v>2</v>
      </c>
      <c r="D58" s="1741">
        <f t="shared" si="5"/>
        <v>0.22222222222222221</v>
      </c>
      <c r="J58" s="1703"/>
      <c r="L58" s="1703"/>
    </row>
    <row r="59" spans="1:12" s="1644" customFormat="1" x14ac:dyDescent="0.2">
      <c r="A59" s="1742" t="s">
        <v>318</v>
      </c>
      <c r="B59" s="1761">
        <f>H28</f>
        <v>9</v>
      </c>
      <c r="C59" s="1794">
        <f>J28</f>
        <v>7.8661523328088387</v>
      </c>
      <c r="D59" s="1741">
        <f t="shared" si="5"/>
        <v>0.87401692586764879</v>
      </c>
      <c r="J59" s="1703"/>
      <c r="L59" s="1703"/>
    </row>
    <row r="60" spans="1:12" s="1644" customFormat="1" x14ac:dyDescent="0.2">
      <c r="A60" s="1742">
        <v>2013</v>
      </c>
      <c r="B60" s="1761">
        <f>K28</f>
        <v>7</v>
      </c>
      <c r="C60" s="1794" t="s">
        <v>187</v>
      </c>
      <c r="D60" s="1741" t="str">
        <f t="shared" si="5"/>
        <v>-</v>
      </c>
      <c r="J60" s="1703"/>
      <c r="L60" s="1703"/>
    </row>
    <row r="61" spans="1:12" s="1644" customFormat="1" x14ac:dyDescent="0.2">
      <c r="A61" s="1742">
        <v>2014</v>
      </c>
      <c r="B61" s="1761">
        <f>L28</f>
        <v>8</v>
      </c>
      <c r="C61" s="1794" t="s">
        <v>187</v>
      </c>
      <c r="D61" s="1741" t="str">
        <f t="shared" si="5"/>
        <v>-</v>
      </c>
      <c r="J61" s="1703"/>
      <c r="L61" s="1703"/>
    </row>
    <row r="62" spans="1:12" s="1644" customFormat="1" x14ac:dyDescent="0.2">
      <c r="A62" s="1742">
        <v>2015</v>
      </c>
      <c r="B62" s="1761">
        <f>M28</f>
        <v>10</v>
      </c>
      <c r="C62" s="1794" t="s">
        <v>187</v>
      </c>
      <c r="D62" s="1741" t="str">
        <f t="shared" si="5"/>
        <v>-</v>
      </c>
      <c r="J62" s="1703"/>
      <c r="L62" s="1703"/>
    </row>
    <row r="63" spans="1:12" s="1644" customFormat="1" x14ac:dyDescent="0.2">
      <c r="J63" s="1703"/>
      <c r="L63" s="1703"/>
    </row>
    <row r="64" spans="1:12" s="1644" customFormat="1" x14ac:dyDescent="0.2">
      <c r="A64" s="1743" t="s">
        <v>191</v>
      </c>
      <c r="J64" s="1703"/>
      <c r="L64" s="1703"/>
    </row>
    <row r="65" spans="1:12" s="1644" customFormat="1" x14ac:dyDescent="0.2">
      <c r="A65" s="1742" t="s">
        <v>185</v>
      </c>
      <c r="B65" s="1736" t="s">
        <v>188</v>
      </c>
      <c r="C65" s="1736" t="s">
        <v>186</v>
      </c>
      <c r="D65" s="1736" t="s">
        <v>189</v>
      </c>
      <c r="J65" s="1703"/>
      <c r="L65" s="1703"/>
    </row>
    <row r="66" spans="1:12" s="1644" customFormat="1" x14ac:dyDescent="0.2">
      <c r="A66" s="1742">
        <v>2006</v>
      </c>
      <c r="B66" s="1703" t="s">
        <v>195</v>
      </c>
      <c r="C66" s="1703" t="s">
        <v>195</v>
      </c>
      <c r="D66" s="1745" t="str">
        <f t="shared" ref="D66:D76" si="6">IF(ISERROR(C66/B66),"-",(C66/B66))</f>
        <v>-</v>
      </c>
      <c r="J66" s="1703"/>
      <c r="L66" s="1703"/>
    </row>
    <row r="67" spans="1:12" s="1644" customFormat="1" x14ac:dyDescent="0.2">
      <c r="A67" s="1742">
        <v>2007</v>
      </c>
      <c r="B67" s="1703" t="s">
        <v>195</v>
      </c>
      <c r="C67" s="1703" t="s">
        <v>195</v>
      </c>
      <c r="D67" s="1745" t="str">
        <f t="shared" si="6"/>
        <v>-</v>
      </c>
      <c r="J67" s="1703"/>
      <c r="L67" s="1703"/>
    </row>
    <row r="68" spans="1:12" s="1644" customFormat="1" x14ac:dyDescent="0.2">
      <c r="A68" s="1742">
        <v>2008</v>
      </c>
      <c r="B68" s="1703" t="s">
        <v>195</v>
      </c>
      <c r="C68" s="1703" t="s">
        <v>195</v>
      </c>
      <c r="D68" s="1745" t="str">
        <f t="shared" si="6"/>
        <v>-</v>
      </c>
      <c r="J68" s="1703"/>
      <c r="L68" s="1703"/>
    </row>
    <row r="69" spans="1:12" s="1644" customFormat="1" x14ac:dyDescent="0.2">
      <c r="A69" s="1742">
        <v>2009</v>
      </c>
      <c r="B69" s="1745">
        <v>29042.383082909775</v>
      </c>
      <c r="C69" s="1761">
        <v>6683</v>
      </c>
      <c r="D69" s="1788">
        <f t="shared" si="6"/>
        <v>0.23011197052671153</v>
      </c>
      <c r="J69" s="1703"/>
      <c r="L69" s="1703"/>
    </row>
    <row r="70" spans="1:12" s="1644" customFormat="1" x14ac:dyDescent="0.2">
      <c r="A70" s="1742">
        <v>2010</v>
      </c>
      <c r="B70" s="1745">
        <v>17973</v>
      </c>
      <c r="C70" s="1761">
        <v>66979</v>
      </c>
      <c r="D70" s="1788">
        <f t="shared" si="6"/>
        <v>3.7266455238413174</v>
      </c>
      <c r="J70" s="1703"/>
      <c r="L70" s="1703"/>
    </row>
    <row r="71" spans="1:12" s="1644" customFormat="1" x14ac:dyDescent="0.2">
      <c r="A71" s="1742">
        <v>2011</v>
      </c>
      <c r="B71" s="1745">
        <v>81669</v>
      </c>
      <c r="C71" s="1745">
        <f>G20</f>
        <v>15428</v>
      </c>
      <c r="D71" s="1788">
        <f t="shared" si="6"/>
        <v>0.18890888831747665</v>
      </c>
      <c r="J71" s="1703"/>
      <c r="L71" s="1703"/>
    </row>
    <row r="72" spans="1:12" s="1644" customFormat="1" x14ac:dyDescent="0.2">
      <c r="A72" s="1742" t="s">
        <v>319</v>
      </c>
      <c r="B72" s="1795">
        <f>H20</f>
        <v>143392</v>
      </c>
      <c r="C72" s="1745">
        <f>I20</f>
        <v>16901</v>
      </c>
      <c r="D72" s="1788">
        <f t="shared" si="6"/>
        <v>0.117865710778844</v>
      </c>
      <c r="J72" s="1703"/>
      <c r="L72" s="1703"/>
    </row>
    <row r="73" spans="1:12" s="1644" customFormat="1" x14ac:dyDescent="0.2">
      <c r="A73" s="1742" t="s">
        <v>318</v>
      </c>
      <c r="B73" s="1795">
        <f>H20</f>
        <v>143392</v>
      </c>
      <c r="C73" s="1745">
        <f>J20</f>
        <v>28973.142857142862</v>
      </c>
      <c r="D73" s="1788">
        <f t="shared" si="6"/>
        <v>0.20205550419230406</v>
      </c>
      <c r="J73" s="1703"/>
      <c r="L73" s="1703"/>
    </row>
    <row r="74" spans="1:12" s="1644" customFormat="1" x14ac:dyDescent="0.2">
      <c r="A74" s="1742">
        <v>2013</v>
      </c>
      <c r="B74" s="1795">
        <f>K20</f>
        <v>84856.038216410001</v>
      </c>
      <c r="C74" s="1745" t="s">
        <v>187</v>
      </c>
      <c r="D74" s="1788" t="str">
        <f t="shared" si="6"/>
        <v>-</v>
      </c>
      <c r="J74" s="1703"/>
      <c r="L74" s="1703"/>
    </row>
    <row r="75" spans="1:12" s="1644" customFormat="1" x14ac:dyDescent="0.2">
      <c r="A75" s="1742">
        <v>2014</v>
      </c>
      <c r="B75" s="1795">
        <f>L20</f>
        <v>103726.58249709476</v>
      </c>
      <c r="C75" s="1745" t="s">
        <v>187</v>
      </c>
      <c r="D75" s="1788" t="str">
        <f t="shared" si="6"/>
        <v>-</v>
      </c>
      <c r="J75" s="1703"/>
      <c r="L75" s="1703"/>
    </row>
    <row r="76" spans="1:12" s="1644" customFormat="1" x14ac:dyDescent="0.2">
      <c r="A76" s="1742">
        <v>2015</v>
      </c>
      <c r="B76" s="1795">
        <f>M20</f>
        <v>126830.23481596577</v>
      </c>
      <c r="C76" s="1745" t="s">
        <v>187</v>
      </c>
      <c r="D76" s="1788" t="str">
        <f t="shared" si="6"/>
        <v>-</v>
      </c>
      <c r="J76" s="1703"/>
      <c r="L76" s="1703"/>
    </row>
    <row r="77" spans="1:12" x14ac:dyDescent="0.2">
      <c r="A77" s="1742"/>
      <c r="H77" s="1644"/>
      <c r="I77" s="1644"/>
      <c r="J77" s="1703"/>
    </row>
    <row r="78" spans="1:12" x14ac:dyDescent="0.2">
      <c r="A78" s="1743" t="s">
        <v>190</v>
      </c>
      <c r="H78" s="1644"/>
      <c r="I78" s="1644"/>
      <c r="J78" s="1703"/>
    </row>
    <row r="79" spans="1:12" x14ac:dyDescent="0.2">
      <c r="A79" s="1742" t="s">
        <v>185</v>
      </c>
      <c r="B79" s="1736" t="s">
        <v>188</v>
      </c>
      <c r="C79" s="1736" t="s">
        <v>186</v>
      </c>
      <c r="D79" s="1736" t="s">
        <v>189</v>
      </c>
      <c r="H79" s="1644"/>
      <c r="I79" s="1644"/>
      <c r="J79" s="1703"/>
    </row>
    <row r="80" spans="1:12" x14ac:dyDescent="0.2">
      <c r="A80" s="1742">
        <v>2006</v>
      </c>
      <c r="B80" s="1703" t="s">
        <v>195</v>
      </c>
      <c r="C80" s="1703" t="s">
        <v>195</v>
      </c>
      <c r="D80" s="1745" t="str">
        <f t="shared" ref="D80:D90" si="7">IF(ISERROR(C80/B80),"-",(C80/B80))</f>
        <v>-</v>
      </c>
      <c r="H80" s="1644"/>
      <c r="I80" s="1644"/>
      <c r="J80" s="1703"/>
    </row>
    <row r="81" spans="1:10" x14ac:dyDescent="0.2">
      <c r="A81" s="1742">
        <v>2007</v>
      </c>
      <c r="B81" s="1703" t="s">
        <v>195</v>
      </c>
      <c r="C81" s="1703" t="s">
        <v>195</v>
      </c>
      <c r="D81" s="1745" t="str">
        <f t="shared" si="7"/>
        <v>-</v>
      </c>
      <c r="H81" s="1644"/>
      <c r="I81" s="1644"/>
      <c r="J81" s="1703"/>
    </row>
    <row r="82" spans="1:10" x14ac:dyDescent="0.2">
      <c r="A82" s="1742">
        <v>2008</v>
      </c>
      <c r="B82" s="1703" t="s">
        <v>195</v>
      </c>
      <c r="C82" s="1703" t="s">
        <v>195</v>
      </c>
      <c r="D82" s="1793" t="str">
        <f t="shared" si="7"/>
        <v>-</v>
      </c>
      <c r="H82" s="1644"/>
      <c r="I82" s="1644"/>
      <c r="J82" s="1703"/>
    </row>
    <row r="83" spans="1:10" x14ac:dyDescent="0.2">
      <c r="A83" s="1742">
        <v>2009</v>
      </c>
      <c r="B83" s="1745">
        <v>232339.0646632782</v>
      </c>
      <c r="C83" s="1761">
        <f>E29</f>
        <v>66830</v>
      </c>
      <c r="D83" s="1793">
        <f t="shared" si="7"/>
        <v>0.28763996315838941</v>
      </c>
      <c r="H83" s="1644"/>
      <c r="I83" s="1644"/>
      <c r="J83" s="1703"/>
    </row>
    <row r="84" spans="1:10" x14ac:dyDescent="0.2">
      <c r="A84" s="1742">
        <v>2010</v>
      </c>
      <c r="B84" s="1745">
        <v>179732</v>
      </c>
      <c r="C84" s="1761">
        <v>669798</v>
      </c>
      <c r="D84" s="1793">
        <f t="shared" si="7"/>
        <v>3.7266485656421784</v>
      </c>
      <c r="H84" s="1644"/>
      <c r="I84" s="1644"/>
      <c r="J84" s="1703"/>
    </row>
    <row r="85" spans="1:10" x14ac:dyDescent="0.2">
      <c r="A85" s="1742">
        <v>2011</v>
      </c>
      <c r="B85" s="1745">
        <v>3032051</v>
      </c>
      <c r="C85" s="1761">
        <f>G21</f>
        <v>77145</v>
      </c>
      <c r="D85" s="1793">
        <f t="shared" si="7"/>
        <v>2.5443173614164143E-2</v>
      </c>
      <c r="H85" s="1644"/>
      <c r="I85" s="1644"/>
      <c r="J85" s="1703"/>
    </row>
    <row r="86" spans="1:10" x14ac:dyDescent="0.2">
      <c r="A86" s="1742" t="s">
        <v>319</v>
      </c>
      <c r="B86" s="1745">
        <f>H21</f>
        <v>1433932</v>
      </c>
      <c r="C86" s="1761">
        <f>I21</f>
        <v>84504</v>
      </c>
      <c r="D86" s="1793">
        <f t="shared" si="7"/>
        <v>5.8931664820925961E-2</v>
      </c>
      <c r="H86" s="1644"/>
      <c r="I86" s="1644"/>
      <c r="J86" s="1703"/>
    </row>
    <row r="87" spans="1:10" x14ac:dyDescent="0.2">
      <c r="A87" s="1742" t="s">
        <v>318</v>
      </c>
      <c r="B87" s="1745">
        <f>H21</f>
        <v>1433932</v>
      </c>
      <c r="C87" s="1761">
        <f>J21</f>
        <v>144864.00000000003</v>
      </c>
      <c r="D87" s="1793">
        <f t="shared" si="7"/>
        <v>0.10102571112158737</v>
      </c>
      <c r="H87" s="1644"/>
      <c r="I87" s="1644"/>
      <c r="J87" s="1698"/>
    </row>
    <row r="88" spans="1:10" x14ac:dyDescent="0.2">
      <c r="A88" s="1742">
        <v>2013</v>
      </c>
      <c r="B88" s="1745">
        <f>K21</f>
        <v>576424.79794385307</v>
      </c>
      <c r="C88" s="1761" t="s">
        <v>187</v>
      </c>
      <c r="D88" s="1793" t="str">
        <f t="shared" si="7"/>
        <v>-</v>
      </c>
      <c r="H88" s="1644"/>
      <c r="I88" s="1644"/>
    </row>
    <row r="89" spans="1:10" x14ac:dyDescent="0.2">
      <c r="A89" s="1742">
        <v>2014</v>
      </c>
      <c r="B89" s="1745">
        <f>L21</f>
        <v>671426.15703510074</v>
      </c>
      <c r="C89" s="1761" t="s">
        <v>187</v>
      </c>
      <c r="D89" s="1793" t="str">
        <f t="shared" si="7"/>
        <v>-</v>
      </c>
      <c r="H89" s="1644"/>
      <c r="I89" s="1644"/>
    </row>
    <row r="90" spans="1:10" x14ac:dyDescent="0.2">
      <c r="A90" s="1742">
        <v>2015</v>
      </c>
      <c r="B90" s="1745">
        <f>M21</f>
        <v>803139.43107580254</v>
      </c>
      <c r="C90" s="1761" t="s">
        <v>187</v>
      </c>
      <c r="D90" s="1793" t="str">
        <f t="shared" si="7"/>
        <v>-</v>
      </c>
      <c r="H90" s="1644"/>
      <c r="I90" s="1644"/>
    </row>
    <row r="91" spans="1:10" x14ac:dyDescent="0.2">
      <c r="H91" s="1644"/>
      <c r="I91" s="1644"/>
    </row>
    <row r="92" spans="1:10" x14ac:dyDescent="0.2">
      <c r="H92" s="1644"/>
      <c r="I92" s="1644"/>
    </row>
    <row r="93" spans="1:10" x14ac:dyDescent="0.2">
      <c r="H93" s="1644"/>
      <c r="I93" s="1644"/>
    </row>
    <row r="94" spans="1:10" x14ac:dyDescent="0.2">
      <c r="H94" s="1644"/>
      <c r="I94" s="1644"/>
    </row>
    <row r="95" spans="1:10" x14ac:dyDescent="0.2">
      <c r="H95" s="1644"/>
      <c r="I95" s="1644"/>
    </row>
    <row r="96" spans="1:10"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L1"/>
  </mergeCells>
  <pageMargins left="0.98" right="0.75" top="1.1499999999999999" bottom="1" header="0.5" footer="0.5"/>
  <pageSetup scale="55" orientation="portrait" r:id="rId1"/>
  <headerFooter alignWithMargins="0">
    <oddFooter>&amp;C&amp;1#&amp;"Calibri"&amp;12&amp;K008000Internal Use</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
    <tabColor indexed="11"/>
    <pageSetUpPr fitToPage="1"/>
  </sheetPr>
  <dimension ref="A1:W118"/>
  <sheetViews>
    <sheetView topLeftCell="C2" workbookViewId="0">
      <selection activeCell="J57" sqref="J57"/>
    </sheetView>
  </sheetViews>
  <sheetFormatPr defaultRowHeight="12.75" x14ac:dyDescent="0.2"/>
  <cols>
    <col min="1" max="1" width="40.140625" style="1635" customWidth="1"/>
    <col min="2" max="2" width="10.7109375" style="1635" customWidth="1"/>
    <col min="3" max="3" width="10.5703125" style="1635" customWidth="1"/>
    <col min="4" max="4" width="11.7109375" style="1635" bestFit="1" customWidth="1"/>
    <col min="5" max="5" width="10.7109375" style="1635" customWidth="1"/>
    <col min="6" max="6" width="10.85546875" style="1635" customWidth="1"/>
    <col min="7" max="7" width="10.7109375" style="1635" customWidth="1"/>
    <col min="8" max="8" width="12" style="1188" customWidth="1"/>
    <col min="9" max="9" width="13.28515625" style="1188" customWidth="1"/>
    <col min="10" max="13" width="11.42578125" style="1635" customWidth="1"/>
    <col min="14" max="14" width="5.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245</v>
      </c>
    </row>
    <row r="4" spans="1:15" x14ac:dyDescent="0.2">
      <c r="A4" s="1699"/>
    </row>
    <row r="5" spans="1:15" x14ac:dyDescent="0.2">
      <c r="A5" s="1749"/>
      <c r="H5" s="1702"/>
      <c r="I5" s="1702"/>
      <c r="J5" s="1644"/>
      <c r="K5" s="1644"/>
      <c r="L5" s="1644"/>
      <c r="M5" s="1644"/>
    </row>
    <row r="6" spans="1:15" s="1644" customFormat="1" x14ac:dyDescent="0.2">
      <c r="A6" s="1701"/>
      <c r="B6" s="1790">
        <v>2006</v>
      </c>
      <c r="C6" s="1790">
        <v>2007</v>
      </c>
      <c r="D6" s="1790">
        <v>2008</v>
      </c>
      <c r="E6" s="1790">
        <v>2009</v>
      </c>
      <c r="F6" s="1790">
        <v>2010</v>
      </c>
      <c r="G6" s="1790">
        <v>2011</v>
      </c>
      <c r="H6" s="1790">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738" t="s">
        <v>148</v>
      </c>
      <c r="H7" s="1738"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3" t="s">
        <v>195</v>
      </c>
      <c r="E9" s="1703" t="s">
        <v>195</v>
      </c>
      <c r="F9" s="1703" t="s">
        <v>195</v>
      </c>
      <c r="G9" s="1703" t="s">
        <v>195</v>
      </c>
      <c r="H9" s="1707">
        <v>25000</v>
      </c>
      <c r="I9" s="1707">
        <v>644.96</v>
      </c>
      <c r="J9" s="1707">
        <v>1105.6457142857143</v>
      </c>
      <c r="K9" s="1707">
        <v>13504.991819766499</v>
      </c>
      <c r="L9" s="1707">
        <v>16069.5935070534</v>
      </c>
      <c r="M9" s="1707">
        <v>20466.036629439895</v>
      </c>
    </row>
    <row r="10" spans="1:15" s="1644" customFormat="1" x14ac:dyDescent="0.2">
      <c r="A10" s="1286" t="s">
        <v>45</v>
      </c>
      <c r="B10" s="1703" t="s">
        <v>195</v>
      </c>
      <c r="C10" s="1703" t="s">
        <v>195</v>
      </c>
      <c r="D10" s="1703" t="s">
        <v>195</v>
      </c>
      <c r="E10" s="1703" t="s">
        <v>195</v>
      </c>
      <c r="F10" s="1703" t="s">
        <v>195</v>
      </c>
      <c r="G10" s="1703" t="s">
        <v>195</v>
      </c>
      <c r="H10" s="1707">
        <v>1250</v>
      </c>
      <c r="I10" s="1707">
        <v>86.03</v>
      </c>
      <c r="J10" s="1707">
        <v>147.48000000000002</v>
      </c>
      <c r="K10" s="1707">
        <v>3476.1341021858698</v>
      </c>
      <c r="L10" s="1707">
        <v>4135.1815367326817</v>
      </c>
      <c r="M10" s="1707">
        <v>5266.516341126362</v>
      </c>
    </row>
    <row r="11" spans="1:15" s="1644" customFormat="1" x14ac:dyDescent="0.2">
      <c r="A11" s="1286" t="s">
        <v>202</v>
      </c>
      <c r="B11" s="1703" t="s">
        <v>195</v>
      </c>
      <c r="C11" s="1703" t="s">
        <v>195</v>
      </c>
      <c r="D11" s="1703" t="s">
        <v>195</v>
      </c>
      <c r="E11" s="1703" t="s">
        <v>195</v>
      </c>
      <c r="F11" s="1703" t="s">
        <v>195</v>
      </c>
      <c r="G11" s="1703" t="s">
        <v>195</v>
      </c>
      <c r="H11" s="1707">
        <v>5800</v>
      </c>
      <c r="I11" s="1707">
        <v>0</v>
      </c>
      <c r="J11" s="1707">
        <v>0</v>
      </c>
      <c r="K11" s="1707">
        <v>748.64959098832992</v>
      </c>
      <c r="L11" s="1707">
        <v>891.2029173992853</v>
      </c>
      <c r="M11" s="1707">
        <v>1135.0250735186153</v>
      </c>
    </row>
    <row r="12" spans="1:15" s="1644" customFormat="1" x14ac:dyDescent="0.2">
      <c r="A12" s="1286" t="s">
        <v>2</v>
      </c>
      <c r="B12" s="1703" t="s">
        <v>195</v>
      </c>
      <c r="C12" s="1703" t="s">
        <v>195</v>
      </c>
      <c r="D12" s="1703" t="s">
        <v>195</v>
      </c>
      <c r="E12" s="1703" t="s">
        <v>195</v>
      </c>
      <c r="F12" s="1703" t="s">
        <v>195</v>
      </c>
      <c r="G12" s="1703" t="s">
        <v>195</v>
      </c>
      <c r="H12" s="1707">
        <v>179031</v>
      </c>
      <c r="I12" s="1707">
        <v>2025</v>
      </c>
      <c r="J12" s="1707">
        <v>136025</v>
      </c>
      <c r="K12" s="1707">
        <v>110520.865388226</v>
      </c>
      <c r="L12" s="1707">
        <v>131593.539566241</v>
      </c>
      <c r="M12" s="1707">
        <v>167718.123871408</v>
      </c>
    </row>
    <row r="13" spans="1:15" s="1644" customFormat="1" x14ac:dyDescent="0.2">
      <c r="A13" s="1286" t="s">
        <v>14</v>
      </c>
      <c r="B13" s="1703" t="s">
        <v>195</v>
      </c>
      <c r="C13" s="1703" t="s">
        <v>195</v>
      </c>
      <c r="D13" s="1703" t="s">
        <v>195</v>
      </c>
      <c r="E13" s="1703" t="s">
        <v>195</v>
      </c>
      <c r="F13" s="1703" t="s">
        <v>195</v>
      </c>
      <c r="G13" s="1703" t="s">
        <v>195</v>
      </c>
      <c r="H13" s="1707">
        <v>10000</v>
      </c>
      <c r="I13" s="1707">
        <v>9487.8200000000015</v>
      </c>
      <c r="J13" s="1707">
        <v>16264.834285714287</v>
      </c>
      <c r="K13" s="1707">
        <v>15565.367279066799</v>
      </c>
      <c r="L13" s="1707">
        <v>18521.930976700125</v>
      </c>
      <c r="M13" s="1707">
        <v>23589.303466246325</v>
      </c>
    </row>
    <row r="14" spans="1:15" s="1644" customFormat="1" ht="15" x14ac:dyDescent="0.35">
      <c r="A14" s="1286" t="s">
        <v>46</v>
      </c>
      <c r="B14" s="1703" t="s">
        <v>195</v>
      </c>
      <c r="C14" s="1703" t="s">
        <v>195</v>
      </c>
      <c r="D14" s="1703" t="s">
        <v>195</v>
      </c>
      <c r="E14" s="1703" t="s">
        <v>195</v>
      </c>
      <c r="F14" s="1703" t="s">
        <v>195</v>
      </c>
      <c r="G14" s="1703" t="s">
        <v>195</v>
      </c>
      <c r="H14" s="1712">
        <v>25000</v>
      </c>
      <c r="I14" s="1712">
        <v>22</v>
      </c>
      <c r="J14" s="1712">
        <v>37.714285714285715</v>
      </c>
      <c r="K14" s="1712">
        <v>3183.9918197665402</v>
      </c>
      <c r="L14" s="1712">
        <v>3788.3396205274958</v>
      </c>
      <c r="M14" s="1712">
        <v>4824.755979368816</v>
      </c>
    </row>
    <row r="15" spans="1:15" s="1644" customFormat="1" x14ac:dyDescent="0.2">
      <c r="A15" s="1286" t="s">
        <v>86</v>
      </c>
      <c r="C15" s="1714"/>
      <c r="D15" s="1714"/>
      <c r="E15" s="1714"/>
      <c r="F15" s="1714"/>
      <c r="G15" s="1714"/>
      <c r="H15" s="1714">
        <f t="shared" ref="H15:M15" si="0">SUM(H9:H14)</f>
        <v>246081</v>
      </c>
      <c r="I15" s="1714">
        <f t="shared" si="0"/>
        <v>12265.810000000001</v>
      </c>
      <c r="J15" s="1717">
        <f t="shared" si="0"/>
        <v>153580.67428571428</v>
      </c>
      <c r="K15" s="1717">
        <f t="shared" si="0"/>
        <v>147000.00000000006</v>
      </c>
      <c r="L15" s="1717">
        <f t="shared" si="0"/>
        <v>174999.78812465398</v>
      </c>
      <c r="M15" s="1717">
        <f t="shared" si="0"/>
        <v>222999.76136110799</v>
      </c>
      <c r="N15" s="1703" t="s">
        <v>201</v>
      </c>
    </row>
    <row r="16" spans="1:15" s="1644" customFormat="1" x14ac:dyDescent="0.2">
      <c r="A16" s="1286"/>
      <c r="B16" s="1718"/>
      <c r="C16" s="1719"/>
      <c r="D16" s="1720"/>
      <c r="H16" s="1721"/>
      <c r="I16" s="1721"/>
    </row>
    <row r="17" spans="1:23" s="1644" customFormat="1" ht="15" x14ac:dyDescent="0.35">
      <c r="A17" s="1722"/>
      <c r="C17" s="1723"/>
      <c r="D17" s="1723"/>
      <c r="N17" s="1724"/>
    </row>
    <row r="18" spans="1:23"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Q18" s="1286"/>
      <c r="R18" s="1286"/>
      <c r="S18" s="1286"/>
      <c r="T18" s="1286"/>
      <c r="U18" s="1286"/>
      <c r="V18" s="1286"/>
      <c r="W18" s="1286"/>
    </row>
    <row r="19" spans="1:23" s="1644" customFormat="1" x14ac:dyDescent="0.2">
      <c r="N19" s="1703"/>
      <c r="Q19" s="1725"/>
      <c r="R19" s="1725"/>
      <c r="S19" s="1229"/>
      <c r="T19" s="1229"/>
      <c r="U19" s="1229"/>
      <c r="V19" s="1286"/>
      <c r="W19" s="1286"/>
    </row>
    <row r="20" spans="1:23" s="1644" customFormat="1" x14ac:dyDescent="0.2">
      <c r="A20" s="1644" t="s">
        <v>49</v>
      </c>
      <c r="B20" s="1703" t="s">
        <v>195</v>
      </c>
      <c r="C20" s="1703" t="s">
        <v>195</v>
      </c>
      <c r="D20" s="1703" t="s">
        <v>195</v>
      </c>
      <c r="E20" s="1703" t="s">
        <v>195</v>
      </c>
      <c r="F20" s="1703" t="s">
        <v>195</v>
      </c>
      <c r="G20" s="1703" t="s">
        <v>195</v>
      </c>
      <c r="H20" s="1796">
        <v>78912</v>
      </c>
      <c r="I20" s="1703">
        <v>1830</v>
      </c>
      <c r="J20" s="1727">
        <f>I20/I15*J15</f>
        <v>22913.499715294558</v>
      </c>
      <c r="K20" s="1727">
        <v>80864.230850060383</v>
      </c>
      <c r="L20" s="1727">
        <v>95229.797427612066</v>
      </c>
      <c r="M20" s="1727">
        <v>117160.18219620183</v>
      </c>
      <c r="N20" s="1703" t="s">
        <v>64</v>
      </c>
      <c r="Q20" s="1725"/>
      <c r="R20" s="1725"/>
      <c r="S20" s="1728"/>
      <c r="T20" s="1728"/>
      <c r="U20" s="1728"/>
      <c r="V20" s="1286"/>
      <c r="W20" s="1286"/>
    </row>
    <row r="21" spans="1:23" s="1644" customFormat="1" x14ac:dyDescent="0.2">
      <c r="A21" s="1644" t="s">
        <v>50</v>
      </c>
      <c r="B21" s="1703" t="s">
        <v>195</v>
      </c>
      <c r="C21" s="1703" t="s">
        <v>195</v>
      </c>
      <c r="D21" s="1703" t="s">
        <v>195</v>
      </c>
      <c r="E21" s="1703" t="s">
        <v>195</v>
      </c>
      <c r="F21" s="1703" t="s">
        <v>195</v>
      </c>
      <c r="G21" s="1703" t="s">
        <v>195</v>
      </c>
      <c r="H21" s="1796">
        <v>907700</v>
      </c>
      <c r="I21" s="1703">
        <v>24737</v>
      </c>
      <c r="J21" s="1727">
        <f>I21/I15*J15</f>
        <v>309732.91937554174</v>
      </c>
      <c r="K21" s="1727">
        <v>910290.09103822033</v>
      </c>
      <c r="L21" s="1727">
        <v>1072003.5305927545</v>
      </c>
      <c r="M21" s="1727">
        <v>1318874.2636430508</v>
      </c>
      <c r="N21" s="1703" t="s">
        <v>10</v>
      </c>
      <c r="Q21" s="1229"/>
      <c r="R21" s="1674"/>
      <c r="S21" s="1675"/>
      <c r="T21" s="1675"/>
      <c r="U21" s="1675"/>
      <c r="V21" s="1286"/>
      <c r="W21" s="1286"/>
    </row>
    <row r="22" spans="1:23" s="1644" customFormat="1" x14ac:dyDescent="0.2">
      <c r="C22" s="1729" t="s">
        <v>3</v>
      </c>
      <c r="N22" s="1703"/>
      <c r="Q22" s="1229"/>
      <c r="R22" s="1674"/>
      <c r="S22" s="1678"/>
      <c r="T22" s="1678"/>
      <c r="U22" s="1678"/>
      <c r="V22" s="1286"/>
      <c r="W22" s="1286"/>
    </row>
    <row r="23" spans="1:23" s="1644" customFormat="1" x14ac:dyDescent="0.2">
      <c r="A23" s="1644" t="s">
        <v>51</v>
      </c>
      <c r="B23" s="1703" t="s">
        <v>195</v>
      </c>
      <c r="C23" s="1703" t="s">
        <v>195</v>
      </c>
      <c r="D23" s="1703" t="s">
        <v>195</v>
      </c>
      <c r="E23" s="1703" t="s">
        <v>195</v>
      </c>
      <c r="F23" s="1703" t="s">
        <v>195</v>
      </c>
      <c r="G23" s="1703" t="s">
        <v>195</v>
      </c>
      <c r="H23" s="1731">
        <f t="shared" ref="H23:M23" si="1">SUM(H15/H20)</f>
        <v>3.1184230535279807</v>
      </c>
      <c r="I23" s="1731">
        <f t="shared" si="1"/>
        <v>6.7026284153005475</v>
      </c>
      <c r="J23" s="1731">
        <f t="shared" si="1"/>
        <v>6.7026284153005466</v>
      </c>
      <c r="K23" s="1731">
        <f t="shared" si="1"/>
        <v>1.8178618463900258</v>
      </c>
      <c r="L23" s="1731">
        <f t="shared" si="1"/>
        <v>1.8376578849459198</v>
      </c>
      <c r="M23" s="1731">
        <f t="shared" si="1"/>
        <v>1.9033749963589364</v>
      </c>
      <c r="N23" s="1703" t="s">
        <v>65</v>
      </c>
      <c r="Q23" s="1229"/>
      <c r="R23" s="1674"/>
      <c r="S23" s="1678"/>
      <c r="T23" s="1678"/>
      <c r="U23" s="1678"/>
      <c r="V23" s="1286"/>
      <c r="W23" s="1286"/>
    </row>
    <row r="24" spans="1:23" s="1644" customFormat="1" x14ac:dyDescent="0.2">
      <c r="A24" s="1644" t="s">
        <v>52</v>
      </c>
      <c r="B24" s="1703" t="s">
        <v>195</v>
      </c>
      <c r="C24" s="1703" t="s">
        <v>195</v>
      </c>
      <c r="D24" s="1703" t="s">
        <v>195</v>
      </c>
      <c r="E24" s="1703" t="s">
        <v>195</v>
      </c>
      <c r="F24" s="1703" t="s">
        <v>195</v>
      </c>
      <c r="G24" s="1703" t="s">
        <v>195</v>
      </c>
      <c r="H24" s="1731">
        <f t="shared" ref="H24:M24" si="2">SUM(H15/H21)</f>
        <v>0.27110388895009363</v>
      </c>
      <c r="I24" s="1731">
        <f t="shared" si="2"/>
        <v>0.49584872862513651</v>
      </c>
      <c r="J24" s="1731">
        <f t="shared" si="2"/>
        <v>0.49584872862513651</v>
      </c>
      <c r="K24" s="1731">
        <f t="shared" si="2"/>
        <v>0.16148698249844837</v>
      </c>
      <c r="L24" s="1731">
        <f t="shared" si="2"/>
        <v>0.1632455333686163</v>
      </c>
      <c r="M24" s="1731">
        <f t="shared" si="2"/>
        <v>0.16908341265613033</v>
      </c>
      <c r="N24" s="1703" t="s">
        <v>66</v>
      </c>
      <c r="Q24" s="1229"/>
      <c r="R24" s="1674"/>
      <c r="S24" s="1682"/>
      <c r="T24" s="1682"/>
      <c r="U24" s="1682"/>
      <c r="V24" s="1286"/>
      <c r="W24" s="1286"/>
    </row>
    <row r="25" spans="1:23" s="1644" customFormat="1" x14ac:dyDescent="0.2">
      <c r="C25" s="1729"/>
      <c r="N25" s="1703"/>
      <c r="Q25" s="1229"/>
      <c r="R25" s="1674"/>
      <c r="S25" s="1675"/>
      <c r="T25" s="1675"/>
      <c r="U25" s="1675"/>
      <c r="V25" s="1286"/>
      <c r="W25" s="1286"/>
    </row>
    <row r="26" spans="1:23" s="1644" customFormat="1" x14ac:dyDescent="0.2">
      <c r="A26" s="1644" t="s">
        <v>84</v>
      </c>
      <c r="B26" s="1703" t="s">
        <v>195</v>
      </c>
      <c r="C26" s="1703" t="s">
        <v>195</v>
      </c>
      <c r="D26" s="1703" t="s">
        <v>195</v>
      </c>
      <c r="E26" s="1703" t="s">
        <v>195</v>
      </c>
      <c r="F26" s="1703" t="s">
        <v>195</v>
      </c>
      <c r="G26" s="1703" t="s">
        <v>195</v>
      </c>
      <c r="H26" s="579">
        <v>505760</v>
      </c>
      <c r="I26" s="579">
        <f>H26/H21*I21</f>
        <v>13783.171884984025</v>
      </c>
      <c r="J26" s="523">
        <f>I26/I21*J21</f>
        <v>172579.62025269802</v>
      </c>
      <c r="K26" s="1714">
        <v>564867.90426218382</v>
      </c>
      <c r="L26" s="1714">
        <v>693248.39080204931</v>
      </c>
      <c r="M26" s="1714">
        <v>885176.66567077767</v>
      </c>
      <c r="N26" s="1703" t="s">
        <v>67</v>
      </c>
      <c r="Q26" s="1229"/>
      <c r="R26" s="1674"/>
      <c r="S26" s="1674"/>
      <c r="T26" s="1674"/>
      <c r="U26" s="1674"/>
      <c r="V26" s="1286"/>
      <c r="W26" s="1286"/>
    </row>
    <row r="27" spans="1:23" s="1644" customFormat="1" x14ac:dyDescent="0.2">
      <c r="A27" s="1644" t="s">
        <v>85</v>
      </c>
      <c r="B27" s="1703" t="s">
        <v>195</v>
      </c>
      <c r="C27" s="1703" t="s">
        <v>195</v>
      </c>
      <c r="D27" s="1703" t="s">
        <v>195</v>
      </c>
      <c r="E27" s="1703" t="s">
        <v>195</v>
      </c>
      <c r="F27" s="1703" t="s">
        <v>195</v>
      </c>
      <c r="G27" s="1703" t="s">
        <v>195</v>
      </c>
      <c r="H27" s="1732">
        <f t="shared" ref="H27:M27" si="3">SUM(H26/H15)</f>
        <v>2.0552582279818434</v>
      </c>
      <c r="I27" s="1732">
        <f t="shared" si="3"/>
        <v>1.1237066190479084</v>
      </c>
      <c r="J27" s="1732">
        <f t="shared" si="3"/>
        <v>1.1237066190479084</v>
      </c>
      <c r="K27" s="1732">
        <f t="shared" si="3"/>
        <v>3.8426388045046505</v>
      </c>
      <c r="L27" s="1732">
        <f t="shared" si="3"/>
        <v>3.9614241721723804</v>
      </c>
      <c r="M27" s="1732">
        <f t="shared" si="3"/>
        <v>3.9694063359888236</v>
      </c>
      <c r="N27" s="1703" t="s">
        <v>68</v>
      </c>
      <c r="O27" s="1792"/>
      <c r="Q27" s="1229"/>
      <c r="R27" s="1674"/>
      <c r="S27" s="1678"/>
      <c r="T27" s="1674"/>
      <c r="U27" s="1678"/>
      <c r="V27" s="1286"/>
      <c r="W27" s="1286"/>
    </row>
    <row r="28" spans="1:23" s="1644" customFormat="1" x14ac:dyDescent="0.2">
      <c r="A28" s="1644" t="s">
        <v>214</v>
      </c>
      <c r="B28" s="1703" t="s">
        <v>195</v>
      </c>
      <c r="C28" s="1703" t="s">
        <v>195</v>
      </c>
      <c r="D28" s="1703" t="s">
        <v>195</v>
      </c>
      <c r="E28" s="1703" t="s">
        <v>195</v>
      </c>
      <c r="F28" s="1703" t="s">
        <v>195</v>
      </c>
      <c r="G28" s="1703" t="s">
        <v>195</v>
      </c>
      <c r="H28" s="1782">
        <v>27</v>
      </c>
      <c r="I28" s="1782">
        <v>9</v>
      </c>
      <c r="J28" s="1734">
        <f>I28/I23*J23</f>
        <v>8.9999999999999982</v>
      </c>
      <c r="K28" s="1734">
        <v>21</v>
      </c>
      <c r="L28" s="1734">
        <v>25</v>
      </c>
      <c r="M28" s="1734">
        <v>31</v>
      </c>
      <c r="N28" s="1703" t="s">
        <v>69</v>
      </c>
      <c r="Q28" s="1229"/>
      <c r="R28" s="1674"/>
      <c r="S28" s="1678"/>
      <c r="T28" s="1678"/>
      <c r="U28" s="1678"/>
      <c r="V28" s="1286"/>
      <c r="W28" s="1286"/>
    </row>
    <row r="29" spans="1:23" s="1644" customFormat="1" x14ac:dyDescent="0.2">
      <c r="A29" s="1644" t="s">
        <v>215</v>
      </c>
      <c r="B29" s="1703" t="s">
        <v>195</v>
      </c>
      <c r="C29" s="1703" t="s">
        <v>195</v>
      </c>
      <c r="D29" s="1703" t="s">
        <v>195</v>
      </c>
      <c r="E29" s="1703" t="s">
        <v>195</v>
      </c>
      <c r="F29" s="1703" t="s">
        <v>195</v>
      </c>
      <c r="G29" s="1703" t="s">
        <v>195</v>
      </c>
      <c r="H29" s="1757">
        <f t="shared" ref="H29:M29" si="4">H21/H28</f>
        <v>33618.518518518518</v>
      </c>
      <c r="I29" s="1757">
        <f t="shared" si="4"/>
        <v>2748.5555555555557</v>
      </c>
      <c r="J29" s="1757">
        <f t="shared" si="4"/>
        <v>34414.768819504643</v>
      </c>
      <c r="K29" s="1757">
        <f t="shared" si="4"/>
        <v>43347.147192296208</v>
      </c>
      <c r="L29" s="1757">
        <f t="shared" si="4"/>
        <v>42880.141223710176</v>
      </c>
      <c r="M29" s="1757">
        <f t="shared" si="4"/>
        <v>42544.331085259706</v>
      </c>
      <c r="N29" s="1703" t="s">
        <v>70</v>
      </c>
      <c r="Q29" s="1229"/>
      <c r="R29" s="1674"/>
      <c r="S29" s="1675"/>
      <c r="T29" s="1675"/>
      <c r="U29" s="1675"/>
      <c r="V29" s="1286"/>
      <c r="W29" s="1286"/>
    </row>
    <row r="30" spans="1:23" s="1644" customFormat="1" x14ac:dyDescent="0.2">
      <c r="A30" s="1644" t="s">
        <v>216</v>
      </c>
      <c r="B30" s="1703" t="s">
        <v>195</v>
      </c>
      <c r="C30" s="1703" t="s">
        <v>195</v>
      </c>
      <c r="D30" s="1703" t="s">
        <v>195</v>
      </c>
      <c r="E30" s="1703" t="s">
        <v>195</v>
      </c>
      <c r="F30" s="1703" t="s">
        <v>195</v>
      </c>
      <c r="G30" s="1703" t="s">
        <v>195</v>
      </c>
      <c r="H30" s="1706">
        <f t="shared" ref="H30:M30" si="5">H15/H28</f>
        <v>9114.1111111111113</v>
      </c>
      <c r="I30" s="1706">
        <f t="shared" si="5"/>
        <v>1362.867777777778</v>
      </c>
      <c r="J30" s="1706">
        <f t="shared" si="5"/>
        <v>17064.519365079366</v>
      </c>
      <c r="K30" s="1706">
        <f t="shared" si="5"/>
        <v>7000.0000000000027</v>
      </c>
      <c r="L30" s="1706">
        <f t="shared" si="5"/>
        <v>6999.9915249861588</v>
      </c>
      <c r="M30" s="1706">
        <f t="shared" si="5"/>
        <v>7193.5406890679997</v>
      </c>
      <c r="N30" s="1703" t="s">
        <v>72</v>
      </c>
      <c r="Q30" s="1229"/>
      <c r="R30" s="1674"/>
      <c r="S30" s="1675"/>
      <c r="T30" s="1675"/>
      <c r="U30" s="1675"/>
      <c r="V30" s="1286"/>
      <c r="W30" s="1286"/>
    </row>
    <row r="31" spans="1:23" s="1644" customFormat="1" x14ac:dyDescent="0.2">
      <c r="A31" s="1644" t="s">
        <v>217</v>
      </c>
      <c r="B31" s="1703" t="s">
        <v>195</v>
      </c>
      <c r="C31" s="1703" t="s">
        <v>195</v>
      </c>
      <c r="D31" s="1703" t="s">
        <v>195</v>
      </c>
      <c r="E31" s="1703" t="s">
        <v>195</v>
      </c>
      <c r="F31" s="1703" t="s">
        <v>195</v>
      </c>
      <c r="G31" s="1703" t="s">
        <v>195</v>
      </c>
      <c r="H31" s="1706">
        <f t="shared" ref="H31:M31" si="6">H26/H28</f>
        <v>18731.85185185185</v>
      </c>
      <c r="I31" s="1706">
        <f t="shared" si="6"/>
        <v>1531.4635427760029</v>
      </c>
      <c r="J31" s="1706">
        <f t="shared" si="6"/>
        <v>19175.513361410896</v>
      </c>
      <c r="K31" s="1706">
        <f t="shared" si="6"/>
        <v>26898.471631532564</v>
      </c>
      <c r="L31" s="1706">
        <f t="shared" si="6"/>
        <v>27729.935632081972</v>
      </c>
      <c r="M31" s="1706">
        <f t="shared" si="6"/>
        <v>28554.085989379924</v>
      </c>
      <c r="N31" s="1703" t="s">
        <v>73</v>
      </c>
      <c r="Q31" s="1286"/>
      <c r="R31" s="1286"/>
      <c r="S31" s="1286"/>
      <c r="T31" s="1286"/>
      <c r="U31" s="1286"/>
      <c r="V31" s="1286"/>
      <c r="W31" s="1286"/>
    </row>
    <row r="32" spans="1:23" s="1644" customFormat="1" x14ac:dyDescent="0.2">
      <c r="A32" s="1644" t="s">
        <v>450</v>
      </c>
      <c r="B32" s="1703" t="s">
        <v>195</v>
      </c>
      <c r="C32" s="1703" t="s">
        <v>195</v>
      </c>
      <c r="D32" s="1703" t="s">
        <v>195</v>
      </c>
      <c r="E32" s="1703" t="s">
        <v>195</v>
      </c>
      <c r="F32" s="1703" t="s">
        <v>195</v>
      </c>
      <c r="G32" s="1703" t="s">
        <v>195</v>
      </c>
      <c r="H32" s="1776">
        <f t="shared" ref="H32:M32" si="7">H12/H21</f>
        <v>0.19723587088245015</v>
      </c>
      <c r="I32" s="1776">
        <f t="shared" si="7"/>
        <v>8.1861179609491852E-2</v>
      </c>
      <c r="J32" s="1776">
        <f t="shared" si="7"/>
        <v>0.439168688540574</v>
      </c>
      <c r="K32" s="1776">
        <f t="shared" si="7"/>
        <v>0.12141279629021641</v>
      </c>
      <c r="L32" s="1776">
        <f t="shared" si="7"/>
        <v>0.12275476321750318</v>
      </c>
      <c r="M32" s="1776">
        <f t="shared" si="7"/>
        <v>0.12716763720002378</v>
      </c>
      <c r="Q32" s="1286"/>
      <c r="R32" s="1286"/>
      <c r="S32" s="1286"/>
      <c r="T32" s="1286"/>
      <c r="U32" s="1286"/>
      <c r="V32" s="1286"/>
      <c r="W32" s="1286"/>
    </row>
    <row r="33" spans="1:23" s="1644" customFormat="1" x14ac:dyDescent="0.2">
      <c r="A33" s="1644" t="s">
        <v>452</v>
      </c>
      <c r="B33" s="1703" t="s">
        <v>195</v>
      </c>
      <c r="C33" s="1703" t="s">
        <v>195</v>
      </c>
      <c r="D33" s="1703" t="s">
        <v>195</v>
      </c>
      <c r="E33" s="1703" t="s">
        <v>195</v>
      </c>
      <c r="F33" s="1703" t="s">
        <v>195</v>
      </c>
      <c r="G33" s="1703" t="s">
        <v>195</v>
      </c>
      <c r="H33" s="1776">
        <f t="shared" ref="H33:M33" si="8">H13/H21</f>
        <v>1.1016855789357717E-2</v>
      </c>
      <c r="I33" s="1776">
        <f t="shared" si="8"/>
        <v>0.38354772203581683</v>
      </c>
      <c r="J33" s="1776">
        <f t="shared" si="8"/>
        <v>5.2512449495217106E-2</v>
      </c>
      <c r="K33" s="1776">
        <f t="shared" si="8"/>
        <v>1.7099348254262448E-2</v>
      </c>
      <c r="L33" s="1776">
        <f t="shared" si="8"/>
        <v>1.7277863783208433E-2</v>
      </c>
      <c r="M33" s="1776">
        <f t="shared" si="8"/>
        <v>1.7885938118988646E-2</v>
      </c>
      <c r="Q33" s="1286"/>
      <c r="R33" s="1286"/>
      <c r="S33" s="1286"/>
      <c r="T33" s="1286"/>
      <c r="U33" s="1286"/>
      <c r="V33" s="1286"/>
      <c r="W33" s="1286"/>
    </row>
    <row r="34" spans="1:23" s="1644" customFormat="1" x14ac:dyDescent="0.2">
      <c r="A34" s="1704"/>
      <c r="B34" s="1735"/>
      <c r="C34" s="1736"/>
      <c r="D34" s="1736"/>
      <c r="H34" s="1727"/>
      <c r="I34" s="1737"/>
      <c r="J34" s="1703"/>
      <c r="K34" s="1703"/>
      <c r="L34" s="1703"/>
      <c r="M34" s="1703"/>
      <c r="O34" s="1703"/>
      <c r="P34" s="1229"/>
      <c r="Q34" s="1674"/>
      <c r="R34" s="1675"/>
      <c r="S34" s="1675"/>
      <c r="T34" s="1675"/>
      <c r="U34" s="1286"/>
    </row>
    <row r="35" spans="1:23" s="1644" customFormat="1" x14ac:dyDescent="0.2">
      <c r="A35" s="1738" t="s">
        <v>194</v>
      </c>
      <c r="B35" s="1739"/>
      <c r="C35" s="1286"/>
      <c r="H35" s="1714"/>
      <c r="J35" s="1703"/>
      <c r="K35" s="1703"/>
      <c r="L35" s="1703"/>
      <c r="M35" s="1703"/>
      <c r="O35" s="1703"/>
      <c r="P35" s="1229"/>
      <c r="Q35" s="1674"/>
      <c r="R35" s="1675"/>
      <c r="S35" s="1675"/>
      <c r="T35" s="1675"/>
      <c r="U35" s="1286"/>
    </row>
    <row r="36" spans="1:23" s="1644" customFormat="1" x14ac:dyDescent="0.2">
      <c r="A36" s="1738"/>
      <c r="J36" s="1703"/>
      <c r="K36" s="1703"/>
      <c r="L36" s="1703"/>
      <c r="M36" s="1703"/>
      <c r="O36" s="1703"/>
    </row>
    <row r="37" spans="1:23" s="704" customFormat="1" x14ac:dyDescent="0.2">
      <c r="A37" s="1880" t="s">
        <v>185</v>
      </c>
      <c r="B37" s="250" t="s">
        <v>1</v>
      </c>
      <c r="C37" s="250" t="s">
        <v>186</v>
      </c>
      <c r="D37" s="250" t="s">
        <v>18</v>
      </c>
      <c r="J37" s="557"/>
      <c r="K37" s="557"/>
      <c r="L37" s="557"/>
      <c r="M37" s="557"/>
      <c r="O37" s="557"/>
    </row>
    <row r="38" spans="1:23" s="704" customFormat="1" x14ac:dyDescent="0.2">
      <c r="A38" s="1880">
        <v>2006</v>
      </c>
      <c r="B38" s="557" t="s">
        <v>195</v>
      </c>
      <c r="C38" s="1706" t="s">
        <v>195</v>
      </c>
      <c r="D38" s="947" t="str">
        <f t="shared" ref="D38:D47" si="9">IF(ISERROR(C38/B38),"-",(C38/B38))</f>
        <v>-</v>
      </c>
      <c r="J38" s="557"/>
      <c r="K38" s="557"/>
      <c r="L38" s="557"/>
      <c r="M38" s="557"/>
      <c r="O38" s="557"/>
    </row>
    <row r="39" spans="1:23" s="704" customFormat="1" x14ac:dyDescent="0.2">
      <c r="A39" s="1880">
        <v>2007</v>
      </c>
      <c r="B39" s="557" t="s">
        <v>195</v>
      </c>
      <c r="C39" s="1706" t="s">
        <v>195</v>
      </c>
      <c r="D39" s="947" t="str">
        <f t="shared" si="9"/>
        <v>-</v>
      </c>
      <c r="J39" s="557"/>
      <c r="K39" s="557"/>
      <c r="L39" s="557"/>
      <c r="M39" s="557"/>
      <c r="O39" s="557"/>
    </row>
    <row r="40" spans="1:23" s="704" customFormat="1" x14ac:dyDescent="0.2">
      <c r="A40" s="1880">
        <v>2008</v>
      </c>
      <c r="B40" s="557" t="s">
        <v>195</v>
      </c>
      <c r="C40" s="1706" t="s">
        <v>195</v>
      </c>
      <c r="D40" s="947" t="str">
        <f t="shared" si="9"/>
        <v>-</v>
      </c>
      <c r="J40" s="557"/>
      <c r="K40" s="557"/>
      <c r="L40" s="557"/>
      <c r="M40" s="557"/>
      <c r="O40" s="557"/>
    </row>
    <row r="41" spans="1:23" s="704" customFormat="1" x14ac:dyDescent="0.2">
      <c r="A41" s="1880">
        <v>2009</v>
      </c>
      <c r="B41" s="557" t="s">
        <v>195</v>
      </c>
      <c r="C41" s="1706" t="s">
        <v>195</v>
      </c>
      <c r="D41" s="947" t="str">
        <f t="shared" si="9"/>
        <v>-</v>
      </c>
      <c r="J41" s="557"/>
      <c r="K41" s="557"/>
      <c r="L41" s="557"/>
      <c r="M41" s="557"/>
      <c r="O41" s="557"/>
    </row>
    <row r="42" spans="1:23" s="704" customFormat="1" x14ac:dyDescent="0.2">
      <c r="A42" s="1880">
        <v>2010</v>
      </c>
      <c r="B42" s="557" t="s">
        <v>195</v>
      </c>
      <c r="C42" s="1706" t="s">
        <v>195</v>
      </c>
      <c r="D42" s="1797" t="str">
        <f t="shared" si="9"/>
        <v>-</v>
      </c>
      <c r="J42" s="557"/>
      <c r="K42" s="557"/>
      <c r="L42" s="557"/>
      <c r="M42" s="557"/>
      <c r="O42" s="557"/>
    </row>
    <row r="43" spans="1:23" s="704" customFormat="1" x14ac:dyDescent="0.2">
      <c r="A43" s="1880" t="s">
        <v>319</v>
      </c>
      <c r="B43" s="1881">
        <f>H15</f>
        <v>246081</v>
      </c>
      <c r="C43" s="1706">
        <f>I15</f>
        <v>12265.810000000001</v>
      </c>
      <c r="D43" s="1797">
        <f t="shared" si="9"/>
        <v>4.9844604012499953E-2</v>
      </c>
      <c r="J43" s="557"/>
      <c r="K43" s="557"/>
      <c r="L43" s="557"/>
      <c r="M43" s="557"/>
      <c r="O43" s="557"/>
    </row>
    <row r="44" spans="1:23" s="704" customFormat="1" x14ac:dyDescent="0.2">
      <c r="A44" s="1880" t="s">
        <v>318</v>
      </c>
      <c r="B44" s="1881">
        <f>B43</f>
        <v>246081</v>
      </c>
      <c r="C44" s="1706">
        <f>J15</f>
        <v>153580.67428571428</v>
      </c>
      <c r="D44" s="1797">
        <f t="shared" si="9"/>
        <v>0.62410618571004783</v>
      </c>
      <c r="J44" s="557"/>
      <c r="K44" s="557"/>
      <c r="L44" s="557"/>
      <c r="M44" s="557"/>
      <c r="O44" s="557"/>
    </row>
    <row r="45" spans="1:23" s="704" customFormat="1" x14ac:dyDescent="0.2">
      <c r="A45" s="1880">
        <v>2013</v>
      </c>
      <c r="B45" s="1882">
        <f>K15</f>
        <v>147000.00000000006</v>
      </c>
      <c r="C45" s="1706" t="s">
        <v>187</v>
      </c>
      <c r="D45" s="1797" t="str">
        <f t="shared" si="9"/>
        <v>-</v>
      </c>
      <c r="J45" s="557"/>
      <c r="K45" s="557"/>
      <c r="L45" s="557"/>
      <c r="M45" s="557"/>
      <c r="O45" s="557"/>
    </row>
    <row r="46" spans="1:23" s="704" customFormat="1" x14ac:dyDescent="0.2">
      <c r="A46" s="1880">
        <v>2014</v>
      </c>
      <c r="B46" s="1882">
        <f>L15</f>
        <v>174999.78812465398</v>
      </c>
      <c r="C46" s="1706" t="s">
        <v>187</v>
      </c>
      <c r="D46" s="1797" t="str">
        <f t="shared" si="9"/>
        <v>-</v>
      </c>
      <c r="J46" s="557"/>
      <c r="K46" s="557"/>
      <c r="L46" s="557"/>
      <c r="M46" s="557"/>
      <c r="O46" s="557"/>
    </row>
    <row r="47" spans="1:23" s="704" customFormat="1" x14ac:dyDescent="0.2">
      <c r="A47" s="1880">
        <v>2015</v>
      </c>
      <c r="B47" s="1882">
        <f>M15</f>
        <v>222999.76136110799</v>
      </c>
      <c r="C47" s="1706" t="s">
        <v>187</v>
      </c>
      <c r="D47" s="1797" t="str">
        <f t="shared" si="9"/>
        <v>-</v>
      </c>
      <c r="J47" s="557"/>
      <c r="K47" s="557"/>
      <c r="L47" s="557"/>
      <c r="M47" s="557"/>
      <c r="O47" s="557"/>
    </row>
    <row r="48" spans="1:23" s="704" customFormat="1" x14ac:dyDescent="0.2">
      <c r="A48" s="1880"/>
      <c r="C48" s="556"/>
      <c r="J48" s="557"/>
      <c r="K48" s="557"/>
      <c r="L48" s="557"/>
      <c r="M48" s="557"/>
      <c r="O48" s="557"/>
    </row>
    <row r="49" spans="1:15" s="704" customFormat="1" x14ac:dyDescent="0.2">
      <c r="A49" s="276" t="s">
        <v>193</v>
      </c>
      <c r="J49" s="557"/>
      <c r="K49" s="557"/>
      <c r="L49" s="557"/>
      <c r="M49" s="557"/>
      <c r="O49" s="557"/>
    </row>
    <row r="50" spans="1:15" s="704" customFormat="1" x14ac:dyDescent="0.2">
      <c r="A50" s="1880" t="s">
        <v>185</v>
      </c>
      <c r="B50" s="250" t="s">
        <v>188</v>
      </c>
      <c r="C50" s="250" t="s">
        <v>186</v>
      </c>
      <c r="D50" s="250" t="s">
        <v>189</v>
      </c>
      <c r="J50" s="557"/>
      <c r="K50" s="557"/>
      <c r="L50" s="557"/>
      <c r="M50" s="557"/>
      <c r="O50" s="557"/>
    </row>
    <row r="51" spans="1:15" s="704" customFormat="1" x14ac:dyDescent="0.2">
      <c r="A51" s="1880">
        <v>2006</v>
      </c>
      <c r="B51" s="557" t="s">
        <v>195</v>
      </c>
      <c r="C51" s="557" t="s">
        <v>195</v>
      </c>
      <c r="D51" s="947" t="str">
        <f t="shared" ref="D51:D61" si="10">IF(ISERROR(C51/B51),"-",(C51/B51))</f>
        <v>-</v>
      </c>
      <c r="J51" s="557"/>
      <c r="K51" s="557"/>
      <c r="L51" s="557"/>
      <c r="M51" s="557"/>
      <c r="O51" s="557"/>
    </row>
    <row r="52" spans="1:15" s="704" customFormat="1" x14ac:dyDescent="0.2">
      <c r="A52" s="1880">
        <v>2007</v>
      </c>
      <c r="B52" s="557" t="s">
        <v>195</v>
      </c>
      <c r="C52" s="557" t="s">
        <v>195</v>
      </c>
      <c r="D52" s="947" t="str">
        <f t="shared" si="10"/>
        <v>-</v>
      </c>
      <c r="J52" s="557"/>
      <c r="K52" s="557"/>
      <c r="L52" s="557"/>
      <c r="M52" s="557"/>
      <c r="O52" s="557"/>
    </row>
    <row r="53" spans="1:15" s="704" customFormat="1" x14ac:dyDescent="0.2">
      <c r="A53" s="1880">
        <v>2008</v>
      </c>
      <c r="B53" s="557" t="s">
        <v>195</v>
      </c>
      <c r="C53" s="557" t="s">
        <v>195</v>
      </c>
      <c r="D53" s="947" t="str">
        <f t="shared" si="10"/>
        <v>-</v>
      </c>
      <c r="J53" s="557"/>
      <c r="K53" s="557"/>
      <c r="L53" s="557"/>
      <c r="M53" s="557"/>
      <c r="O53" s="557"/>
    </row>
    <row r="54" spans="1:15" s="704" customFormat="1" x14ac:dyDescent="0.2">
      <c r="A54" s="1880">
        <v>2009</v>
      </c>
      <c r="B54" s="557" t="s">
        <v>195</v>
      </c>
      <c r="C54" s="557" t="s">
        <v>195</v>
      </c>
      <c r="D54" s="947" t="str">
        <f t="shared" si="10"/>
        <v>-</v>
      </c>
      <c r="J54" s="557"/>
      <c r="K54" s="557"/>
      <c r="L54" s="557"/>
      <c r="M54" s="557"/>
      <c r="O54" s="557"/>
    </row>
    <row r="55" spans="1:15" s="704" customFormat="1" x14ac:dyDescent="0.2">
      <c r="A55" s="1880">
        <v>2010</v>
      </c>
      <c r="B55" s="557" t="s">
        <v>195</v>
      </c>
      <c r="C55" s="557" t="s">
        <v>195</v>
      </c>
      <c r="D55" s="947" t="str">
        <f t="shared" si="10"/>
        <v>-</v>
      </c>
      <c r="J55" s="557"/>
      <c r="K55" s="557"/>
      <c r="L55" s="557"/>
      <c r="M55" s="557"/>
      <c r="O55" s="557"/>
    </row>
    <row r="56" spans="1:15" s="704" customFormat="1" x14ac:dyDescent="0.2">
      <c r="A56" s="1880">
        <v>2011</v>
      </c>
      <c r="B56" s="557" t="s">
        <v>195</v>
      </c>
      <c r="C56" s="557" t="s">
        <v>195</v>
      </c>
      <c r="D56" s="947" t="str">
        <f t="shared" si="10"/>
        <v>-</v>
      </c>
      <c r="J56" s="557"/>
      <c r="K56" s="557"/>
      <c r="L56" s="557"/>
      <c r="M56" s="557"/>
      <c r="O56" s="557"/>
    </row>
    <row r="57" spans="1:15" s="704" customFormat="1" x14ac:dyDescent="0.2">
      <c r="A57" s="1880" t="s">
        <v>319</v>
      </c>
      <c r="B57" s="556">
        <f>H28</f>
        <v>27</v>
      </c>
      <c r="C57" s="947">
        <f>I28</f>
        <v>9</v>
      </c>
      <c r="D57" s="1883">
        <f t="shared" si="10"/>
        <v>0.33333333333333331</v>
      </c>
      <c r="J57" s="557"/>
      <c r="K57" s="557"/>
      <c r="L57" s="557"/>
      <c r="M57" s="557"/>
      <c r="O57" s="557"/>
    </row>
    <row r="58" spans="1:15" s="704" customFormat="1" x14ac:dyDescent="0.2">
      <c r="A58" s="1880" t="s">
        <v>318</v>
      </c>
      <c r="B58" s="556">
        <f>H28</f>
        <v>27</v>
      </c>
      <c r="C58" s="823">
        <f>J28</f>
        <v>8.9999999999999982</v>
      </c>
      <c r="D58" s="1883">
        <f t="shared" si="10"/>
        <v>0.33333333333333326</v>
      </c>
      <c r="J58" s="557"/>
      <c r="K58" s="557"/>
      <c r="L58" s="557"/>
      <c r="M58" s="557"/>
      <c r="O58" s="557"/>
    </row>
    <row r="59" spans="1:15" s="704" customFormat="1" x14ac:dyDescent="0.2">
      <c r="A59" s="1880">
        <v>2013</v>
      </c>
      <c r="B59" s="556">
        <f>K28</f>
        <v>21</v>
      </c>
      <c r="C59" s="823" t="s">
        <v>187</v>
      </c>
      <c r="D59" s="1883" t="str">
        <f t="shared" si="10"/>
        <v>-</v>
      </c>
      <c r="J59" s="557"/>
      <c r="K59" s="557"/>
      <c r="L59" s="557"/>
      <c r="M59" s="557"/>
      <c r="O59" s="557"/>
    </row>
    <row r="60" spans="1:15" s="704" customFormat="1" x14ac:dyDescent="0.2">
      <c r="A60" s="1880">
        <v>2014</v>
      </c>
      <c r="B60" s="556">
        <f>L28</f>
        <v>25</v>
      </c>
      <c r="C60" s="823" t="s">
        <v>187</v>
      </c>
      <c r="D60" s="1883" t="str">
        <f t="shared" si="10"/>
        <v>-</v>
      </c>
      <c r="J60" s="557"/>
      <c r="K60" s="557"/>
      <c r="L60" s="557"/>
      <c r="M60" s="557"/>
      <c r="O60" s="557"/>
    </row>
    <row r="61" spans="1:15" s="704" customFormat="1" x14ac:dyDescent="0.2">
      <c r="A61" s="1880">
        <v>2015</v>
      </c>
      <c r="B61" s="556">
        <f>M28</f>
        <v>31</v>
      </c>
      <c r="C61" s="823" t="s">
        <v>187</v>
      </c>
      <c r="D61" s="1883" t="str">
        <f t="shared" si="10"/>
        <v>-</v>
      </c>
      <c r="J61" s="557"/>
      <c r="K61" s="557"/>
      <c r="L61" s="557"/>
      <c r="M61" s="557"/>
      <c r="O61" s="557"/>
    </row>
    <row r="62" spans="1:15" s="704" customFormat="1" x14ac:dyDescent="0.2">
      <c r="J62" s="557"/>
      <c r="K62" s="557"/>
      <c r="L62" s="557"/>
      <c r="M62" s="557"/>
      <c r="O62" s="557"/>
    </row>
    <row r="63" spans="1:15" s="704" customFormat="1" x14ac:dyDescent="0.2">
      <c r="A63" s="276" t="s">
        <v>191</v>
      </c>
      <c r="J63" s="557"/>
      <c r="K63" s="557"/>
      <c r="L63" s="557"/>
      <c r="M63" s="557"/>
      <c r="O63" s="557"/>
    </row>
    <row r="64" spans="1:15" s="704" customFormat="1" x14ac:dyDescent="0.2">
      <c r="A64" s="1880" t="s">
        <v>185</v>
      </c>
      <c r="B64" s="250" t="s">
        <v>188</v>
      </c>
      <c r="C64" s="250" t="s">
        <v>186</v>
      </c>
      <c r="D64" s="250" t="s">
        <v>189</v>
      </c>
      <c r="J64" s="557"/>
      <c r="K64" s="557"/>
      <c r="L64" s="557"/>
      <c r="M64" s="557"/>
      <c r="O64" s="557"/>
    </row>
    <row r="65" spans="1:15" s="704" customFormat="1" x14ac:dyDescent="0.2">
      <c r="A65" s="1880">
        <v>2006</v>
      </c>
      <c r="B65" s="557" t="s">
        <v>195</v>
      </c>
      <c r="C65" s="557" t="s">
        <v>195</v>
      </c>
      <c r="D65" s="947" t="str">
        <f t="shared" ref="D65:D75" si="11">IF(ISERROR(C65/B65),"-",(C65/B65))</f>
        <v>-</v>
      </c>
      <c r="J65" s="557"/>
      <c r="K65" s="557"/>
      <c r="L65" s="557"/>
      <c r="M65" s="557"/>
      <c r="O65" s="557"/>
    </row>
    <row r="66" spans="1:15" s="704" customFormat="1" x14ac:dyDescent="0.2">
      <c r="A66" s="1880">
        <v>2007</v>
      </c>
      <c r="B66" s="557" t="s">
        <v>195</v>
      </c>
      <c r="C66" s="557" t="s">
        <v>195</v>
      </c>
      <c r="D66" s="947" t="str">
        <f t="shared" si="11"/>
        <v>-</v>
      </c>
      <c r="J66" s="557"/>
      <c r="K66" s="557"/>
      <c r="L66" s="557"/>
      <c r="M66" s="557"/>
      <c r="O66" s="557"/>
    </row>
    <row r="67" spans="1:15" s="704" customFormat="1" x14ac:dyDescent="0.2">
      <c r="A67" s="1880">
        <v>2008</v>
      </c>
      <c r="B67" s="557" t="s">
        <v>195</v>
      </c>
      <c r="C67" s="557" t="s">
        <v>195</v>
      </c>
      <c r="D67" s="947" t="str">
        <f t="shared" si="11"/>
        <v>-</v>
      </c>
      <c r="J67" s="557"/>
      <c r="K67" s="557"/>
      <c r="L67" s="557"/>
      <c r="M67" s="557"/>
      <c r="O67" s="557"/>
    </row>
    <row r="68" spans="1:15" s="704" customFormat="1" x14ac:dyDescent="0.2">
      <c r="A68" s="1880">
        <v>2009</v>
      </c>
      <c r="B68" s="557" t="s">
        <v>195</v>
      </c>
      <c r="C68" s="557" t="s">
        <v>195</v>
      </c>
      <c r="D68" s="947" t="str">
        <f t="shared" si="11"/>
        <v>-</v>
      </c>
      <c r="J68" s="557"/>
      <c r="K68" s="557"/>
      <c r="L68" s="557"/>
      <c r="M68" s="557"/>
      <c r="O68" s="557"/>
    </row>
    <row r="69" spans="1:15" s="704" customFormat="1" x14ac:dyDescent="0.2">
      <c r="A69" s="1880">
        <v>2010</v>
      </c>
      <c r="B69" s="557" t="s">
        <v>195</v>
      </c>
      <c r="C69" s="557" t="s">
        <v>195</v>
      </c>
      <c r="D69" s="947" t="str">
        <f t="shared" si="11"/>
        <v>-</v>
      </c>
      <c r="J69" s="557"/>
      <c r="K69" s="557"/>
      <c r="L69" s="557"/>
      <c r="M69" s="557"/>
      <c r="O69" s="557"/>
    </row>
    <row r="70" spans="1:15" s="704" customFormat="1" x14ac:dyDescent="0.2">
      <c r="A70" s="1880">
        <v>2011</v>
      </c>
      <c r="B70" s="557" t="s">
        <v>195</v>
      </c>
      <c r="C70" s="557" t="s">
        <v>195</v>
      </c>
      <c r="D70" s="947" t="str">
        <f t="shared" si="11"/>
        <v>-</v>
      </c>
      <c r="J70" s="557"/>
      <c r="K70" s="557"/>
      <c r="L70" s="557"/>
      <c r="M70" s="557"/>
      <c r="O70" s="557"/>
    </row>
    <row r="71" spans="1:15" s="704" customFormat="1" x14ac:dyDescent="0.2">
      <c r="A71" s="1880" t="s">
        <v>319</v>
      </c>
      <c r="B71" s="1884">
        <f>H20</f>
        <v>78912</v>
      </c>
      <c r="C71" s="562">
        <f>I20</f>
        <v>1830</v>
      </c>
      <c r="D71" s="947">
        <f t="shared" si="11"/>
        <v>2.3190389294403892E-2</v>
      </c>
      <c r="J71" s="557"/>
      <c r="K71" s="557"/>
      <c r="L71" s="557"/>
      <c r="M71" s="557"/>
      <c r="O71" s="557"/>
    </row>
    <row r="72" spans="1:15" s="704" customFormat="1" x14ac:dyDescent="0.2">
      <c r="A72" s="1880" t="s">
        <v>318</v>
      </c>
      <c r="B72" s="1884">
        <f>B71</f>
        <v>78912</v>
      </c>
      <c r="C72" s="562">
        <f>J20</f>
        <v>22913.499715294558</v>
      </c>
      <c r="D72" s="1788">
        <f t="shared" si="11"/>
        <v>0.29036774781141728</v>
      </c>
      <c r="J72" s="557"/>
      <c r="K72" s="557"/>
      <c r="L72" s="557"/>
      <c r="M72" s="557"/>
      <c r="O72" s="557"/>
    </row>
    <row r="73" spans="1:15" s="704" customFormat="1" x14ac:dyDescent="0.2">
      <c r="A73" s="1880">
        <v>2013</v>
      </c>
      <c r="B73" s="1884">
        <f>K20</f>
        <v>80864.230850060383</v>
      </c>
      <c r="C73" s="1883" t="s">
        <v>187</v>
      </c>
      <c r="D73" s="1788" t="str">
        <f t="shared" si="11"/>
        <v>-</v>
      </c>
      <c r="J73" s="557"/>
      <c r="K73" s="557"/>
      <c r="L73" s="557"/>
      <c r="M73" s="557"/>
      <c r="O73" s="557"/>
    </row>
    <row r="74" spans="1:15" s="704" customFormat="1" x14ac:dyDescent="0.2">
      <c r="A74" s="1880">
        <v>2014</v>
      </c>
      <c r="B74" s="1884">
        <f>L20</f>
        <v>95229.797427612066</v>
      </c>
      <c r="C74" s="1883" t="s">
        <v>187</v>
      </c>
      <c r="D74" s="1788" t="str">
        <f t="shared" si="11"/>
        <v>-</v>
      </c>
      <c r="J74" s="557"/>
      <c r="K74" s="557"/>
      <c r="L74" s="557"/>
      <c r="M74" s="557"/>
      <c r="O74" s="557"/>
    </row>
    <row r="75" spans="1:15" s="704" customFormat="1" x14ac:dyDescent="0.2">
      <c r="A75" s="1880">
        <v>2015</v>
      </c>
      <c r="B75" s="1884">
        <f>M20</f>
        <v>117160.18219620183</v>
      </c>
      <c r="C75" s="1883" t="s">
        <v>187</v>
      </c>
      <c r="D75" s="1788" t="str">
        <f t="shared" si="11"/>
        <v>-</v>
      </c>
      <c r="J75" s="557"/>
      <c r="K75" s="557"/>
      <c r="L75" s="557"/>
      <c r="M75" s="557"/>
      <c r="O75" s="557"/>
    </row>
    <row r="76" spans="1:15" s="168" customFormat="1" x14ac:dyDescent="0.2">
      <c r="A76" s="1880"/>
      <c r="H76" s="704"/>
      <c r="I76" s="704"/>
      <c r="J76" s="557"/>
      <c r="K76" s="557"/>
      <c r="L76" s="557"/>
      <c r="M76" s="557"/>
    </row>
    <row r="77" spans="1:15" s="168" customFormat="1" x14ac:dyDescent="0.2">
      <c r="A77" s="276" t="s">
        <v>190</v>
      </c>
      <c r="H77" s="704"/>
      <c r="I77" s="704"/>
      <c r="J77" s="557"/>
      <c r="K77" s="557"/>
      <c r="L77" s="557"/>
      <c r="M77" s="557"/>
    </row>
    <row r="78" spans="1:15" s="168" customFormat="1" x14ac:dyDescent="0.2">
      <c r="A78" s="1880" t="s">
        <v>185</v>
      </c>
      <c r="B78" s="250" t="s">
        <v>188</v>
      </c>
      <c r="C78" s="250" t="s">
        <v>186</v>
      </c>
      <c r="D78" s="250" t="s">
        <v>189</v>
      </c>
      <c r="H78" s="704"/>
      <c r="I78" s="704"/>
      <c r="J78" s="557"/>
      <c r="K78" s="557"/>
      <c r="L78" s="557"/>
      <c r="M78" s="557"/>
    </row>
    <row r="79" spans="1:15" s="168" customFormat="1" x14ac:dyDescent="0.2">
      <c r="A79" s="1880">
        <v>2006</v>
      </c>
      <c r="B79" s="557" t="s">
        <v>195</v>
      </c>
      <c r="C79" s="557" t="s">
        <v>195</v>
      </c>
      <c r="D79" s="947" t="str">
        <f t="shared" ref="D79:D89" si="12">IF(ISERROR(C79/B79),"-",(C79/B79))</f>
        <v>-</v>
      </c>
      <c r="H79" s="704"/>
      <c r="I79" s="704"/>
      <c r="J79" s="557"/>
      <c r="K79" s="557"/>
      <c r="L79" s="557"/>
      <c r="M79" s="557"/>
    </row>
    <row r="80" spans="1:15" s="168" customFormat="1" x14ac:dyDescent="0.2">
      <c r="A80" s="1880">
        <v>2007</v>
      </c>
      <c r="B80" s="557" t="s">
        <v>195</v>
      </c>
      <c r="C80" s="557" t="s">
        <v>195</v>
      </c>
      <c r="D80" s="947" t="str">
        <f t="shared" si="12"/>
        <v>-</v>
      </c>
      <c r="H80" s="704"/>
      <c r="I80" s="704"/>
      <c r="J80" s="557"/>
      <c r="K80" s="557"/>
      <c r="L80" s="557"/>
      <c r="M80" s="557"/>
    </row>
    <row r="81" spans="1:13" s="168" customFormat="1" x14ac:dyDescent="0.2">
      <c r="A81" s="1880">
        <v>2008</v>
      </c>
      <c r="B81" s="557" t="s">
        <v>195</v>
      </c>
      <c r="C81" s="557" t="s">
        <v>195</v>
      </c>
      <c r="D81" s="947" t="str">
        <f t="shared" si="12"/>
        <v>-</v>
      </c>
      <c r="H81" s="704"/>
      <c r="I81" s="704"/>
      <c r="J81" s="557"/>
      <c r="K81" s="557"/>
      <c r="L81" s="557"/>
      <c r="M81" s="557"/>
    </row>
    <row r="82" spans="1:13" s="168" customFormat="1" x14ac:dyDescent="0.2">
      <c r="A82" s="1880">
        <v>2009</v>
      </c>
      <c r="B82" s="557" t="s">
        <v>195</v>
      </c>
      <c r="C82" s="557" t="s">
        <v>195</v>
      </c>
      <c r="D82" s="947" t="str">
        <f t="shared" si="12"/>
        <v>-</v>
      </c>
      <c r="H82" s="704"/>
      <c r="I82" s="704"/>
      <c r="J82" s="557"/>
      <c r="K82" s="557"/>
      <c r="L82" s="557"/>
      <c r="M82" s="557"/>
    </row>
    <row r="83" spans="1:13" s="168" customFormat="1" x14ac:dyDescent="0.2">
      <c r="A83" s="1880">
        <v>2010</v>
      </c>
      <c r="B83" s="557" t="s">
        <v>195</v>
      </c>
      <c r="C83" s="557" t="s">
        <v>195</v>
      </c>
      <c r="D83" s="947" t="str">
        <f t="shared" si="12"/>
        <v>-</v>
      </c>
      <c r="H83" s="704"/>
      <c r="I83" s="704"/>
      <c r="J83" s="557"/>
      <c r="K83" s="557"/>
      <c r="L83" s="557"/>
      <c r="M83" s="557"/>
    </row>
    <row r="84" spans="1:13" s="168" customFormat="1" x14ac:dyDescent="0.2">
      <c r="A84" s="1880">
        <v>2011</v>
      </c>
      <c r="B84" s="557" t="s">
        <v>195</v>
      </c>
      <c r="C84" s="557" t="s">
        <v>195</v>
      </c>
      <c r="D84" s="947" t="str">
        <f t="shared" si="12"/>
        <v>-</v>
      </c>
      <c r="H84" s="704"/>
      <c r="I84" s="704"/>
      <c r="J84" s="557"/>
      <c r="K84" s="557"/>
      <c r="L84" s="557"/>
      <c r="M84" s="557"/>
    </row>
    <row r="85" spans="1:13" s="168" customFormat="1" x14ac:dyDescent="0.2">
      <c r="A85" s="1880" t="s">
        <v>319</v>
      </c>
      <c r="B85" s="562">
        <f>H21</f>
        <v>907700</v>
      </c>
      <c r="C85" s="562">
        <f>I21</f>
        <v>24737</v>
      </c>
      <c r="D85" s="947">
        <f t="shared" si="12"/>
        <v>2.7252396166134184E-2</v>
      </c>
      <c r="H85" s="704"/>
      <c r="I85" s="704"/>
      <c r="J85" s="557"/>
      <c r="K85" s="557"/>
      <c r="L85" s="557"/>
      <c r="M85" s="557"/>
    </row>
    <row r="86" spans="1:13" s="168" customFormat="1" x14ac:dyDescent="0.2">
      <c r="A86" s="1880" t="s">
        <v>318</v>
      </c>
      <c r="B86" s="562">
        <f>B85</f>
        <v>907700</v>
      </c>
      <c r="C86" s="562">
        <f>J21</f>
        <v>309732.91937554174</v>
      </c>
      <c r="D86" s="1793">
        <f t="shared" si="12"/>
        <v>0.34122829059771043</v>
      </c>
      <c r="H86" s="704"/>
      <c r="I86" s="704"/>
      <c r="J86" s="181"/>
      <c r="K86" s="181"/>
      <c r="L86" s="181"/>
      <c r="M86" s="181"/>
    </row>
    <row r="87" spans="1:13" s="168" customFormat="1" x14ac:dyDescent="0.2">
      <c r="A87" s="1880">
        <v>2013</v>
      </c>
      <c r="B87" s="562">
        <f>K21</f>
        <v>910290.09103822033</v>
      </c>
      <c r="C87" s="557" t="s">
        <v>187</v>
      </c>
      <c r="D87" s="1793" t="str">
        <f t="shared" si="12"/>
        <v>-</v>
      </c>
      <c r="E87" s="1880"/>
      <c r="H87" s="704"/>
      <c r="I87" s="704"/>
    </row>
    <row r="88" spans="1:13" s="168" customFormat="1" x14ac:dyDescent="0.2">
      <c r="A88" s="1880">
        <v>2014</v>
      </c>
      <c r="B88" s="562">
        <f>L21</f>
        <v>1072003.5305927545</v>
      </c>
      <c r="C88" s="557" t="s">
        <v>187</v>
      </c>
      <c r="D88" s="1793" t="str">
        <f t="shared" si="12"/>
        <v>-</v>
      </c>
      <c r="E88" s="1880"/>
      <c r="H88" s="704"/>
      <c r="I88" s="704"/>
    </row>
    <row r="89" spans="1:13" s="168" customFormat="1" x14ac:dyDescent="0.2">
      <c r="A89" s="1880">
        <v>2015</v>
      </c>
      <c r="B89" s="562">
        <f>M21</f>
        <v>1318874.2636430508</v>
      </c>
      <c r="C89" s="557" t="s">
        <v>187</v>
      </c>
      <c r="D89" s="1793" t="str">
        <f t="shared" si="12"/>
        <v>-</v>
      </c>
      <c r="E89" s="1880"/>
      <c r="H89" s="704"/>
      <c r="I89" s="704"/>
    </row>
    <row r="90" spans="1:13" x14ac:dyDescent="0.2">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ht="11.25" x14ac:dyDescent="0.2">
      <c r="H117" s="1635"/>
      <c r="I117" s="1635"/>
    </row>
    <row r="118" spans="8:9" ht="11.25" x14ac:dyDescent="0.2">
      <c r="H118" s="1635"/>
      <c r="I118" s="1635"/>
    </row>
  </sheetData>
  <mergeCells count="1">
    <mergeCell ref="A1:O1"/>
  </mergeCells>
  <pageMargins left="0.98" right="0.75" top="1.1499999999999999" bottom="1" header="0.5" footer="0.5"/>
  <pageSetup scale="48" orientation="portrait" r:id="rId1"/>
  <headerFooter alignWithMargins="0">
    <oddFooter>&amp;C&amp;1#&amp;"Calibri"&amp;12&amp;K008000Internal Use</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1">
    <tabColor indexed="11"/>
  </sheetPr>
  <dimension ref="A1:O52"/>
  <sheetViews>
    <sheetView workbookViewId="0">
      <selection activeCell="J57" sqref="J57"/>
    </sheetView>
  </sheetViews>
  <sheetFormatPr defaultRowHeight="12.75" x14ac:dyDescent="0.2"/>
  <cols>
    <col min="1" max="1" width="51" style="1635" customWidth="1"/>
    <col min="2" max="2" width="10.7109375" style="1635" customWidth="1"/>
    <col min="3" max="3" width="10.5703125" style="1635" customWidth="1"/>
    <col min="4" max="4" width="11.7109375" style="1635" bestFit="1" customWidth="1"/>
    <col min="5" max="5" width="10.7109375" style="1635" customWidth="1"/>
    <col min="6" max="6" width="10.85546875" style="1635" customWidth="1"/>
    <col min="7" max="7" width="10.7109375" style="1635" customWidth="1"/>
    <col min="8" max="8" width="12" style="1188" customWidth="1"/>
    <col min="9" max="9" width="13.28515625" style="1188" customWidth="1"/>
    <col min="10" max="13" width="11.42578125" style="1635" customWidth="1"/>
    <col min="14" max="14" width="5.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454</v>
      </c>
    </row>
    <row r="4" spans="1:15" x14ac:dyDescent="0.2">
      <c r="A4" s="1699"/>
    </row>
    <row r="5" spans="1:15" x14ac:dyDescent="0.2">
      <c r="A5" s="1749"/>
      <c r="H5" s="1702"/>
      <c r="I5" s="1702"/>
      <c r="J5" s="1644"/>
      <c r="K5" s="1644"/>
      <c r="L5" s="1644"/>
      <c r="M5" s="1644"/>
    </row>
    <row r="6" spans="1:15" s="1644" customFormat="1" x14ac:dyDescent="0.2">
      <c r="A6" s="1701"/>
      <c r="B6" s="1790">
        <v>2006</v>
      </c>
      <c r="C6" s="1790">
        <v>2007</v>
      </c>
      <c r="D6" s="1790">
        <v>2008</v>
      </c>
      <c r="E6" s="1790">
        <v>2009</v>
      </c>
      <c r="F6" s="1790">
        <v>2010</v>
      </c>
      <c r="G6" s="1790">
        <v>2011</v>
      </c>
      <c r="H6" s="1790">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738" t="s">
        <v>148</v>
      </c>
      <c r="H7" s="1738"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3" t="s">
        <v>195</v>
      </c>
      <c r="E9" s="1703" t="s">
        <v>195</v>
      </c>
      <c r="F9" s="1703" t="s">
        <v>195</v>
      </c>
      <c r="G9" s="1703" t="s">
        <v>195</v>
      </c>
      <c r="H9" s="1703" t="s">
        <v>195</v>
      </c>
      <c r="I9" s="1703" t="s">
        <v>195</v>
      </c>
      <c r="J9" s="1703" t="s">
        <v>195</v>
      </c>
      <c r="K9" s="1707">
        <v>9000</v>
      </c>
      <c r="L9" s="1707">
        <v>9000</v>
      </c>
      <c r="M9" s="1707">
        <v>9000</v>
      </c>
    </row>
    <row r="10" spans="1:15" s="1644" customFormat="1" x14ac:dyDescent="0.2">
      <c r="A10" s="1286" t="s">
        <v>45</v>
      </c>
      <c r="B10" s="1703" t="s">
        <v>195</v>
      </c>
      <c r="C10" s="1703" t="s">
        <v>195</v>
      </c>
      <c r="D10" s="1703" t="s">
        <v>195</v>
      </c>
      <c r="E10" s="1703" t="s">
        <v>195</v>
      </c>
      <c r="F10" s="1703" t="s">
        <v>195</v>
      </c>
      <c r="G10" s="1703" t="s">
        <v>195</v>
      </c>
      <c r="H10" s="1703" t="s">
        <v>195</v>
      </c>
      <c r="I10" s="1703" t="s">
        <v>195</v>
      </c>
      <c r="J10" s="1703" t="s">
        <v>195</v>
      </c>
      <c r="K10" s="1707">
        <v>141000</v>
      </c>
      <c r="L10" s="1707">
        <v>141000</v>
      </c>
      <c r="M10" s="1707">
        <v>141000</v>
      </c>
    </row>
    <row r="11" spans="1:15" s="1644" customFormat="1" x14ac:dyDescent="0.2">
      <c r="A11" s="1286" t="s">
        <v>202</v>
      </c>
      <c r="B11" s="1703" t="s">
        <v>195</v>
      </c>
      <c r="C11" s="1703" t="s">
        <v>195</v>
      </c>
      <c r="D11" s="1703" t="s">
        <v>195</v>
      </c>
      <c r="E11" s="1703" t="s">
        <v>195</v>
      </c>
      <c r="F11" s="1703" t="s">
        <v>195</v>
      </c>
      <c r="G11" s="1703" t="s">
        <v>195</v>
      </c>
      <c r="H11" s="1703" t="s">
        <v>195</v>
      </c>
      <c r="I11" s="1703" t="s">
        <v>195</v>
      </c>
      <c r="J11" s="1703" t="s">
        <v>195</v>
      </c>
      <c r="K11" s="1707">
        <v>0</v>
      </c>
      <c r="L11" s="1707">
        <v>0</v>
      </c>
      <c r="M11" s="1707">
        <v>0</v>
      </c>
    </row>
    <row r="12" spans="1:15" s="1644" customFormat="1" x14ac:dyDescent="0.2">
      <c r="A12" s="1286" t="s">
        <v>2</v>
      </c>
      <c r="B12" s="1703" t="s">
        <v>195</v>
      </c>
      <c r="C12" s="1703" t="s">
        <v>195</v>
      </c>
      <c r="D12" s="1703" t="s">
        <v>195</v>
      </c>
      <c r="E12" s="1703" t="s">
        <v>195</v>
      </c>
      <c r="F12" s="1703" t="s">
        <v>195</v>
      </c>
      <c r="G12" s="1703" t="s">
        <v>195</v>
      </c>
      <c r="H12" s="1703" t="s">
        <v>195</v>
      </c>
      <c r="I12" s="1703" t="s">
        <v>195</v>
      </c>
      <c r="J12" s="1703" t="s">
        <v>195</v>
      </c>
      <c r="K12" s="1707">
        <v>0</v>
      </c>
      <c r="L12" s="1707">
        <v>0</v>
      </c>
      <c r="M12" s="1707">
        <v>0</v>
      </c>
    </row>
    <row r="13" spans="1:15" s="1644" customFormat="1" x14ac:dyDescent="0.2">
      <c r="A13" s="1286" t="s">
        <v>14</v>
      </c>
      <c r="B13" s="1703" t="s">
        <v>195</v>
      </c>
      <c r="C13" s="1703" t="s">
        <v>195</v>
      </c>
      <c r="D13" s="1703" t="s">
        <v>195</v>
      </c>
      <c r="E13" s="1703" t="s">
        <v>195</v>
      </c>
      <c r="F13" s="1703" t="s">
        <v>195</v>
      </c>
      <c r="G13" s="1703" t="s">
        <v>195</v>
      </c>
      <c r="H13" s="1703" t="s">
        <v>195</v>
      </c>
      <c r="I13" s="1703" t="s">
        <v>195</v>
      </c>
      <c r="J13" s="1703" t="s">
        <v>195</v>
      </c>
      <c r="K13" s="1707">
        <v>0</v>
      </c>
      <c r="L13" s="1707">
        <v>0</v>
      </c>
      <c r="M13" s="1707">
        <v>0</v>
      </c>
    </row>
    <row r="14" spans="1:15" s="1644" customFormat="1" ht="15" x14ac:dyDescent="0.35">
      <c r="A14" s="1286" t="s">
        <v>46</v>
      </c>
      <c r="B14" s="1703" t="s">
        <v>195</v>
      </c>
      <c r="C14" s="1703" t="s">
        <v>195</v>
      </c>
      <c r="D14" s="1703" t="s">
        <v>195</v>
      </c>
      <c r="E14" s="1703" t="s">
        <v>195</v>
      </c>
      <c r="F14" s="1703" t="s">
        <v>195</v>
      </c>
      <c r="G14" s="1703" t="s">
        <v>195</v>
      </c>
      <c r="H14" s="1799" t="s">
        <v>195</v>
      </c>
      <c r="I14" s="1799" t="s">
        <v>195</v>
      </c>
      <c r="J14" s="1799" t="s">
        <v>195</v>
      </c>
      <c r="K14" s="1712">
        <v>0</v>
      </c>
      <c r="L14" s="1712">
        <v>0</v>
      </c>
      <c r="M14" s="1712">
        <v>0</v>
      </c>
    </row>
    <row r="15" spans="1:15" s="1644" customFormat="1" x14ac:dyDescent="0.2">
      <c r="A15" s="1286" t="s">
        <v>86</v>
      </c>
      <c r="C15" s="1714"/>
      <c r="D15" s="1714"/>
      <c r="E15" s="1714"/>
      <c r="F15" s="1714"/>
      <c r="G15" s="1714"/>
      <c r="H15" s="1714">
        <f t="shared" ref="H15:M15" si="0">SUM(H9:H14)</f>
        <v>0</v>
      </c>
      <c r="I15" s="1714">
        <f t="shared" si="0"/>
        <v>0</v>
      </c>
      <c r="J15" s="1717">
        <f t="shared" si="0"/>
        <v>0</v>
      </c>
      <c r="K15" s="1717">
        <f t="shared" si="0"/>
        <v>150000</v>
      </c>
      <c r="L15" s="1717">
        <f t="shared" si="0"/>
        <v>150000</v>
      </c>
      <c r="M15" s="1717">
        <f t="shared" si="0"/>
        <v>150000</v>
      </c>
      <c r="N15" s="1703" t="s">
        <v>201</v>
      </c>
    </row>
    <row r="16" spans="1:15" s="1644" customFormat="1" x14ac:dyDescent="0.2">
      <c r="A16" s="1286"/>
      <c r="B16" s="1718"/>
      <c r="C16" s="1719"/>
      <c r="D16" s="1720"/>
      <c r="H16" s="1721"/>
      <c r="I16" s="1721"/>
    </row>
    <row r="17" spans="1:14" s="1644" customFormat="1" ht="15" x14ac:dyDescent="0.35">
      <c r="A17" s="1722"/>
      <c r="C17" s="1723"/>
      <c r="D17" s="1723"/>
      <c r="N17" s="1724"/>
    </row>
    <row r="18" spans="1:14" x14ac:dyDescent="0.2">
      <c r="H18" s="1644"/>
      <c r="I18" s="1644"/>
    </row>
    <row r="19" spans="1:14" x14ac:dyDescent="0.2">
      <c r="H19" s="1644"/>
      <c r="I19" s="1644"/>
    </row>
    <row r="20" spans="1:14" x14ac:dyDescent="0.2">
      <c r="H20" s="1644"/>
      <c r="I20" s="1644"/>
    </row>
    <row r="21" spans="1:14" x14ac:dyDescent="0.2">
      <c r="H21" s="1644"/>
      <c r="I21" s="1644"/>
    </row>
    <row r="22" spans="1:14" x14ac:dyDescent="0.2">
      <c r="H22" s="1644"/>
      <c r="I22" s="1644"/>
    </row>
    <row r="23" spans="1:14" x14ac:dyDescent="0.2">
      <c r="H23" s="1644"/>
      <c r="I23" s="1644"/>
    </row>
    <row r="24" spans="1:14" x14ac:dyDescent="0.2">
      <c r="H24" s="1644"/>
      <c r="I24" s="1644"/>
    </row>
    <row r="25" spans="1:14" x14ac:dyDescent="0.2">
      <c r="H25" s="1644"/>
      <c r="I25" s="1644"/>
    </row>
    <row r="26" spans="1:14" x14ac:dyDescent="0.2">
      <c r="H26" s="1644"/>
      <c r="I26" s="1644"/>
    </row>
    <row r="27" spans="1:14" x14ac:dyDescent="0.2">
      <c r="H27" s="1644"/>
      <c r="I27" s="1644"/>
    </row>
    <row r="28" spans="1:14" x14ac:dyDescent="0.2">
      <c r="H28" s="1644"/>
      <c r="I28" s="1644"/>
    </row>
    <row r="29" spans="1:14" x14ac:dyDescent="0.2">
      <c r="H29" s="1644"/>
      <c r="I29" s="1644"/>
    </row>
    <row r="30" spans="1:14" x14ac:dyDescent="0.2">
      <c r="H30" s="1644"/>
      <c r="I30" s="1644"/>
    </row>
    <row r="31" spans="1:14" x14ac:dyDescent="0.2">
      <c r="H31" s="1644"/>
      <c r="I31" s="1644"/>
    </row>
    <row r="32" spans="1:14" x14ac:dyDescent="0.2">
      <c r="H32" s="1644"/>
      <c r="I32" s="1644"/>
    </row>
    <row r="33" spans="8:9" x14ac:dyDescent="0.2">
      <c r="H33" s="1644"/>
      <c r="I33" s="1644"/>
    </row>
    <row r="34" spans="8:9" x14ac:dyDescent="0.2">
      <c r="H34" s="1644"/>
      <c r="I34" s="1644"/>
    </row>
    <row r="35" spans="8:9" x14ac:dyDescent="0.2">
      <c r="H35" s="1644"/>
      <c r="I35" s="1644"/>
    </row>
    <row r="36" spans="8:9" x14ac:dyDescent="0.2">
      <c r="H36" s="1644"/>
      <c r="I36" s="1644"/>
    </row>
    <row r="37" spans="8:9" x14ac:dyDescent="0.2">
      <c r="H37" s="1644"/>
      <c r="I37" s="1644"/>
    </row>
    <row r="38" spans="8:9" x14ac:dyDescent="0.2">
      <c r="H38" s="1644"/>
      <c r="I38" s="1644"/>
    </row>
    <row r="39" spans="8:9" x14ac:dyDescent="0.2">
      <c r="H39" s="1644"/>
      <c r="I39" s="1644"/>
    </row>
    <row r="40" spans="8:9" x14ac:dyDescent="0.2">
      <c r="H40" s="1644"/>
      <c r="I40" s="1644"/>
    </row>
    <row r="41" spans="8:9" x14ac:dyDescent="0.2">
      <c r="H41" s="1644"/>
      <c r="I41" s="1644"/>
    </row>
    <row r="42" spans="8:9" x14ac:dyDescent="0.2">
      <c r="H42" s="1644"/>
      <c r="I42" s="1644"/>
    </row>
    <row r="43" spans="8:9" x14ac:dyDescent="0.2">
      <c r="H43" s="1644"/>
      <c r="I43" s="1644"/>
    </row>
    <row r="44" spans="8:9" x14ac:dyDescent="0.2">
      <c r="H44" s="1644"/>
      <c r="I44" s="1644"/>
    </row>
    <row r="45" spans="8:9" x14ac:dyDescent="0.2">
      <c r="H45" s="1644"/>
      <c r="I45" s="1644"/>
    </row>
    <row r="46" spans="8:9" x14ac:dyDescent="0.2">
      <c r="H46" s="1644"/>
      <c r="I46" s="1644"/>
    </row>
    <row r="47" spans="8:9" x14ac:dyDescent="0.2">
      <c r="H47" s="1644"/>
      <c r="I47" s="1644"/>
    </row>
    <row r="48" spans="8:9" x14ac:dyDescent="0.2">
      <c r="H48" s="1644"/>
      <c r="I48" s="1644"/>
    </row>
    <row r="49" spans="8:9" x14ac:dyDescent="0.2">
      <c r="H49" s="1644"/>
      <c r="I49" s="1644"/>
    </row>
    <row r="50" spans="8:9" x14ac:dyDescent="0.2">
      <c r="H50" s="1644"/>
      <c r="I50" s="1644"/>
    </row>
    <row r="51" spans="8:9" ht="11.25" x14ac:dyDescent="0.2">
      <c r="H51" s="1635"/>
      <c r="I51" s="1635"/>
    </row>
    <row r="52" spans="8:9" ht="11.25" x14ac:dyDescent="0.2">
      <c r="H52" s="1635"/>
      <c r="I52" s="1635"/>
    </row>
  </sheetData>
  <mergeCells count="1">
    <mergeCell ref="A1:O1"/>
  </mergeCells>
  <pageMargins left="0.7" right="0.7" top="0.75" bottom="0.75" header="0.3" footer="0.3"/>
  <pageSetup orientation="portrait" r:id="rId1"/>
  <headerFooter>
    <oddFooter>&amp;C&amp;1#&amp;"Calibri"&amp;12&amp;K008000Internal Use</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2">
    <tabColor indexed="11"/>
  </sheetPr>
  <dimension ref="A1:W127"/>
  <sheetViews>
    <sheetView workbookViewId="0">
      <selection activeCell="J57" sqref="J57"/>
    </sheetView>
  </sheetViews>
  <sheetFormatPr defaultRowHeight="12.75" x14ac:dyDescent="0.2"/>
  <cols>
    <col min="1" max="1" width="51" style="1635" customWidth="1"/>
    <col min="2" max="2" width="10.7109375" style="1635" customWidth="1"/>
    <col min="3" max="3" width="10.5703125" style="1635" customWidth="1"/>
    <col min="4" max="4" width="11.7109375" style="1635" bestFit="1" customWidth="1"/>
    <col min="5" max="5" width="10.7109375" style="1635" customWidth="1"/>
    <col min="6" max="6" width="10.85546875" style="1635" customWidth="1"/>
    <col min="7" max="7" width="10.7109375" style="1635" customWidth="1"/>
    <col min="8" max="8" width="12" style="1188" customWidth="1"/>
    <col min="9" max="9" width="13.28515625" style="1188" customWidth="1"/>
    <col min="10" max="13" width="11.42578125" style="1635" customWidth="1"/>
    <col min="14" max="14" width="5.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x14ac:dyDescent="0.2">
      <c r="A3" s="1885" t="s">
        <v>411</v>
      </c>
    </row>
    <row r="4" spans="1:15" x14ac:dyDescent="0.2">
      <c r="A4" s="1699"/>
    </row>
    <row r="5" spans="1:15" x14ac:dyDescent="0.2">
      <c r="A5" s="1749"/>
      <c r="H5" s="1702"/>
      <c r="I5" s="1702"/>
      <c r="J5" s="1644"/>
      <c r="K5" s="1644"/>
      <c r="L5" s="1644"/>
      <c r="M5" s="1644"/>
    </row>
    <row r="6" spans="1:15" s="1644" customFormat="1" x14ac:dyDescent="0.2">
      <c r="A6" s="1701"/>
      <c r="B6" s="1790">
        <v>2006</v>
      </c>
      <c r="C6" s="1790">
        <v>2007</v>
      </c>
      <c r="D6" s="1790">
        <v>2008</v>
      </c>
      <c r="E6" s="1790">
        <v>2009</v>
      </c>
      <c r="F6" s="1790">
        <v>2010</v>
      </c>
      <c r="G6" s="1790">
        <v>2011</v>
      </c>
      <c r="H6" s="1790">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738" t="s">
        <v>148</v>
      </c>
      <c r="H7" s="1738"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3" t="s">
        <v>195</v>
      </c>
      <c r="E9" s="1703" t="s">
        <v>195</v>
      </c>
      <c r="F9" s="1703" t="s">
        <v>195</v>
      </c>
      <c r="G9" s="1703" t="s">
        <v>195</v>
      </c>
      <c r="H9" s="1703" t="s">
        <v>195</v>
      </c>
      <c r="I9" s="1703" t="s">
        <v>195</v>
      </c>
      <c r="J9" s="1703" t="s">
        <v>195</v>
      </c>
      <c r="K9" s="1707">
        <v>3000</v>
      </c>
      <c r="L9" s="1707">
        <v>3000</v>
      </c>
      <c r="M9" s="1707">
        <v>3000</v>
      </c>
    </row>
    <row r="10" spans="1:15" s="1644" customFormat="1" x14ac:dyDescent="0.2">
      <c r="A10" s="1286" t="s">
        <v>45</v>
      </c>
      <c r="B10" s="1703" t="s">
        <v>195</v>
      </c>
      <c r="C10" s="1703" t="s">
        <v>195</v>
      </c>
      <c r="D10" s="1703" t="s">
        <v>195</v>
      </c>
      <c r="E10" s="1703" t="s">
        <v>195</v>
      </c>
      <c r="F10" s="1703" t="s">
        <v>195</v>
      </c>
      <c r="G10" s="1703" t="s">
        <v>195</v>
      </c>
      <c r="H10" s="1703" t="s">
        <v>195</v>
      </c>
      <c r="I10" s="1703" t="s">
        <v>195</v>
      </c>
      <c r="J10" s="1703" t="s">
        <v>195</v>
      </c>
      <c r="K10" s="1707">
        <v>47000</v>
      </c>
      <c r="L10" s="1707">
        <v>47000</v>
      </c>
      <c r="M10" s="1707">
        <v>47000</v>
      </c>
    </row>
    <row r="11" spans="1:15" s="1644" customFormat="1" x14ac:dyDescent="0.2">
      <c r="A11" s="1286" t="s">
        <v>202</v>
      </c>
      <c r="B11" s="1703" t="s">
        <v>195</v>
      </c>
      <c r="C11" s="1703" t="s">
        <v>195</v>
      </c>
      <c r="D11" s="1703" t="s">
        <v>195</v>
      </c>
      <c r="E11" s="1703" t="s">
        <v>195</v>
      </c>
      <c r="F11" s="1703" t="s">
        <v>195</v>
      </c>
      <c r="G11" s="1703" t="s">
        <v>195</v>
      </c>
      <c r="H11" s="1703" t="s">
        <v>195</v>
      </c>
      <c r="I11" s="1703" t="s">
        <v>195</v>
      </c>
      <c r="J11" s="1703" t="s">
        <v>195</v>
      </c>
      <c r="K11" s="1707">
        <v>0</v>
      </c>
      <c r="L11" s="1707">
        <v>0</v>
      </c>
      <c r="M11" s="1707">
        <v>0</v>
      </c>
    </row>
    <row r="12" spans="1:15" s="1644" customFormat="1" x14ac:dyDescent="0.2">
      <c r="A12" s="1286" t="s">
        <v>2</v>
      </c>
      <c r="B12" s="1703" t="s">
        <v>195</v>
      </c>
      <c r="C12" s="1703" t="s">
        <v>195</v>
      </c>
      <c r="D12" s="1703" t="s">
        <v>195</v>
      </c>
      <c r="E12" s="1703" t="s">
        <v>195</v>
      </c>
      <c r="F12" s="1703" t="s">
        <v>195</v>
      </c>
      <c r="G12" s="1703" t="s">
        <v>195</v>
      </c>
      <c r="H12" s="1703" t="s">
        <v>195</v>
      </c>
      <c r="I12" s="1703" t="s">
        <v>195</v>
      </c>
      <c r="J12" s="1703" t="s">
        <v>195</v>
      </c>
      <c r="K12" s="1707">
        <v>0</v>
      </c>
      <c r="L12" s="1707">
        <v>0</v>
      </c>
      <c r="M12" s="1707">
        <v>0</v>
      </c>
    </row>
    <row r="13" spans="1:15" s="1644" customFormat="1" x14ac:dyDescent="0.2">
      <c r="A13" s="1286" t="s">
        <v>14</v>
      </c>
      <c r="B13" s="1703" t="s">
        <v>195</v>
      </c>
      <c r="C13" s="1703" t="s">
        <v>195</v>
      </c>
      <c r="D13" s="1703" t="s">
        <v>195</v>
      </c>
      <c r="E13" s="1703" t="s">
        <v>195</v>
      </c>
      <c r="F13" s="1703" t="s">
        <v>195</v>
      </c>
      <c r="G13" s="1703" t="s">
        <v>195</v>
      </c>
      <c r="H13" s="1703" t="s">
        <v>195</v>
      </c>
      <c r="I13" s="1703" t="s">
        <v>195</v>
      </c>
      <c r="J13" s="1703" t="s">
        <v>195</v>
      </c>
      <c r="K13" s="1707">
        <v>0</v>
      </c>
      <c r="L13" s="1707">
        <v>0</v>
      </c>
      <c r="M13" s="1707">
        <v>0</v>
      </c>
    </row>
    <row r="14" spans="1:15" s="1644" customFormat="1" ht="15" x14ac:dyDescent="0.35">
      <c r="A14" s="1286" t="s">
        <v>46</v>
      </c>
      <c r="B14" s="1703" t="s">
        <v>195</v>
      </c>
      <c r="C14" s="1703" t="s">
        <v>195</v>
      </c>
      <c r="D14" s="1703" t="s">
        <v>195</v>
      </c>
      <c r="E14" s="1703" t="s">
        <v>195</v>
      </c>
      <c r="F14" s="1703" t="s">
        <v>195</v>
      </c>
      <c r="G14" s="1703" t="s">
        <v>195</v>
      </c>
      <c r="H14" s="1799" t="s">
        <v>195</v>
      </c>
      <c r="I14" s="1799" t="s">
        <v>195</v>
      </c>
      <c r="J14" s="1799" t="s">
        <v>195</v>
      </c>
      <c r="K14" s="1712">
        <v>0</v>
      </c>
      <c r="L14" s="1712">
        <v>0</v>
      </c>
      <c r="M14" s="1712">
        <v>0</v>
      </c>
    </row>
    <row r="15" spans="1:15" s="1644" customFormat="1" x14ac:dyDescent="0.2">
      <c r="A15" s="1286" t="s">
        <v>86</v>
      </c>
      <c r="C15" s="1714"/>
      <c r="D15" s="1714"/>
      <c r="E15" s="1714"/>
      <c r="F15" s="1714"/>
      <c r="G15" s="1714"/>
      <c r="H15" s="1714">
        <f t="shared" ref="H15:M15" si="0">SUM(H9:H14)</f>
        <v>0</v>
      </c>
      <c r="I15" s="1714">
        <f t="shared" si="0"/>
        <v>0</v>
      </c>
      <c r="J15" s="1717">
        <f t="shared" si="0"/>
        <v>0</v>
      </c>
      <c r="K15" s="1717">
        <f t="shared" si="0"/>
        <v>50000</v>
      </c>
      <c r="L15" s="1717">
        <f t="shared" si="0"/>
        <v>50000</v>
      </c>
      <c r="M15" s="1717">
        <f t="shared" si="0"/>
        <v>50000</v>
      </c>
      <c r="N15" s="1703" t="s">
        <v>201</v>
      </c>
    </row>
    <row r="16" spans="1:15" s="1644" customFormat="1" x14ac:dyDescent="0.2">
      <c r="A16" s="1286"/>
      <c r="B16" s="1718"/>
      <c r="C16" s="1719"/>
      <c r="D16" s="1720"/>
      <c r="H16" s="1721"/>
      <c r="I16" s="1721"/>
    </row>
    <row r="17" spans="1:23" s="1644" customFormat="1" ht="15" x14ac:dyDescent="0.35">
      <c r="A17" s="1722"/>
      <c r="C17" s="1723"/>
      <c r="D17" s="1723"/>
      <c r="N17" s="1724"/>
    </row>
    <row r="18" spans="1:23" s="1644" customFormat="1" ht="25.5" hidden="1"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447</v>
      </c>
      <c r="M18" s="1658" t="s">
        <v>447</v>
      </c>
      <c r="N18" s="1703"/>
      <c r="Q18" s="1286"/>
      <c r="R18" s="1286"/>
      <c r="S18" s="1286"/>
      <c r="T18" s="1286"/>
      <c r="U18" s="1286"/>
      <c r="V18" s="1286"/>
      <c r="W18" s="1286"/>
    </row>
    <row r="19" spans="1:23" s="1644" customFormat="1" hidden="1" x14ac:dyDescent="0.2">
      <c r="N19" s="1703"/>
      <c r="Q19" s="1725"/>
      <c r="R19" s="1725"/>
      <c r="S19" s="1229"/>
      <c r="T19" s="1229"/>
      <c r="U19" s="1229"/>
      <c r="V19" s="1286"/>
      <c r="W19" s="1286"/>
    </row>
    <row r="20" spans="1:23" s="1644" customFormat="1" hidden="1" x14ac:dyDescent="0.2">
      <c r="A20" s="1644" t="s">
        <v>49</v>
      </c>
      <c r="B20" s="1703" t="s">
        <v>195</v>
      </c>
      <c r="C20" s="1703" t="s">
        <v>195</v>
      </c>
      <c r="D20" s="1703" t="s">
        <v>195</v>
      </c>
      <c r="E20" s="1703" t="s">
        <v>195</v>
      </c>
      <c r="F20" s="1703" t="s">
        <v>195</v>
      </c>
      <c r="G20" s="1703" t="s">
        <v>195</v>
      </c>
      <c r="H20" s="1703" t="s">
        <v>195</v>
      </c>
      <c r="I20" s="1703" t="s">
        <v>195</v>
      </c>
      <c r="J20" s="1703" t="s">
        <v>195</v>
      </c>
      <c r="K20" s="1703" t="s">
        <v>195</v>
      </c>
      <c r="L20" s="1703" t="s">
        <v>195</v>
      </c>
      <c r="M20" s="1703" t="s">
        <v>195</v>
      </c>
      <c r="N20" s="1703" t="s">
        <v>64</v>
      </c>
      <c r="Q20" s="1725"/>
      <c r="R20" s="1725"/>
      <c r="S20" s="1728"/>
      <c r="T20" s="1728"/>
      <c r="U20" s="1728"/>
      <c r="V20" s="1286"/>
      <c r="W20" s="1286"/>
    </row>
    <row r="21" spans="1:23" s="1644" customFormat="1" hidden="1" x14ac:dyDescent="0.2">
      <c r="A21" s="1644" t="s">
        <v>50</v>
      </c>
      <c r="B21" s="1703" t="s">
        <v>195</v>
      </c>
      <c r="C21" s="1703" t="s">
        <v>195</v>
      </c>
      <c r="D21" s="1703" t="s">
        <v>195</v>
      </c>
      <c r="E21" s="1703" t="s">
        <v>195</v>
      </c>
      <c r="F21" s="1703" t="s">
        <v>195</v>
      </c>
      <c r="G21" s="1703" t="s">
        <v>195</v>
      </c>
      <c r="H21" s="1703" t="s">
        <v>195</v>
      </c>
      <c r="I21" s="1703" t="s">
        <v>195</v>
      </c>
      <c r="J21" s="1703" t="s">
        <v>195</v>
      </c>
      <c r="K21" s="1703" t="s">
        <v>195</v>
      </c>
      <c r="L21" s="1703" t="s">
        <v>195</v>
      </c>
      <c r="M21" s="1703" t="s">
        <v>195</v>
      </c>
      <c r="N21" s="1703" t="s">
        <v>10</v>
      </c>
      <c r="Q21" s="1229"/>
      <c r="R21" s="1674"/>
      <c r="S21" s="1675"/>
      <c r="T21" s="1675"/>
      <c r="U21" s="1675"/>
      <c r="V21" s="1286"/>
      <c r="W21" s="1286"/>
    </row>
    <row r="22" spans="1:23" s="1644" customFormat="1" hidden="1" x14ac:dyDescent="0.2">
      <c r="C22" s="1729" t="s">
        <v>3</v>
      </c>
      <c r="J22" s="1703" t="s">
        <v>195</v>
      </c>
      <c r="K22" s="1703" t="s">
        <v>195</v>
      </c>
      <c r="L22" s="1703" t="s">
        <v>195</v>
      </c>
      <c r="M22" s="1703" t="s">
        <v>195</v>
      </c>
      <c r="N22" s="1703"/>
      <c r="Q22" s="1229"/>
      <c r="R22" s="1674"/>
      <c r="S22" s="1678"/>
      <c r="T22" s="1678"/>
      <c r="U22" s="1678"/>
      <c r="V22" s="1286"/>
      <c r="W22" s="1286"/>
    </row>
    <row r="23" spans="1:23" s="1644" customFormat="1" hidden="1" x14ac:dyDescent="0.2">
      <c r="A23" s="1644" t="s">
        <v>51</v>
      </c>
      <c r="B23" s="1703" t="s">
        <v>195</v>
      </c>
      <c r="C23" s="1703" t="s">
        <v>195</v>
      </c>
      <c r="D23" s="1703" t="s">
        <v>195</v>
      </c>
      <c r="E23" s="1703" t="s">
        <v>195</v>
      </c>
      <c r="F23" s="1703" t="s">
        <v>195</v>
      </c>
      <c r="G23" s="1703" t="s">
        <v>195</v>
      </c>
      <c r="H23" s="1703" t="s">
        <v>195</v>
      </c>
      <c r="I23" s="1703" t="s">
        <v>195</v>
      </c>
      <c r="J23" s="1703" t="s">
        <v>195</v>
      </c>
      <c r="K23" s="1703" t="s">
        <v>195</v>
      </c>
      <c r="L23" s="1703" t="s">
        <v>195</v>
      </c>
      <c r="M23" s="1703" t="s">
        <v>195</v>
      </c>
      <c r="N23" s="1703" t="s">
        <v>65</v>
      </c>
      <c r="Q23" s="1229"/>
      <c r="R23" s="1674"/>
      <c r="S23" s="1678"/>
      <c r="T23" s="1678"/>
      <c r="U23" s="1678"/>
      <c r="V23" s="1286"/>
      <c r="W23" s="1286"/>
    </row>
    <row r="24" spans="1:23" s="1644" customFormat="1" hidden="1" x14ac:dyDescent="0.2">
      <c r="A24" s="1644" t="s">
        <v>52</v>
      </c>
      <c r="B24" s="1703" t="s">
        <v>195</v>
      </c>
      <c r="C24" s="1703" t="s">
        <v>195</v>
      </c>
      <c r="D24" s="1703" t="s">
        <v>195</v>
      </c>
      <c r="E24" s="1703" t="s">
        <v>195</v>
      </c>
      <c r="F24" s="1703" t="s">
        <v>195</v>
      </c>
      <c r="G24" s="1703" t="s">
        <v>195</v>
      </c>
      <c r="H24" s="1703" t="s">
        <v>195</v>
      </c>
      <c r="I24" s="1703" t="s">
        <v>195</v>
      </c>
      <c r="J24" s="1703" t="s">
        <v>195</v>
      </c>
      <c r="K24" s="1703" t="s">
        <v>195</v>
      </c>
      <c r="L24" s="1703" t="s">
        <v>195</v>
      </c>
      <c r="M24" s="1703" t="s">
        <v>195</v>
      </c>
      <c r="N24" s="1703" t="s">
        <v>66</v>
      </c>
      <c r="Q24" s="1229"/>
      <c r="R24" s="1674"/>
      <c r="S24" s="1682"/>
      <c r="T24" s="1682"/>
      <c r="U24" s="1682"/>
      <c r="V24" s="1286"/>
      <c r="W24" s="1286"/>
    </row>
    <row r="25" spans="1:23" s="1644" customFormat="1" hidden="1" x14ac:dyDescent="0.2">
      <c r="C25" s="1729"/>
      <c r="J25" s="1703" t="s">
        <v>195</v>
      </c>
      <c r="K25" s="1703" t="s">
        <v>195</v>
      </c>
      <c r="L25" s="1703" t="s">
        <v>195</v>
      </c>
      <c r="M25" s="1703" t="s">
        <v>195</v>
      </c>
      <c r="N25" s="1703"/>
      <c r="Q25" s="1229"/>
      <c r="R25" s="1674"/>
      <c r="S25" s="1675"/>
      <c r="T25" s="1675"/>
      <c r="U25" s="1675"/>
      <c r="V25" s="1286"/>
      <c r="W25" s="1286"/>
    </row>
    <row r="26" spans="1:23" s="1644" customFormat="1" hidden="1" x14ac:dyDescent="0.2">
      <c r="A26" s="1644" t="s">
        <v>84</v>
      </c>
      <c r="B26" s="1703" t="s">
        <v>195</v>
      </c>
      <c r="C26" s="1703" t="s">
        <v>195</v>
      </c>
      <c r="D26" s="1703" t="s">
        <v>195</v>
      </c>
      <c r="E26" s="1703" t="s">
        <v>195</v>
      </c>
      <c r="F26" s="1703" t="s">
        <v>195</v>
      </c>
      <c r="G26" s="1703" t="s">
        <v>195</v>
      </c>
      <c r="H26" s="1703" t="s">
        <v>195</v>
      </c>
      <c r="I26" s="1703" t="s">
        <v>195</v>
      </c>
      <c r="J26" s="1703" t="s">
        <v>195</v>
      </c>
      <c r="K26" s="1703" t="s">
        <v>195</v>
      </c>
      <c r="L26" s="1703" t="s">
        <v>195</v>
      </c>
      <c r="M26" s="1703" t="s">
        <v>195</v>
      </c>
      <c r="N26" s="1703" t="s">
        <v>67</v>
      </c>
      <c r="Q26" s="1229"/>
      <c r="R26" s="1674"/>
      <c r="S26" s="1674"/>
      <c r="T26" s="1674"/>
      <c r="U26" s="1674"/>
      <c r="V26" s="1286"/>
      <c r="W26" s="1286"/>
    </row>
    <row r="27" spans="1:23" s="1644" customFormat="1" hidden="1" x14ac:dyDescent="0.2">
      <c r="A27" s="1644" t="s">
        <v>85</v>
      </c>
      <c r="B27" s="1703" t="s">
        <v>195</v>
      </c>
      <c r="C27" s="1703" t="s">
        <v>195</v>
      </c>
      <c r="D27" s="1703" t="s">
        <v>195</v>
      </c>
      <c r="E27" s="1703" t="s">
        <v>195</v>
      </c>
      <c r="F27" s="1703" t="s">
        <v>195</v>
      </c>
      <c r="G27" s="1703" t="s">
        <v>195</v>
      </c>
      <c r="H27" s="1703" t="s">
        <v>195</v>
      </c>
      <c r="I27" s="1703" t="s">
        <v>195</v>
      </c>
      <c r="J27" s="1703" t="s">
        <v>195</v>
      </c>
      <c r="K27" s="1703" t="s">
        <v>195</v>
      </c>
      <c r="L27" s="1703" t="s">
        <v>195</v>
      </c>
      <c r="M27" s="1703" t="s">
        <v>195</v>
      </c>
      <c r="N27" s="1703" t="s">
        <v>68</v>
      </c>
      <c r="O27" s="1792"/>
      <c r="Q27" s="1229"/>
      <c r="R27" s="1674"/>
      <c r="S27" s="1678"/>
      <c r="T27" s="1674"/>
      <c r="U27" s="1678"/>
      <c r="V27" s="1286"/>
      <c r="W27" s="1286"/>
    </row>
    <row r="28" spans="1:23" s="1644" customFormat="1" hidden="1" x14ac:dyDescent="0.2">
      <c r="A28" s="1644" t="s">
        <v>214</v>
      </c>
      <c r="B28" s="1703" t="s">
        <v>195</v>
      </c>
      <c r="C28" s="1703" t="s">
        <v>195</v>
      </c>
      <c r="D28" s="1703" t="s">
        <v>195</v>
      </c>
      <c r="E28" s="1703" t="s">
        <v>195</v>
      </c>
      <c r="F28" s="1703" t="s">
        <v>195</v>
      </c>
      <c r="G28" s="1703" t="s">
        <v>195</v>
      </c>
      <c r="H28" s="1703" t="s">
        <v>195</v>
      </c>
      <c r="I28" s="1703" t="s">
        <v>195</v>
      </c>
      <c r="J28" s="1703" t="s">
        <v>195</v>
      </c>
      <c r="K28" s="1703" t="s">
        <v>195</v>
      </c>
      <c r="L28" s="1703" t="s">
        <v>195</v>
      </c>
      <c r="M28" s="1703" t="s">
        <v>195</v>
      </c>
      <c r="N28" s="1703" t="s">
        <v>69</v>
      </c>
      <c r="Q28" s="1229"/>
      <c r="R28" s="1674"/>
      <c r="S28" s="1678"/>
      <c r="T28" s="1678"/>
      <c r="U28" s="1678"/>
      <c r="V28" s="1286"/>
      <c r="W28" s="1286"/>
    </row>
    <row r="29" spans="1:23" s="1644" customFormat="1" hidden="1" x14ac:dyDescent="0.2">
      <c r="A29" s="1644" t="s">
        <v>215</v>
      </c>
      <c r="B29" s="1703" t="s">
        <v>195</v>
      </c>
      <c r="C29" s="1703" t="s">
        <v>195</v>
      </c>
      <c r="D29" s="1703" t="s">
        <v>195</v>
      </c>
      <c r="E29" s="1703" t="s">
        <v>195</v>
      </c>
      <c r="F29" s="1703" t="s">
        <v>195</v>
      </c>
      <c r="G29" s="1703" t="s">
        <v>195</v>
      </c>
      <c r="H29" s="1703" t="s">
        <v>195</v>
      </c>
      <c r="I29" s="1703" t="s">
        <v>195</v>
      </c>
      <c r="J29" s="1703" t="s">
        <v>195</v>
      </c>
      <c r="K29" s="1703" t="s">
        <v>195</v>
      </c>
      <c r="L29" s="1703" t="s">
        <v>195</v>
      </c>
      <c r="M29" s="1703" t="s">
        <v>195</v>
      </c>
      <c r="N29" s="1703" t="s">
        <v>70</v>
      </c>
      <c r="Q29" s="1229"/>
      <c r="R29" s="1674"/>
      <c r="S29" s="1675"/>
      <c r="T29" s="1675"/>
      <c r="U29" s="1675"/>
      <c r="V29" s="1286"/>
      <c r="W29" s="1286"/>
    </row>
    <row r="30" spans="1:23" s="1644" customFormat="1" hidden="1" x14ac:dyDescent="0.2">
      <c r="A30" s="1644" t="s">
        <v>216</v>
      </c>
      <c r="B30" s="1703" t="s">
        <v>195</v>
      </c>
      <c r="C30" s="1703" t="s">
        <v>195</v>
      </c>
      <c r="D30" s="1703" t="s">
        <v>195</v>
      </c>
      <c r="E30" s="1703" t="s">
        <v>195</v>
      </c>
      <c r="F30" s="1703" t="s">
        <v>195</v>
      </c>
      <c r="G30" s="1703" t="s">
        <v>195</v>
      </c>
      <c r="H30" s="1703" t="s">
        <v>195</v>
      </c>
      <c r="I30" s="1703" t="s">
        <v>195</v>
      </c>
      <c r="J30" s="1703" t="s">
        <v>195</v>
      </c>
      <c r="K30" s="1703" t="s">
        <v>195</v>
      </c>
      <c r="L30" s="1703" t="s">
        <v>195</v>
      </c>
      <c r="M30" s="1703" t="s">
        <v>195</v>
      </c>
      <c r="N30" s="1703" t="s">
        <v>72</v>
      </c>
      <c r="Q30" s="1229"/>
      <c r="R30" s="1674"/>
      <c r="S30" s="1675"/>
      <c r="T30" s="1675"/>
      <c r="U30" s="1675"/>
      <c r="V30" s="1286"/>
      <c r="W30" s="1286"/>
    </row>
    <row r="31" spans="1:23" s="1644" customFormat="1" hidden="1" x14ac:dyDescent="0.2">
      <c r="A31" s="1644" t="s">
        <v>217</v>
      </c>
      <c r="B31" s="1703" t="s">
        <v>195</v>
      </c>
      <c r="C31" s="1703" t="s">
        <v>195</v>
      </c>
      <c r="D31" s="1703" t="s">
        <v>195</v>
      </c>
      <c r="E31" s="1703" t="s">
        <v>195</v>
      </c>
      <c r="F31" s="1703" t="s">
        <v>195</v>
      </c>
      <c r="G31" s="1703" t="s">
        <v>195</v>
      </c>
      <c r="H31" s="1703" t="s">
        <v>195</v>
      </c>
      <c r="I31" s="1703" t="s">
        <v>195</v>
      </c>
      <c r="J31" s="1703" t="s">
        <v>195</v>
      </c>
      <c r="K31" s="1703" t="s">
        <v>195</v>
      </c>
      <c r="L31" s="1703" t="s">
        <v>195</v>
      </c>
      <c r="M31" s="1703" t="s">
        <v>195</v>
      </c>
      <c r="N31" s="1703" t="s">
        <v>73</v>
      </c>
      <c r="Q31" s="1286"/>
      <c r="R31" s="1286"/>
      <c r="S31" s="1286"/>
      <c r="T31" s="1286"/>
      <c r="U31" s="1286"/>
      <c r="V31" s="1286"/>
      <c r="W31" s="1286"/>
    </row>
    <row r="32" spans="1:23" s="1644" customFormat="1" hidden="1" x14ac:dyDescent="0.2">
      <c r="B32" s="1726"/>
      <c r="H32" s="1769"/>
      <c r="I32" s="1769"/>
      <c r="J32" s="1769"/>
      <c r="K32" s="1769"/>
      <c r="L32" s="1769"/>
      <c r="M32" s="1769"/>
      <c r="Q32" s="1286"/>
      <c r="R32" s="1286"/>
      <c r="S32" s="1286"/>
      <c r="T32" s="1286"/>
      <c r="U32" s="1286"/>
      <c r="V32" s="1286"/>
      <c r="W32" s="1286"/>
    </row>
    <row r="33" spans="1:23" s="1644" customFormat="1" hidden="1" x14ac:dyDescent="0.2">
      <c r="B33" s="1726"/>
      <c r="H33" s="1727"/>
      <c r="Q33" s="1286"/>
      <c r="R33" s="1286"/>
      <c r="S33" s="1286"/>
      <c r="T33" s="1286"/>
      <c r="U33" s="1286"/>
      <c r="V33" s="1286"/>
      <c r="W33" s="1286"/>
    </row>
    <row r="34" spans="1:23" s="1644" customFormat="1" hidden="1" x14ac:dyDescent="0.2">
      <c r="A34" s="1704"/>
      <c r="B34" s="1735"/>
      <c r="C34" s="1736"/>
      <c r="D34" s="1736"/>
      <c r="H34" s="1727"/>
      <c r="I34" s="1737"/>
      <c r="J34" s="1703"/>
      <c r="K34" s="1703"/>
      <c r="L34" s="1703"/>
      <c r="M34" s="1703"/>
      <c r="O34" s="1703"/>
      <c r="P34" s="1229"/>
      <c r="Q34" s="1674"/>
      <c r="R34" s="1675"/>
      <c r="S34" s="1675"/>
      <c r="T34" s="1675"/>
      <c r="U34" s="1286"/>
    </row>
    <row r="35" spans="1:23" s="1644" customFormat="1" hidden="1" x14ac:dyDescent="0.2">
      <c r="A35" s="1738" t="s">
        <v>194</v>
      </c>
      <c r="B35" s="1739"/>
      <c r="C35" s="1286"/>
      <c r="H35" s="1714"/>
      <c r="J35" s="1703"/>
      <c r="K35" s="1703"/>
      <c r="L35" s="1703"/>
      <c r="M35" s="1703"/>
      <c r="O35" s="1703"/>
      <c r="P35" s="1229"/>
      <c r="Q35" s="1674"/>
      <c r="R35" s="1675"/>
      <c r="S35" s="1675"/>
      <c r="T35" s="1675"/>
      <c r="U35" s="1286"/>
    </row>
    <row r="36" spans="1:23" s="1644" customFormat="1" hidden="1" x14ac:dyDescent="0.2">
      <c r="A36" s="1738"/>
      <c r="J36" s="1703"/>
      <c r="K36" s="1703"/>
      <c r="L36" s="1703"/>
      <c r="M36" s="1703"/>
      <c r="O36" s="1703"/>
    </row>
    <row r="37" spans="1:23" s="1644" customFormat="1" hidden="1" x14ac:dyDescent="0.2">
      <c r="A37" s="1742" t="s">
        <v>185</v>
      </c>
      <c r="B37" s="1736" t="s">
        <v>1</v>
      </c>
      <c r="C37" s="1736" t="s">
        <v>186</v>
      </c>
      <c r="D37" s="1736" t="s">
        <v>18</v>
      </c>
      <c r="J37" s="1703"/>
      <c r="K37" s="1703"/>
      <c r="L37" s="1703"/>
      <c r="M37" s="1703"/>
      <c r="O37" s="1703"/>
    </row>
    <row r="38" spans="1:23" s="1644" customFormat="1" hidden="1" x14ac:dyDescent="0.2">
      <c r="A38" s="1742">
        <v>2006</v>
      </c>
      <c r="B38" s="1703" t="s">
        <v>195</v>
      </c>
      <c r="C38" s="1706" t="s">
        <v>195</v>
      </c>
      <c r="D38" s="1745" t="str">
        <f t="shared" ref="D38:D48" si="1">IF(ISERROR(C38/B38),"-",(C38/B38))</f>
        <v>-</v>
      </c>
      <c r="J38" s="1703"/>
      <c r="K38" s="1703"/>
      <c r="L38" s="1703"/>
      <c r="M38" s="1703"/>
      <c r="O38" s="1703"/>
    </row>
    <row r="39" spans="1:23" s="1644" customFormat="1" hidden="1" x14ac:dyDescent="0.2">
      <c r="A39" s="1742">
        <v>2007</v>
      </c>
      <c r="B39" s="1703" t="s">
        <v>195</v>
      </c>
      <c r="C39" s="1706" t="s">
        <v>195</v>
      </c>
      <c r="D39" s="1745" t="str">
        <f t="shared" si="1"/>
        <v>-</v>
      </c>
      <c r="J39" s="1703"/>
      <c r="K39" s="1703"/>
      <c r="L39" s="1703"/>
      <c r="M39" s="1703"/>
      <c r="O39" s="1703"/>
    </row>
    <row r="40" spans="1:23" s="1644" customFormat="1" hidden="1" x14ac:dyDescent="0.2">
      <c r="A40" s="1742">
        <v>2008</v>
      </c>
      <c r="B40" s="1703" t="s">
        <v>195</v>
      </c>
      <c r="C40" s="1706" t="s">
        <v>195</v>
      </c>
      <c r="D40" s="1745" t="str">
        <f t="shared" si="1"/>
        <v>-</v>
      </c>
      <c r="J40" s="1703"/>
      <c r="K40" s="1703"/>
      <c r="L40" s="1703"/>
      <c r="M40" s="1703"/>
      <c r="O40" s="1703"/>
    </row>
    <row r="41" spans="1:23" s="1644" customFormat="1" hidden="1" x14ac:dyDescent="0.2">
      <c r="A41" s="1742">
        <v>2009</v>
      </c>
      <c r="B41" s="1703" t="s">
        <v>195</v>
      </c>
      <c r="C41" s="1706" t="s">
        <v>195</v>
      </c>
      <c r="D41" s="1745" t="str">
        <f t="shared" si="1"/>
        <v>-</v>
      </c>
      <c r="J41" s="1703"/>
      <c r="K41" s="1703"/>
      <c r="L41" s="1703"/>
      <c r="M41" s="1703"/>
      <c r="O41" s="1703"/>
    </row>
    <row r="42" spans="1:23" s="1644" customFormat="1" hidden="1" x14ac:dyDescent="0.2">
      <c r="A42" s="1742">
        <v>2010</v>
      </c>
      <c r="B42" s="1703" t="s">
        <v>195</v>
      </c>
      <c r="C42" s="1706" t="s">
        <v>195</v>
      </c>
      <c r="D42" s="1745" t="str">
        <f t="shared" si="1"/>
        <v>-</v>
      </c>
      <c r="J42" s="1703"/>
      <c r="K42" s="1703"/>
      <c r="L42" s="1703"/>
      <c r="M42" s="1703"/>
      <c r="O42" s="1703"/>
    </row>
    <row r="43" spans="1:23" s="1644" customFormat="1" hidden="1" x14ac:dyDescent="0.2">
      <c r="A43" s="1742" t="s">
        <v>455</v>
      </c>
      <c r="B43" s="1703" t="s">
        <v>195</v>
      </c>
      <c r="C43" s="1706" t="s">
        <v>195</v>
      </c>
      <c r="D43" s="1745" t="str">
        <f t="shared" si="1"/>
        <v>-</v>
      </c>
      <c r="J43" s="1703"/>
      <c r="K43" s="1703"/>
      <c r="L43" s="1703"/>
      <c r="M43" s="1703"/>
      <c r="O43" s="1703"/>
    </row>
    <row r="44" spans="1:23" s="1644" customFormat="1" hidden="1" x14ac:dyDescent="0.2">
      <c r="A44" s="1742" t="s">
        <v>456</v>
      </c>
      <c r="B44" s="1703" t="s">
        <v>195</v>
      </c>
      <c r="C44" s="1706" t="s">
        <v>195</v>
      </c>
      <c r="D44" s="1745" t="str">
        <f t="shared" si="1"/>
        <v>-</v>
      </c>
      <c r="J44" s="1703"/>
      <c r="K44" s="1703"/>
      <c r="L44" s="1703"/>
      <c r="M44" s="1703"/>
      <c r="O44" s="1703"/>
    </row>
    <row r="45" spans="1:23" s="1644" customFormat="1" hidden="1" x14ac:dyDescent="0.2">
      <c r="A45" s="1742">
        <v>2012</v>
      </c>
      <c r="B45" s="1703" t="s">
        <v>195</v>
      </c>
      <c r="C45" s="1706" t="s">
        <v>195</v>
      </c>
      <c r="D45" s="1741" t="str">
        <f t="shared" si="1"/>
        <v>-</v>
      </c>
      <c r="J45" s="1703"/>
      <c r="K45" s="1703"/>
      <c r="L45" s="1703"/>
      <c r="M45" s="1703"/>
      <c r="O45" s="1703"/>
    </row>
    <row r="46" spans="1:23" s="1644" customFormat="1" hidden="1" x14ac:dyDescent="0.2">
      <c r="A46" s="1742">
        <v>2013</v>
      </c>
      <c r="B46" s="1760">
        <f>K15</f>
        <v>50000</v>
      </c>
      <c r="C46" s="1706" t="s">
        <v>195</v>
      </c>
      <c r="D46" s="1741" t="str">
        <f t="shared" si="1"/>
        <v>-</v>
      </c>
      <c r="J46" s="1703"/>
      <c r="K46" s="1703"/>
      <c r="L46" s="1703"/>
      <c r="M46" s="1703"/>
      <c r="O46" s="1703"/>
    </row>
    <row r="47" spans="1:23" s="1644" customFormat="1" hidden="1" x14ac:dyDescent="0.2">
      <c r="A47" s="1742">
        <v>2014</v>
      </c>
      <c r="B47" s="1760">
        <f>L15</f>
        <v>50000</v>
      </c>
      <c r="C47" s="1706" t="s">
        <v>195</v>
      </c>
      <c r="D47" s="1741" t="str">
        <f t="shared" si="1"/>
        <v>-</v>
      </c>
      <c r="J47" s="1703"/>
      <c r="K47" s="1703"/>
      <c r="L47" s="1703"/>
      <c r="M47" s="1703"/>
      <c r="O47" s="1703"/>
    </row>
    <row r="48" spans="1:23" s="1644" customFormat="1" hidden="1" x14ac:dyDescent="0.2">
      <c r="A48" s="1742">
        <v>2015</v>
      </c>
      <c r="B48" s="1760">
        <f>M15</f>
        <v>50000</v>
      </c>
      <c r="C48" s="1706" t="s">
        <v>195</v>
      </c>
      <c r="D48" s="1741" t="str">
        <f t="shared" si="1"/>
        <v>-</v>
      </c>
      <c r="J48" s="1703"/>
      <c r="K48" s="1703"/>
      <c r="L48" s="1703"/>
      <c r="M48" s="1703"/>
      <c r="O48" s="1703"/>
    </row>
    <row r="49" spans="1:15" s="1644" customFormat="1" hidden="1" x14ac:dyDescent="0.2">
      <c r="A49" s="1742"/>
      <c r="C49" s="1761"/>
      <c r="J49" s="1703"/>
      <c r="K49" s="1703"/>
      <c r="L49" s="1703"/>
      <c r="M49" s="1703"/>
      <c r="O49" s="1703"/>
    </row>
    <row r="50" spans="1:15" s="1644" customFormat="1" hidden="1" x14ac:dyDescent="0.2">
      <c r="A50" s="1743" t="s">
        <v>193</v>
      </c>
      <c r="J50" s="1703"/>
      <c r="K50" s="1703"/>
      <c r="L50" s="1703"/>
      <c r="M50" s="1703"/>
      <c r="O50" s="1703"/>
    </row>
    <row r="51" spans="1:15" s="1644" customFormat="1" hidden="1" x14ac:dyDescent="0.2">
      <c r="A51" s="1742" t="s">
        <v>185</v>
      </c>
      <c r="B51" s="1736" t="s">
        <v>188</v>
      </c>
      <c r="C51" s="1736" t="s">
        <v>186</v>
      </c>
      <c r="D51" s="1736" t="s">
        <v>189</v>
      </c>
      <c r="J51" s="1703"/>
      <c r="K51" s="1703"/>
      <c r="L51" s="1703"/>
      <c r="M51" s="1703"/>
      <c r="O51" s="1703"/>
    </row>
    <row r="52" spans="1:15" s="1644" customFormat="1" hidden="1" x14ac:dyDescent="0.2">
      <c r="A52" s="1742">
        <v>2006</v>
      </c>
      <c r="B52" s="1703" t="s">
        <v>195</v>
      </c>
      <c r="C52" s="1703" t="s">
        <v>195</v>
      </c>
      <c r="D52" s="1745" t="str">
        <f t="shared" ref="D52:D62" si="2">IF(ISERROR(C52/B52),"-",(C52/B52))</f>
        <v>-</v>
      </c>
      <c r="J52" s="1703"/>
      <c r="K52" s="1703"/>
      <c r="L52" s="1703"/>
      <c r="M52" s="1703"/>
      <c r="O52" s="1703"/>
    </row>
    <row r="53" spans="1:15" s="1644" customFormat="1" hidden="1" x14ac:dyDescent="0.2">
      <c r="A53" s="1742">
        <v>2007</v>
      </c>
      <c r="B53" s="1703" t="s">
        <v>195</v>
      </c>
      <c r="C53" s="1703" t="s">
        <v>195</v>
      </c>
      <c r="D53" s="1745" t="str">
        <f t="shared" si="2"/>
        <v>-</v>
      </c>
      <c r="J53" s="1703"/>
      <c r="K53" s="1703"/>
      <c r="L53" s="1703"/>
      <c r="M53" s="1703"/>
      <c r="O53" s="1703"/>
    </row>
    <row r="54" spans="1:15" s="1644" customFormat="1" hidden="1" x14ac:dyDescent="0.2">
      <c r="A54" s="1742">
        <v>2008</v>
      </c>
      <c r="B54" s="1703" t="s">
        <v>195</v>
      </c>
      <c r="C54" s="1703" t="s">
        <v>195</v>
      </c>
      <c r="D54" s="1745" t="str">
        <f t="shared" si="2"/>
        <v>-</v>
      </c>
      <c r="J54" s="1703"/>
      <c r="K54" s="1703"/>
      <c r="L54" s="1703"/>
      <c r="M54" s="1703"/>
      <c r="O54" s="1703"/>
    </row>
    <row r="55" spans="1:15" s="1644" customFormat="1" hidden="1" x14ac:dyDescent="0.2">
      <c r="A55" s="1742">
        <v>2009</v>
      </c>
      <c r="B55" s="1703" t="s">
        <v>195</v>
      </c>
      <c r="C55" s="1703" t="s">
        <v>195</v>
      </c>
      <c r="D55" s="1745" t="str">
        <f t="shared" si="2"/>
        <v>-</v>
      </c>
      <c r="J55" s="1703"/>
      <c r="K55" s="1703"/>
      <c r="L55" s="1703"/>
      <c r="M55" s="1703"/>
      <c r="O55" s="1703"/>
    </row>
    <row r="56" spans="1:15" s="1644" customFormat="1" hidden="1" x14ac:dyDescent="0.2">
      <c r="A56" s="1742">
        <v>2010</v>
      </c>
      <c r="B56" s="1703" t="s">
        <v>195</v>
      </c>
      <c r="C56" s="1703" t="s">
        <v>195</v>
      </c>
      <c r="D56" s="1745" t="str">
        <f t="shared" si="2"/>
        <v>-</v>
      </c>
      <c r="J56" s="1703"/>
      <c r="K56" s="1703"/>
      <c r="L56" s="1703"/>
      <c r="M56" s="1703"/>
      <c r="O56" s="1703"/>
    </row>
    <row r="57" spans="1:15" s="1644" customFormat="1" hidden="1" x14ac:dyDescent="0.2">
      <c r="A57" s="1742" t="s">
        <v>455</v>
      </c>
      <c r="B57" s="1703" t="s">
        <v>195</v>
      </c>
      <c r="C57" s="1703" t="s">
        <v>195</v>
      </c>
      <c r="D57" s="1745" t="str">
        <f t="shared" si="2"/>
        <v>-</v>
      </c>
      <c r="J57" s="1703"/>
      <c r="K57" s="1703"/>
      <c r="L57" s="1703"/>
      <c r="M57" s="1703"/>
      <c r="O57" s="1703"/>
    </row>
    <row r="58" spans="1:15" s="1644" customFormat="1" hidden="1" x14ac:dyDescent="0.2">
      <c r="A58" s="1742" t="s">
        <v>456</v>
      </c>
      <c r="B58" s="1703" t="s">
        <v>195</v>
      </c>
      <c r="C58" s="1703" t="s">
        <v>195</v>
      </c>
      <c r="D58" s="1745" t="str">
        <f t="shared" si="2"/>
        <v>-</v>
      </c>
      <c r="J58" s="1703"/>
      <c r="K58" s="1703"/>
      <c r="L58" s="1703"/>
      <c r="M58" s="1703"/>
      <c r="O58" s="1703"/>
    </row>
    <row r="59" spans="1:15" s="1644" customFormat="1" hidden="1" x14ac:dyDescent="0.2">
      <c r="A59" s="1742">
        <v>2012</v>
      </c>
      <c r="B59" s="1761" t="str">
        <f>J28</f>
        <v xml:space="preserve">n/a </v>
      </c>
      <c r="C59" s="1703" t="s">
        <v>195</v>
      </c>
      <c r="D59" s="1741" t="str">
        <f t="shared" si="2"/>
        <v>-</v>
      </c>
      <c r="J59" s="1703"/>
      <c r="K59" s="1703"/>
      <c r="L59" s="1703"/>
      <c r="M59" s="1703"/>
      <c r="O59" s="1703"/>
    </row>
    <row r="60" spans="1:15" s="1644" customFormat="1" hidden="1" x14ac:dyDescent="0.2">
      <c r="A60" s="1742">
        <v>2013</v>
      </c>
      <c r="B60" s="1761" t="str">
        <f>J29</f>
        <v xml:space="preserve">n/a </v>
      </c>
      <c r="C60" s="1703" t="s">
        <v>195</v>
      </c>
      <c r="D60" s="1741" t="str">
        <f t="shared" si="2"/>
        <v>-</v>
      </c>
      <c r="J60" s="1703"/>
      <c r="K60" s="1703"/>
      <c r="L60" s="1703"/>
      <c r="M60" s="1703"/>
      <c r="O60" s="1703"/>
    </row>
    <row r="61" spans="1:15" s="1644" customFormat="1" hidden="1" x14ac:dyDescent="0.2">
      <c r="A61" s="1742">
        <v>2014</v>
      </c>
      <c r="B61" s="1761" t="str">
        <f>J30</f>
        <v xml:space="preserve">n/a </v>
      </c>
      <c r="C61" s="1703" t="s">
        <v>195</v>
      </c>
      <c r="D61" s="1741" t="str">
        <f t="shared" si="2"/>
        <v>-</v>
      </c>
      <c r="J61" s="1703"/>
      <c r="K61" s="1703"/>
      <c r="L61" s="1703"/>
      <c r="M61" s="1703"/>
      <c r="O61" s="1703"/>
    </row>
    <row r="62" spans="1:15" s="1644" customFormat="1" hidden="1" x14ac:dyDescent="0.2">
      <c r="A62" s="1742">
        <v>2015</v>
      </c>
      <c r="B62" s="1761" t="str">
        <f>J31</f>
        <v xml:space="preserve">n/a </v>
      </c>
      <c r="C62" s="1703" t="s">
        <v>195</v>
      </c>
      <c r="D62" s="1741" t="str">
        <f t="shared" si="2"/>
        <v>-</v>
      </c>
      <c r="J62" s="1703"/>
      <c r="K62" s="1703"/>
      <c r="L62" s="1703"/>
      <c r="M62" s="1703"/>
      <c r="O62" s="1703"/>
    </row>
    <row r="63" spans="1:15" s="1644" customFormat="1" hidden="1" x14ac:dyDescent="0.2">
      <c r="J63" s="1703"/>
      <c r="K63" s="1703"/>
      <c r="L63" s="1703"/>
      <c r="M63" s="1703"/>
      <c r="O63" s="1703"/>
    </row>
    <row r="64" spans="1:15" s="1644" customFormat="1" hidden="1" x14ac:dyDescent="0.2">
      <c r="A64" s="1743" t="s">
        <v>191</v>
      </c>
      <c r="J64" s="1703"/>
      <c r="K64" s="1703"/>
      <c r="L64" s="1703"/>
      <c r="M64" s="1703"/>
      <c r="O64" s="1703"/>
    </row>
    <row r="65" spans="1:15" s="1644" customFormat="1" hidden="1" x14ac:dyDescent="0.2">
      <c r="A65" s="1742" t="s">
        <v>185</v>
      </c>
      <c r="B65" s="1736" t="s">
        <v>188</v>
      </c>
      <c r="C65" s="1736" t="s">
        <v>186</v>
      </c>
      <c r="D65" s="1736" t="s">
        <v>189</v>
      </c>
      <c r="J65" s="1703"/>
      <c r="K65" s="1703"/>
      <c r="L65" s="1703"/>
      <c r="M65" s="1703"/>
      <c r="O65" s="1703"/>
    </row>
    <row r="66" spans="1:15" s="1644" customFormat="1" hidden="1" x14ac:dyDescent="0.2">
      <c r="A66" s="1742">
        <v>2006</v>
      </c>
      <c r="B66" s="1703" t="s">
        <v>195</v>
      </c>
      <c r="C66" s="1703" t="s">
        <v>195</v>
      </c>
      <c r="D66" s="1745" t="str">
        <f t="shared" ref="D66:D76" si="3">IF(ISERROR(C66/B66),"-",(C66/B66))</f>
        <v>-</v>
      </c>
      <c r="J66" s="1703"/>
      <c r="K66" s="1703"/>
      <c r="L66" s="1703"/>
      <c r="M66" s="1703"/>
      <c r="O66" s="1703"/>
    </row>
    <row r="67" spans="1:15" s="1644" customFormat="1" hidden="1" x14ac:dyDescent="0.2">
      <c r="A67" s="1742">
        <v>2007</v>
      </c>
      <c r="B67" s="1703" t="s">
        <v>195</v>
      </c>
      <c r="C67" s="1703" t="s">
        <v>195</v>
      </c>
      <c r="D67" s="1745" t="str">
        <f t="shared" si="3"/>
        <v>-</v>
      </c>
      <c r="J67" s="1703"/>
      <c r="K67" s="1703"/>
      <c r="L67" s="1703"/>
      <c r="M67" s="1703"/>
      <c r="O67" s="1703"/>
    </row>
    <row r="68" spans="1:15" s="1644" customFormat="1" hidden="1" x14ac:dyDescent="0.2">
      <c r="A68" s="1742">
        <v>2008</v>
      </c>
      <c r="B68" s="1703" t="s">
        <v>195</v>
      </c>
      <c r="C68" s="1703" t="s">
        <v>195</v>
      </c>
      <c r="D68" s="1745" t="str">
        <f t="shared" si="3"/>
        <v>-</v>
      </c>
      <c r="J68" s="1703"/>
      <c r="K68" s="1703"/>
      <c r="L68" s="1703"/>
      <c r="M68" s="1703"/>
      <c r="O68" s="1703"/>
    </row>
    <row r="69" spans="1:15" s="1644" customFormat="1" hidden="1" x14ac:dyDescent="0.2">
      <c r="A69" s="1742">
        <v>2009</v>
      </c>
      <c r="B69" s="1703" t="s">
        <v>195</v>
      </c>
      <c r="C69" s="1703" t="s">
        <v>195</v>
      </c>
      <c r="D69" s="1745" t="str">
        <f t="shared" si="3"/>
        <v>-</v>
      </c>
      <c r="J69" s="1703"/>
      <c r="K69" s="1703"/>
      <c r="L69" s="1703"/>
      <c r="M69" s="1703"/>
      <c r="O69" s="1703"/>
    </row>
    <row r="70" spans="1:15" s="1644" customFormat="1" hidden="1" x14ac:dyDescent="0.2">
      <c r="A70" s="1742">
        <v>2010</v>
      </c>
      <c r="B70" s="1703" t="s">
        <v>195</v>
      </c>
      <c r="C70" s="1703" t="s">
        <v>195</v>
      </c>
      <c r="D70" s="1745" t="str">
        <f t="shared" si="3"/>
        <v>-</v>
      </c>
      <c r="J70" s="1703"/>
      <c r="K70" s="1703"/>
      <c r="L70" s="1703"/>
      <c r="M70" s="1703"/>
      <c r="O70" s="1703"/>
    </row>
    <row r="71" spans="1:15" s="1644" customFormat="1" hidden="1" x14ac:dyDescent="0.2">
      <c r="A71" s="1742" t="s">
        <v>455</v>
      </c>
      <c r="B71" s="1703" t="s">
        <v>195</v>
      </c>
      <c r="C71" s="1703" t="s">
        <v>195</v>
      </c>
      <c r="D71" s="1745" t="str">
        <f t="shared" si="3"/>
        <v>-</v>
      </c>
      <c r="J71" s="1703"/>
      <c r="K71" s="1703"/>
      <c r="L71" s="1703"/>
      <c r="M71" s="1703"/>
      <c r="O71" s="1703"/>
    </row>
    <row r="72" spans="1:15" s="1644" customFormat="1" hidden="1" x14ac:dyDescent="0.2">
      <c r="A72" s="1742" t="s">
        <v>456</v>
      </c>
      <c r="B72" s="1703" t="s">
        <v>195</v>
      </c>
      <c r="C72" s="1703" t="s">
        <v>195</v>
      </c>
      <c r="D72" s="1745" t="str">
        <f t="shared" si="3"/>
        <v>-</v>
      </c>
      <c r="J72" s="1703"/>
      <c r="K72" s="1703"/>
      <c r="L72" s="1703"/>
      <c r="M72" s="1703"/>
      <c r="O72" s="1703"/>
    </row>
    <row r="73" spans="1:15" s="1644" customFormat="1" hidden="1" x14ac:dyDescent="0.2">
      <c r="A73" s="1742">
        <v>2012</v>
      </c>
      <c r="B73" s="1795" t="str">
        <f>J20</f>
        <v xml:space="preserve">n/a </v>
      </c>
      <c r="C73" s="1703" t="s">
        <v>195</v>
      </c>
      <c r="D73" s="1788" t="str">
        <f t="shared" si="3"/>
        <v>-</v>
      </c>
      <c r="J73" s="1703"/>
      <c r="K73" s="1703"/>
      <c r="L73" s="1703"/>
      <c r="M73" s="1703"/>
      <c r="O73" s="1703"/>
    </row>
    <row r="74" spans="1:15" s="1644" customFormat="1" hidden="1" x14ac:dyDescent="0.2">
      <c r="A74" s="1742">
        <v>2013</v>
      </c>
      <c r="B74" s="1795" t="str">
        <f>J21</f>
        <v xml:space="preserve">n/a </v>
      </c>
      <c r="C74" s="1703" t="s">
        <v>195</v>
      </c>
      <c r="D74" s="1788" t="str">
        <f t="shared" si="3"/>
        <v>-</v>
      </c>
      <c r="J74" s="1703"/>
      <c r="K74" s="1703"/>
      <c r="L74" s="1703"/>
      <c r="M74" s="1703"/>
      <c r="O74" s="1703"/>
    </row>
    <row r="75" spans="1:15" s="1644" customFormat="1" hidden="1" x14ac:dyDescent="0.2">
      <c r="A75" s="1742">
        <v>2014</v>
      </c>
      <c r="B75" s="1795" t="str">
        <f>J22</f>
        <v xml:space="preserve">n/a </v>
      </c>
      <c r="C75" s="1703" t="s">
        <v>195</v>
      </c>
      <c r="D75" s="1788" t="str">
        <f t="shared" si="3"/>
        <v>-</v>
      </c>
      <c r="J75" s="1703"/>
      <c r="K75" s="1703"/>
      <c r="L75" s="1703"/>
      <c r="M75" s="1703"/>
      <c r="O75" s="1703"/>
    </row>
    <row r="76" spans="1:15" s="1644" customFormat="1" hidden="1" x14ac:dyDescent="0.2">
      <c r="A76" s="1742">
        <v>2015</v>
      </c>
      <c r="B76" s="1795" t="str">
        <f>J23</f>
        <v xml:space="preserve">n/a </v>
      </c>
      <c r="C76" s="1703" t="s">
        <v>195</v>
      </c>
      <c r="D76" s="1788" t="str">
        <f t="shared" si="3"/>
        <v>-</v>
      </c>
      <c r="J76" s="1703"/>
      <c r="K76" s="1703"/>
      <c r="L76" s="1703"/>
      <c r="M76" s="1703"/>
      <c r="O76" s="1703"/>
    </row>
    <row r="77" spans="1:15" hidden="1" x14ac:dyDescent="0.2">
      <c r="A77" s="1742"/>
      <c r="H77" s="1644"/>
      <c r="I77" s="1644"/>
      <c r="J77" s="1703"/>
      <c r="K77" s="1703"/>
      <c r="L77" s="1703"/>
      <c r="M77" s="1703"/>
    </row>
    <row r="78" spans="1:15" hidden="1" x14ac:dyDescent="0.2">
      <c r="A78" s="1743" t="s">
        <v>190</v>
      </c>
      <c r="H78" s="1644"/>
      <c r="I78" s="1644"/>
      <c r="J78" s="1703"/>
      <c r="K78" s="1703"/>
      <c r="L78" s="1703"/>
      <c r="M78" s="1703"/>
    </row>
    <row r="79" spans="1:15" hidden="1" x14ac:dyDescent="0.2">
      <c r="A79" s="1742" t="s">
        <v>185</v>
      </c>
      <c r="B79" s="1736" t="s">
        <v>188</v>
      </c>
      <c r="C79" s="1736" t="s">
        <v>186</v>
      </c>
      <c r="D79" s="1736" t="s">
        <v>189</v>
      </c>
      <c r="H79" s="1644"/>
      <c r="I79" s="1644"/>
      <c r="J79" s="1703"/>
      <c r="K79" s="1703"/>
      <c r="L79" s="1703"/>
      <c r="M79" s="1703"/>
    </row>
    <row r="80" spans="1:15" hidden="1" x14ac:dyDescent="0.2">
      <c r="A80" s="1742">
        <v>2006</v>
      </c>
      <c r="B80" s="1703" t="s">
        <v>195</v>
      </c>
      <c r="C80" s="1703" t="s">
        <v>195</v>
      </c>
      <c r="D80" s="1745" t="str">
        <f t="shared" ref="D80:D90" si="4">IF(ISERROR(C80/B80),"-",(C80/B80))</f>
        <v>-</v>
      </c>
      <c r="H80" s="1644"/>
      <c r="I80" s="1644"/>
      <c r="J80" s="1703"/>
      <c r="K80" s="1703"/>
      <c r="L80" s="1703"/>
      <c r="M80" s="1703"/>
    </row>
    <row r="81" spans="1:13" hidden="1" x14ac:dyDescent="0.2">
      <c r="A81" s="1742">
        <v>2007</v>
      </c>
      <c r="B81" s="1703" t="s">
        <v>195</v>
      </c>
      <c r="C81" s="1703" t="s">
        <v>195</v>
      </c>
      <c r="D81" s="1745" t="str">
        <f t="shared" si="4"/>
        <v>-</v>
      </c>
      <c r="H81" s="1644"/>
      <c r="I81" s="1644"/>
      <c r="J81" s="1703"/>
      <c r="K81" s="1703"/>
      <c r="L81" s="1703"/>
      <c r="M81" s="1703"/>
    </row>
    <row r="82" spans="1:13" hidden="1" x14ac:dyDescent="0.2">
      <c r="A82" s="1742">
        <v>2008</v>
      </c>
      <c r="B82" s="1703" t="s">
        <v>195</v>
      </c>
      <c r="C82" s="1703" t="s">
        <v>195</v>
      </c>
      <c r="D82" s="1745" t="str">
        <f t="shared" si="4"/>
        <v>-</v>
      </c>
      <c r="H82" s="1644"/>
      <c r="I82" s="1644"/>
      <c r="J82" s="1703"/>
      <c r="K82" s="1703"/>
      <c r="L82" s="1703"/>
      <c r="M82" s="1703"/>
    </row>
    <row r="83" spans="1:13" hidden="1" x14ac:dyDescent="0.2">
      <c r="A83" s="1742">
        <v>2009</v>
      </c>
      <c r="B83" s="1703" t="s">
        <v>195</v>
      </c>
      <c r="C83" s="1703" t="s">
        <v>195</v>
      </c>
      <c r="D83" s="1745" t="str">
        <f t="shared" si="4"/>
        <v>-</v>
      </c>
      <c r="H83" s="1644"/>
      <c r="I83" s="1644"/>
      <c r="J83" s="1703"/>
      <c r="K83" s="1703"/>
      <c r="L83" s="1703"/>
      <c r="M83" s="1703"/>
    </row>
    <row r="84" spans="1:13" hidden="1" x14ac:dyDescent="0.2">
      <c r="A84" s="1742">
        <v>2010</v>
      </c>
      <c r="B84" s="1703" t="s">
        <v>195</v>
      </c>
      <c r="C84" s="1703" t="s">
        <v>195</v>
      </c>
      <c r="D84" s="1745" t="str">
        <f t="shared" si="4"/>
        <v>-</v>
      </c>
      <c r="H84" s="1644"/>
      <c r="I84" s="1644"/>
      <c r="J84" s="1703"/>
      <c r="K84" s="1703"/>
      <c r="L84" s="1703"/>
      <c r="M84" s="1703"/>
    </row>
    <row r="85" spans="1:13" hidden="1" x14ac:dyDescent="0.2">
      <c r="A85" s="1742" t="s">
        <v>455</v>
      </c>
      <c r="B85" s="1703" t="s">
        <v>195</v>
      </c>
      <c r="C85" s="1703" t="s">
        <v>195</v>
      </c>
      <c r="D85" s="1745" t="str">
        <f t="shared" si="4"/>
        <v>-</v>
      </c>
      <c r="H85" s="1644"/>
      <c r="I85" s="1644"/>
      <c r="J85" s="1703"/>
      <c r="K85" s="1703"/>
      <c r="L85" s="1703"/>
      <c r="M85" s="1703"/>
    </row>
    <row r="86" spans="1:13" hidden="1" x14ac:dyDescent="0.2">
      <c r="A86" s="1742" t="s">
        <v>456</v>
      </c>
      <c r="B86" s="1703" t="s">
        <v>195</v>
      </c>
      <c r="C86" s="1703" t="s">
        <v>195</v>
      </c>
      <c r="D86" s="1745" t="str">
        <f t="shared" si="4"/>
        <v>-</v>
      </c>
      <c r="H86" s="1644"/>
      <c r="I86" s="1644"/>
      <c r="J86" s="1703"/>
      <c r="K86" s="1703"/>
      <c r="L86" s="1703"/>
      <c r="M86" s="1703"/>
    </row>
    <row r="87" spans="1:13" hidden="1" x14ac:dyDescent="0.2">
      <c r="A87" s="1742">
        <v>2012</v>
      </c>
      <c r="B87" s="1777" t="str">
        <f>J21</f>
        <v xml:space="preserve">n/a </v>
      </c>
      <c r="C87" s="1703" t="s">
        <v>195</v>
      </c>
      <c r="D87" s="1793" t="str">
        <f t="shared" si="4"/>
        <v>-</v>
      </c>
      <c r="H87" s="1644"/>
      <c r="I87" s="1644"/>
      <c r="J87" s="1698"/>
      <c r="K87" s="1698"/>
      <c r="L87" s="1698"/>
      <c r="M87" s="1698"/>
    </row>
    <row r="88" spans="1:13" hidden="1" x14ac:dyDescent="0.2">
      <c r="A88" s="1742">
        <v>2013</v>
      </c>
      <c r="B88" s="1777" t="str">
        <f>J22</f>
        <v xml:space="preserve">n/a </v>
      </c>
      <c r="C88" s="1703" t="s">
        <v>195</v>
      </c>
      <c r="D88" s="1793" t="str">
        <f t="shared" si="4"/>
        <v>-</v>
      </c>
      <c r="H88" s="1644"/>
      <c r="I88" s="1644"/>
    </row>
    <row r="89" spans="1:13" hidden="1" x14ac:dyDescent="0.2">
      <c r="A89" s="1742">
        <v>2014</v>
      </c>
      <c r="B89" s="1777" t="str">
        <f>J23</f>
        <v xml:space="preserve">n/a </v>
      </c>
      <c r="C89" s="1703" t="s">
        <v>195</v>
      </c>
      <c r="D89" s="1793" t="str">
        <f t="shared" si="4"/>
        <v>-</v>
      </c>
      <c r="H89" s="1644"/>
      <c r="I89" s="1644"/>
    </row>
    <row r="90" spans="1:13" hidden="1" x14ac:dyDescent="0.2">
      <c r="A90" s="1742">
        <v>2015</v>
      </c>
      <c r="B90" s="1777" t="str">
        <f>J24</f>
        <v xml:space="preserve">n/a </v>
      </c>
      <c r="C90" s="1703" t="s">
        <v>195</v>
      </c>
      <c r="D90" s="1793" t="str">
        <f t="shared" si="4"/>
        <v>-</v>
      </c>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O1"/>
  </mergeCells>
  <pageMargins left="0.7" right="0.7" top="0.75" bottom="0.75" header="0.3" footer="0.3"/>
  <pageSetup orientation="portrait" r:id="rId1"/>
  <headerFooter>
    <oddFooter>&amp;C&amp;1#&amp;"Calibri"&amp;12&amp;K008000Internal Use</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3">
    <tabColor theme="9" tint="0.39997558519241921"/>
    <pageSetUpPr fitToPage="1"/>
  </sheetPr>
  <dimension ref="A1:H93"/>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382</v>
      </c>
      <c r="B1" s="1096"/>
    </row>
    <row r="2" spans="1:8" ht="18.75" x14ac:dyDescent="0.3">
      <c r="A2" s="1096" t="s">
        <v>560</v>
      </c>
      <c r="B2" s="1096"/>
    </row>
    <row r="3" spans="1:8" ht="12.75" customHeight="1" x14ac:dyDescent="0.2">
      <c r="A3" s="1095"/>
      <c r="B3" s="1095"/>
    </row>
    <row r="4" spans="1:8" ht="12.75" customHeight="1" x14ac:dyDescent="0.2">
      <c r="A4" s="1095"/>
      <c r="B4" s="1095"/>
    </row>
    <row r="5" spans="1:8" s="1089" customFormat="1" ht="12.75" customHeight="1" x14ac:dyDescent="0.25">
      <c r="A5" s="2960" t="s">
        <v>561</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689</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2304">
        <v>77.5</v>
      </c>
      <c r="B13" s="2305">
        <v>0.02</v>
      </c>
      <c r="C13" s="1085" t="e">
        <f t="shared" ref="C13:C19" si="0">$B$23*B13</f>
        <v>#REF!</v>
      </c>
      <c r="D13" s="1077"/>
    </row>
    <row r="14" spans="1:8" ht="15.75" x14ac:dyDescent="0.25">
      <c r="A14" s="2304">
        <v>80</v>
      </c>
      <c r="B14" s="2317">
        <v>2.2499999999999999E-2</v>
      </c>
      <c r="C14" s="1085" t="e">
        <f t="shared" si="0"/>
        <v>#REF!</v>
      </c>
      <c r="D14" s="1077"/>
    </row>
    <row r="15" spans="1:8" ht="15.75" x14ac:dyDescent="0.25">
      <c r="A15" s="2304">
        <v>90</v>
      </c>
      <c r="B15" s="2317">
        <v>3.2500000000000001E-2</v>
      </c>
      <c r="C15" s="1085" t="e">
        <f>$B$23*B15</f>
        <v>#REF!</v>
      </c>
      <c r="D15" s="1077"/>
    </row>
    <row r="16" spans="1:8" ht="15.75" x14ac:dyDescent="0.2">
      <c r="A16" s="2306">
        <v>100</v>
      </c>
      <c r="B16" s="2318">
        <v>4.2500000000000003E-2</v>
      </c>
      <c r="C16" s="2303" t="e">
        <f t="shared" si="0"/>
        <v>#REF!</v>
      </c>
      <c r="D16" s="1077"/>
    </row>
    <row r="17" spans="1:8" ht="15.75" x14ac:dyDescent="0.25">
      <c r="A17" s="2304">
        <v>110</v>
      </c>
      <c r="B17" s="2317">
        <v>5.2499999999999998E-2</v>
      </c>
      <c r="C17" s="1085" t="e">
        <f t="shared" si="0"/>
        <v>#REF!</v>
      </c>
      <c r="D17" s="1077"/>
    </row>
    <row r="18" spans="1:8" ht="15.75" x14ac:dyDescent="0.25">
      <c r="A18" s="2304">
        <v>120</v>
      </c>
      <c r="B18" s="2317">
        <v>6.25E-2</v>
      </c>
      <c r="C18" s="1085" t="e">
        <f t="shared" si="0"/>
        <v>#REF!</v>
      </c>
      <c r="D18" s="1077"/>
    </row>
    <row r="19" spans="1:8" ht="15.75" x14ac:dyDescent="0.25">
      <c r="A19" s="2304">
        <v>130</v>
      </c>
      <c r="B19" s="2317">
        <v>7.2499999999999995E-2</v>
      </c>
      <c r="C19" s="1085" t="e">
        <f t="shared" si="0"/>
        <v>#REF!</v>
      </c>
      <c r="D19" s="1077"/>
    </row>
    <row r="20" spans="1:8" ht="15.75" x14ac:dyDescent="0.25">
      <c r="A20" s="2304">
        <v>137.5</v>
      </c>
      <c r="B20" s="2305">
        <v>0.08</v>
      </c>
      <c r="C20" s="1085" t="e">
        <f>$B$23*B20</f>
        <v>#REF!</v>
      </c>
      <c r="D20" s="1077"/>
    </row>
    <row r="21" spans="1:8" ht="15.75" customHeight="1" x14ac:dyDescent="0.25">
      <c r="A21" s="2304"/>
      <c r="B21" s="2305"/>
      <c r="C21" s="1085"/>
      <c r="D21" s="1077"/>
    </row>
    <row r="22" spans="1:8" ht="19.5" customHeight="1" x14ac:dyDescent="0.2">
      <c r="A22" s="1084"/>
      <c r="B22" s="1083"/>
      <c r="C22" s="1080"/>
      <c r="D22" s="1077"/>
    </row>
    <row r="23" spans="1:8" ht="19.5" customHeight="1" x14ac:dyDescent="0.25">
      <c r="A23" s="1082" t="s">
        <v>372</v>
      </c>
      <c r="B23" s="1081" t="e">
        <f>'CNG Table A'!#REF!-'CNG Table A'!#REF!-'CNG Table A'!#REF!-'CNG Table A'!#REF!-'CNG Table A'!#REF!</f>
        <v>#REF!</v>
      </c>
      <c r="C23" s="1080"/>
      <c r="D23" s="1077"/>
    </row>
    <row r="24" spans="1:8" ht="19.5" customHeight="1" x14ac:dyDescent="0.25">
      <c r="A24" s="1082"/>
      <c r="B24" s="1081"/>
      <c r="C24" s="1080"/>
      <c r="D24" s="1077"/>
    </row>
    <row r="25" spans="1:8" ht="19.5" customHeight="1" thickBot="1" x14ac:dyDescent="0.25">
      <c r="A25" s="1079" t="s">
        <v>371</v>
      </c>
      <c r="C25" s="1078"/>
      <c r="D25" s="1077"/>
    </row>
    <row r="26" spans="1:8" ht="19.5" customHeight="1" thickBot="1" x14ac:dyDescent="0.25">
      <c r="A26" s="2968" t="s">
        <v>502</v>
      </c>
      <c r="B26" s="2969"/>
      <c r="C26" s="2962" t="s">
        <v>370</v>
      </c>
      <c r="D26" s="2963"/>
      <c r="E26" s="2966" t="s">
        <v>369</v>
      </c>
      <c r="F26" s="2966"/>
      <c r="G26" s="2966"/>
      <c r="H26" s="2967"/>
    </row>
    <row r="27" spans="1:8" ht="31.5" customHeight="1" thickBot="1" x14ac:dyDescent="0.25">
      <c r="A27" s="2970" t="s">
        <v>79</v>
      </c>
      <c r="B27" s="2971"/>
      <c r="C27" s="2964"/>
      <c r="D27" s="2965"/>
      <c r="E27" s="2083" t="s">
        <v>368</v>
      </c>
      <c r="F27" s="2083" t="s">
        <v>367</v>
      </c>
      <c r="G27" s="2083" t="s">
        <v>366</v>
      </c>
      <c r="H27" s="2083" t="s">
        <v>365</v>
      </c>
    </row>
    <row r="28" spans="1:8" ht="30" customHeight="1" thickBot="1" x14ac:dyDescent="0.25">
      <c r="A28" s="1050" t="s">
        <v>500</v>
      </c>
      <c r="B28" s="1075" t="e">
        <f>'CNG Table A'!#REF!</f>
        <v>#REF!</v>
      </c>
      <c r="C28" s="1098" t="s">
        <v>383</v>
      </c>
      <c r="D28" s="1066"/>
      <c r="E28" s="2957" t="s">
        <v>535</v>
      </c>
      <c r="F28" s="1068" t="s">
        <v>536</v>
      </c>
      <c r="G28" s="2958">
        <v>0.19500000000000001</v>
      </c>
      <c r="H28" s="2959" t="e">
        <f>+$C$16*G28</f>
        <v>#REF!</v>
      </c>
    </row>
    <row r="29" spans="1:8" ht="29.25" customHeight="1" x14ac:dyDescent="0.2">
      <c r="A29" s="1058"/>
      <c r="B29" s="1072"/>
      <c r="C29" s="1099" t="s">
        <v>283</v>
      </c>
      <c r="D29" s="1066">
        <f>'2017 Summary Table B'!N7</f>
        <v>8055399.0096241124</v>
      </c>
      <c r="E29" s="2957"/>
      <c r="F29" s="1072">
        <f>D43</f>
        <v>14409416.758416438</v>
      </c>
      <c r="G29" s="2958"/>
      <c r="H29" s="2959"/>
    </row>
    <row r="30" spans="1:8" ht="30" hidden="1" customHeight="1" x14ac:dyDescent="0.2">
      <c r="A30" s="1058"/>
      <c r="B30" s="1059"/>
      <c r="C30" s="1099" t="s">
        <v>149</v>
      </c>
      <c r="D30" s="1071"/>
      <c r="E30" s="2957"/>
      <c r="F30" s="1073">
        <v>8826015.5371230152</v>
      </c>
      <c r="G30" s="2958"/>
      <c r="H30" s="2959"/>
    </row>
    <row r="31" spans="1:8" ht="30" hidden="1" customHeight="1" x14ac:dyDescent="0.2">
      <c r="A31" s="1058"/>
      <c r="B31" s="1059"/>
      <c r="C31" s="1099" t="s">
        <v>227</v>
      </c>
      <c r="D31" s="1071"/>
      <c r="E31" s="2957"/>
      <c r="F31" s="1059"/>
      <c r="G31" s="2958"/>
      <c r="H31" s="2959"/>
    </row>
    <row r="32" spans="1:8" ht="30" hidden="1" customHeight="1" x14ac:dyDescent="0.2">
      <c r="A32" s="1058"/>
      <c r="B32" s="1059"/>
      <c r="C32" s="1099" t="s">
        <v>110</v>
      </c>
      <c r="D32" s="1071"/>
      <c r="E32" s="2957"/>
      <c r="F32" s="1059"/>
      <c r="G32" s="2958"/>
      <c r="H32" s="2959"/>
    </row>
    <row r="33" spans="1:8" ht="30" hidden="1" customHeight="1" x14ac:dyDescent="0.2">
      <c r="A33" s="1058"/>
      <c r="B33" s="1059"/>
      <c r="C33" s="1099"/>
      <c r="D33" s="1071"/>
      <c r="E33" s="2957"/>
      <c r="F33" s="1059"/>
      <c r="G33" s="2958"/>
      <c r="H33" s="2959"/>
    </row>
    <row r="34" spans="1:8" ht="30" customHeight="1" x14ac:dyDescent="0.2">
      <c r="A34" s="1058"/>
      <c r="B34" s="1059"/>
      <c r="C34" s="1099" t="s">
        <v>160</v>
      </c>
      <c r="D34" s="1071">
        <f>'2017 Summary Table B'!N11</f>
        <v>6466225.1001243312</v>
      </c>
      <c r="E34" s="2957"/>
      <c r="G34" s="2958"/>
      <c r="H34" s="2959"/>
    </row>
    <row r="35" spans="1:8" ht="30" customHeight="1" x14ac:dyDescent="0.2">
      <c r="A35" s="1058"/>
      <c r="B35" s="1059"/>
      <c r="C35" s="1099" t="s">
        <v>604</v>
      </c>
      <c r="D35" s="1071">
        <f>'2017 Summary Table B'!N15</f>
        <v>4993711.4033879638</v>
      </c>
      <c r="E35" s="2957"/>
      <c r="G35" s="2958"/>
      <c r="H35" s="2959"/>
    </row>
    <row r="36" spans="1:8" ht="30" customHeight="1" x14ac:dyDescent="0.2">
      <c r="A36" s="1058"/>
      <c r="B36" s="1059"/>
      <c r="C36" s="1099" t="s">
        <v>531</v>
      </c>
      <c r="D36" s="1071">
        <f>'2017 Summary Table B'!N18</f>
        <v>309297.58436378604</v>
      </c>
      <c r="E36" s="2957"/>
      <c r="G36" s="2958"/>
      <c r="H36" s="2959"/>
    </row>
    <row r="37" spans="1:8" ht="30" customHeight="1" x14ac:dyDescent="0.2">
      <c r="A37" s="1058"/>
      <c r="B37" s="1059"/>
      <c r="C37" s="1099" t="s">
        <v>384</v>
      </c>
      <c r="D37" s="1071">
        <f>'2017 Summary Table B'!N21</f>
        <v>3386445.6534416969</v>
      </c>
      <c r="E37" s="2957"/>
      <c r="F37" s="1059"/>
      <c r="G37" s="2958"/>
      <c r="H37" s="2959"/>
    </row>
    <row r="38" spans="1:8" ht="30" hidden="1" customHeight="1" x14ac:dyDescent="0.2">
      <c r="A38" s="1058"/>
      <c r="B38" s="1059"/>
      <c r="C38" s="1099" t="s">
        <v>198</v>
      </c>
      <c r="D38" s="1071">
        <f>'2017 Summary Table B'!N25</f>
        <v>0</v>
      </c>
      <c r="E38" s="2957"/>
      <c r="F38" s="1059"/>
      <c r="G38" s="2958"/>
      <c r="H38" s="2959"/>
    </row>
    <row r="39" spans="1:8" ht="30" customHeight="1" x14ac:dyDescent="0.25">
      <c r="A39" s="1058"/>
      <c r="B39" s="1069"/>
      <c r="C39" s="1098" t="s">
        <v>386</v>
      </c>
      <c r="D39" s="1066">
        <f>SUM(D29:D38)</f>
        <v>23211078.750941891</v>
      </c>
      <c r="E39" s="2957"/>
      <c r="F39" s="1044"/>
      <c r="G39" s="2958"/>
      <c r="H39" s="2959"/>
    </row>
    <row r="40" spans="1:8" ht="12.75" customHeight="1" x14ac:dyDescent="0.25">
      <c r="A40" s="1058"/>
      <c r="B40" s="1069"/>
      <c r="C40" s="1097"/>
      <c r="D40" s="1066"/>
      <c r="E40" s="1068"/>
      <c r="F40" s="1044"/>
      <c r="G40" s="1067"/>
      <c r="H40" s="1057"/>
    </row>
    <row r="41" spans="1:8" ht="30" customHeight="1" x14ac:dyDescent="0.25">
      <c r="A41" s="1062"/>
      <c r="B41" s="1059"/>
      <c r="C41" s="1098" t="s">
        <v>387</v>
      </c>
      <c r="D41" s="1065">
        <f>'2017 Summary Table B'!F63/'2017 Summary Table B'!N63</f>
        <v>0.62079909826817992</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533</v>
      </c>
      <c r="D43" s="1060">
        <f>D39*D41</f>
        <v>14409416.758416438</v>
      </c>
      <c r="E43" s="1059"/>
      <c r="F43" s="1044"/>
      <c r="G43" s="1058"/>
      <c r="H43" s="1057"/>
    </row>
    <row r="44" spans="1:8" ht="31.5" customHeight="1" thickBot="1" x14ac:dyDescent="0.3">
      <c r="A44" s="1051"/>
      <c r="B44" s="1056"/>
      <c r="C44" s="2169" t="s">
        <v>534</v>
      </c>
      <c r="D44" s="2098" t="e">
        <f>D43-B28</f>
        <v>#REF!</v>
      </c>
      <c r="E44" s="1055"/>
      <c r="F44" s="1054" t="e">
        <f>D44</f>
        <v>#REF!</v>
      </c>
      <c r="G44" s="1053">
        <v>0.19500000000000001</v>
      </c>
      <c r="H44" s="1052" t="e">
        <f>+$C$16*G44</f>
        <v>#REF!</v>
      </c>
    </row>
    <row r="45" spans="1:8" ht="44.25" customHeight="1" thickBot="1" x14ac:dyDescent="0.25">
      <c r="A45" s="2096" t="s">
        <v>504</v>
      </c>
      <c r="B45" s="2171" t="e">
        <f>'2017 Summary Table B'!C11</f>
        <v>#REF!</v>
      </c>
      <c r="C45" s="2973" t="s">
        <v>635</v>
      </c>
      <c r="D45" s="2974"/>
      <c r="E45" s="2167" t="s">
        <v>517</v>
      </c>
      <c r="F45" s="2308" t="s">
        <v>634</v>
      </c>
      <c r="G45" s="2094">
        <v>0.06</v>
      </c>
      <c r="H45" s="2095" t="e">
        <f>+$C$16*G45</f>
        <v>#REF!</v>
      </c>
    </row>
    <row r="46" spans="1:8" ht="47.25" customHeight="1" thickBot="1" x14ac:dyDescent="0.25">
      <c r="A46" s="1050" t="s">
        <v>505</v>
      </c>
      <c r="B46" s="2172" t="e">
        <f>'2017 Summary Table B'!C7</f>
        <v>#REF!</v>
      </c>
      <c r="C46" s="2973" t="s">
        <v>518</v>
      </c>
      <c r="D46" s="2974"/>
      <c r="E46" s="2168" t="s">
        <v>518</v>
      </c>
      <c r="F46" s="2170">
        <f>'2017 Summary Table B'!M7</f>
        <v>375811.34933203331</v>
      </c>
      <c r="G46" s="2102">
        <v>0.03</v>
      </c>
      <c r="H46" s="2103" t="e">
        <f>+$C$16*G46</f>
        <v>#REF!</v>
      </c>
    </row>
    <row r="47" spans="1:8" ht="30.75" thickBot="1" x14ac:dyDescent="0.25">
      <c r="A47" s="2100" t="s">
        <v>501</v>
      </c>
      <c r="B47" s="2101" t="e">
        <f>'CNG Table A'!#REF!</f>
        <v>#REF!</v>
      </c>
      <c r="C47" s="1098" t="s">
        <v>383</v>
      </c>
      <c r="D47" s="1066"/>
      <c r="E47" s="2972" t="s">
        <v>539</v>
      </c>
      <c r="F47" s="1068" t="s">
        <v>540</v>
      </c>
      <c r="G47" s="2958">
        <v>0.21</v>
      </c>
      <c r="H47" s="2959" t="e">
        <f>+$C$16*G47</f>
        <v>#REF!</v>
      </c>
    </row>
    <row r="48" spans="1:8" ht="29.25" customHeight="1" x14ac:dyDescent="0.2">
      <c r="A48" s="1058"/>
      <c r="B48" s="1059"/>
      <c r="C48" s="1099" t="s">
        <v>199</v>
      </c>
      <c r="D48" s="1071">
        <f>'2017 Summary Table B'!N32</f>
        <v>4415479.4884411609</v>
      </c>
      <c r="E48" s="2972"/>
      <c r="F48" s="2093">
        <f>D56</f>
        <v>8666834.7459340133</v>
      </c>
      <c r="G48" s="2958"/>
      <c r="H48" s="2959"/>
    </row>
    <row r="49" spans="1:8" ht="29.25" customHeight="1" x14ac:dyDescent="0.2">
      <c r="A49" s="1058"/>
      <c r="B49" s="1059"/>
      <c r="C49" s="1099" t="s">
        <v>200</v>
      </c>
      <c r="D49" s="1071">
        <f>'2017 Summary Table B'!N37</f>
        <v>4411365.1742170686</v>
      </c>
      <c r="E49" s="2972"/>
      <c r="F49" s="1070"/>
      <c r="G49" s="2958"/>
      <c r="H49" s="2959"/>
    </row>
    <row r="50" spans="1:8" ht="29.25" customHeight="1" x14ac:dyDescent="0.2">
      <c r="A50" s="1058"/>
      <c r="B50" s="1059"/>
      <c r="C50" s="1099" t="s">
        <v>506</v>
      </c>
      <c r="D50" s="1071">
        <f>'2017 Summary Table B'!N41</f>
        <v>2446098.6601125817</v>
      </c>
      <c r="E50" s="2972"/>
      <c r="F50" s="1070"/>
      <c r="G50" s="2958"/>
      <c r="H50" s="2959"/>
    </row>
    <row r="51" spans="1:8" ht="29.25" customHeight="1" x14ac:dyDescent="0.2">
      <c r="A51" s="1058"/>
      <c r="B51" s="1059"/>
      <c r="C51" s="1099" t="s">
        <v>245</v>
      </c>
      <c r="D51" s="1071">
        <f>'2017 Summary Table B'!N45</f>
        <v>815365.71720952215</v>
      </c>
      <c r="E51" s="2972"/>
      <c r="F51" s="1070"/>
      <c r="G51" s="2958"/>
      <c r="H51" s="2959"/>
    </row>
    <row r="52" spans="1:8" ht="29.25" customHeight="1" x14ac:dyDescent="0.25">
      <c r="A52" s="1058"/>
      <c r="B52" s="1069"/>
      <c r="C52" s="1098" t="s">
        <v>386</v>
      </c>
      <c r="D52" s="1066">
        <f>SUM(D48:D51)</f>
        <v>12088309.039980333</v>
      </c>
      <c r="E52" s="2972"/>
      <c r="F52" s="1412"/>
      <c r="G52" s="2958"/>
      <c r="H52" s="2959"/>
    </row>
    <row r="53" spans="1:8" ht="13.5" customHeight="1" x14ac:dyDescent="0.25">
      <c r="A53" s="1058"/>
      <c r="B53" s="1069"/>
      <c r="C53" s="1097"/>
      <c r="D53" s="1066"/>
      <c r="E53" s="1058"/>
      <c r="F53" s="1412"/>
      <c r="G53" s="1067"/>
      <c r="H53" s="1057"/>
    </row>
    <row r="54" spans="1:8" ht="29.25" customHeight="1" x14ac:dyDescent="0.25">
      <c r="A54" s="1062"/>
      <c r="B54" s="1059"/>
      <c r="C54" s="1098" t="s">
        <v>387</v>
      </c>
      <c r="D54" s="1065">
        <f>'2017 Summary Table B'!F67/'2017 Summary Table B'!N67</f>
        <v>0.71696005762838388</v>
      </c>
      <c r="E54" s="1062"/>
      <c r="F54" s="1412"/>
      <c r="G54" s="1058"/>
      <c r="H54" s="1057"/>
    </row>
    <row r="55" spans="1:8" ht="9.75" customHeight="1" x14ac:dyDescent="0.25">
      <c r="A55" s="1062"/>
      <c r="B55" s="1059"/>
      <c r="C55" s="1061"/>
      <c r="D55" s="1064"/>
      <c r="E55" s="2088"/>
      <c r="F55" s="1412"/>
      <c r="G55" s="1058"/>
      <c r="H55" s="1057"/>
    </row>
    <row r="56" spans="1:8" ht="29.25" customHeight="1" thickBot="1" x14ac:dyDescent="0.3">
      <c r="A56" s="1062"/>
      <c r="B56" s="1059"/>
      <c r="C56" s="1407" t="s">
        <v>537</v>
      </c>
      <c r="D56" s="2087">
        <f>D52*D54</f>
        <v>8666834.7459340133</v>
      </c>
      <c r="E56" s="2089"/>
      <c r="F56" s="2090"/>
      <c r="G56" s="2091"/>
      <c r="H56" s="2092"/>
    </row>
    <row r="57" spans="1:8" ht="15.75" thickBot="1" x14ac:dyDescent="0.3">
      <c r="A57" s="1051"/>
      <c r="B57" s="1056"/>
      <c r="C57" s="2084" t="s">
        <v>538</v>
      </c>
      <c r="D57" s="2085" t="e">
        <f>D56-B47</f>
        <v>#REF!</v>
      </c>
      <c r="E57" s="1055"/>
      <c r="F57" s="1054" t="e">
        <f>D57</f>
        <v>#REF!</v>
      </c>
      <c r="G57" s="1053">
        <v>0.21</v>
      </c>
      <c r="H57" s="1052" t="e">
        <f>+$C$16*G57</f>
        <v>#REF!</v>
      </c>
    </row>
    <row r="58" spans="1:8" ht="135.75" thickBot="1" x14ac:dyDescent="0.3">
      <c r="A58" s="1050" t="s">
        <v>245</v>
      </c>
      <c r="B58" s="1075" t="e">
        <f>'2017 Summary Table B'!C45</f>
        <v>#REF!</v>
      </c>
      <c r="C58" s="2165" t="s">
        <v>637</v>
      </c>
      <c r="D58" s="2085"/>
      <c r="E58" s="2105" t="s">
        <v>521</v>
      </c>
      <c r="F58" s="2104" t="s">
        <v>522</v>
      </c>
      <c r="G58" s="2102">
        <v>0.05</v>
      </c>
      <c r="H58" s="2103" t="e">
        <f>+$C$16*G58</f>
        <v>#REF!</v>
      </c>
    </row>
    <row r="59" spans="1:8" ht="135.75" thickBot="1" x14ac:dyDescent="0.3">
      <c r="A59" s="1050" t="s">
        <v>532</v>
      </c>
      <c r="B59" s="1075"/>
      <c r="C59" s="2165" t="s">
        <v>638</v>
      </c>
      <c r="D59" s="2085"/>
      <c r="E59" s="2105" t="s">
        <v>521</v>
      </c>
      <c r="F59" s="2104" t="s">
        <v>636</v>
      </c>
      <c r="G59" s="2102">
        <v>0.05</v>
      </c>
      <c r="H59" s="2103" t="e">
        <f>+$C$16*G59</f>
        <v>#REF!</v>
      </c>
    </row>
    <row r="60" spans="1:8" ht="30.75" thickBot="1" x14ac:dyDescent="0.3">
      <c r="A60" s="1050" t="s">
        <v>507</v>
      </c>
      <c r="B60" s="1075"/>
      <c r="C60" s="1050"/>
      <c r="D60" s="2085"/>
      <c r="E60" s="2105"/>
      <c r="F60" s="2104"/>
      <c r="G60" s="2102">
        <f>SUM(G28:G59)</f>
        <v>1</v>
      </c>
      <c r="H60" s="2103" t="e">
        <f>SUM(H28:H59)</f>
        <v>#REF!</v>
      </c>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sheetData>
  <mergeCells count="13">
    <mergeCell ref="A5:H5"/>
    <mergeCell ref="A26:B26"/>
    <mergeCell ref="C26:D27"/>
    <mergeCell ref="E26:H26"/>
    <mergeCell ref="A27:B27"/>
    <mergeCell ref="C46:D46"/>
    <mergeCell ref="E47:E52"/>
    <mergeCell ref="G47:G52"/>
    <mergeCell ref="H47:H52"/>
    <mergeCell ref="E28:E39"/>
    <mergeCell ref="G28:G39"/>
    <mergeCell ref="H28:H39"/>
    <mergeCell ref="C45:D45"/>
  </mergeCells>
  <printOptions horizontalCentered="1"/>
  <pageMargins left="0.5" right="0.5" top="0.75" bottom="0.75" header="0.5" footer="0.25"/>
  <pageSetup scale="67" fitToHeight="0" orientation="landscape" r:id="rId1"/>
  <headerFooter alignWithMargins="0">
    <oddFooter>&amp;C&amp;1#&amp;"Calibri"&amp;12&amp;K008000Internal Use</oddFooter>
  </headerFooter>
  <rowBreaks count="2" manualBreakCount="2">
    <brk id="25" max="7" man="1"/>
    <brk id="46"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U49"/>
  <sheetViews>
    <sheetView topLeftCell="A25" workbookViewId="0">
      <selection activeCell="C9" sqref="C9:E10"/>
    </sheetView>
  </sheetViews>
  <sheetFormatPr defaultRowHeight="12.75" x14ac:dyDescent="0.2"/>
  <cols>
    <col min="1" max="1" width="32.5703125" style="1039" customWidth="1"/>
    <col min="2" max="2" width="4.42578125" style="1039" customWidth="1"/>
    <col min="3" max="3" width="14.42578125" style="1039" customWidth="1"/>
    <col min="4" max="6" width="13.28515625" style="1039" customWidth="1"/>
    <col min="7" max="7" width="14" style="1039" customWidth="1"/>
    <col min="8" max="9" width="12.28515625" style="1039" bestFit="1" customWidth="1"/>
    <col min="10" max="18" width="9.140625" style="1039"/>
    <col min="19" max="19" width="12.85546875" style="1039" customWidth="1"/>
    <col min="20" max="16384" width="9.140625" style="1039"/>
  </cols>
  <sheetData>
    <row r="1" spans="1:19" ht="15" x14ac:dyDescent="0.25">
      <c r="A1" s="2856" t="s">
        <v>410</v>
      </c>
      <c r="B1" s="2856"/>
      <c r="C1" s="2856"/>
      <c r="D1" s="2856"/>
      <c r="E1" s="2856"/>
      <c r="F1" s="1187"/>
      <c r="O1" s="1188"/>
      <c r="P1" s="1188"/>
      <c r="Q1" s="1188"/>
      <c r="R1" s="1188"/>
      <c r="S1" s="1188"/>
    </row>
    <row r="2" spans="1:19" ht="15" x14ac:dyDescent="0.25">
      <c r="A2" s="1189"/>
      <c r="O2" s="1188"/>
      <c r="P2" s="1188"/>
      <c r="Q2" s="1188"/>
      <c r="R2" s="1188"/>
      <c r="S2" s="1188"/>
    </row>
    <row r="3" spans="1:19" x14ac:dyDescent="0.2">
      <c r="O3" s="1190"/>
      <c r="P3" s="1191"/>
      <c r="Q3" s="1192"/>
      <c r="R3" s="1192"/>
      <c r="S3" s="1188"/>
    </row>
    <row r="4" spans="1:19" x14ac:dyDescent="0.2">
      <c r="O4" s="1193"/>
      <c r="P4" s="1191"/>
      <c r="Q4" s="1192"/>
      <c r="R4" s="1192"/>
      <c r="S4" s="1188"/>
    </row>
    <row r="5" spans="1:19" x14ac:dyDescent="0.2">
      <c r="O5" s="1193"/>
      <c r="P5" s="1191"/>
      <c r="Q5" s="1192"/>
      <c r="R5" s="1192"/>
      <c r="S5" s="1188"/>
    </row>
    <row r="6" spans="1:19" x14ac:dyDescent="0.2">
      <c r="O6" s="1193"/>
      <c r="P6" s="1191"/>
      <c r="Q6" s="1192"/>
      <c r="R6" s="1192"/>
      <c r="S6" s="1188"/>
    </row>
    <row r="7" spans="1:19" x14ac:dyDescent="0.2">
      <c r="O7" s="1193"/>
      <c r="P7" s="1191"/>
      <c r="Q7" s="1192"/>
      <c r="R7" s="1192"/>
      <c r="S7" s="1188"/>
    </row>
    <row r="8" spans="1:19" x14ac:dyDescent="0.2">
      <c r="O8" s="1192"/>
      <c r="P8" s="1192"/>
      <c r="Q8" s="1192"/>
      <c r="R8" s="1192"/>
      <c r="S8" s="1188"/>
    </row>
    <row r="9" spans="1:19" x14ac:dyDescent="0.2">
      <c r="O9" s="1190"/>
      <c r="P9" s="1192"/>
      <c r="Q9" s="1192"/>
      <c r="R9" s="1192"/>
      <c r="S9" s="1188"/>
    </row>
    <row r="10" spans="1:19" x14ac:dyDescent="0.2">
      <c r="O10" s="1192"/>
      <c r="P10" s="1192"/>
      <c r="Q10" s="1192"/>
      <c r="R10" s="1192"/>
      <c r="S10" s="1188"/>
    </row>
    <row r="11" spans="1:19" x14ac:dyDescent="0.2">
      <c r="O11" s="1192"/>
      <c r="P11" s="1191"/>
      <c r="Q11" s="1192"/>
      <c r="R11" s="1192"/>
      <c r="S11" s="1188"/>
    </row>
    <row r="12" spans="1:19" x14ac:dyDescent="0.2">
      <c r="O12" s="1192"/>
      <c r="P12" s="1191"/>
      <c r="Q12" s="1192"/>
      <c r="R12" s="1192"/>
      <c r="S12" s="1188"/>
    </row>
    <row r="13" spans="1:19" x14ac:dyDescent="0.2">
      <c r="O13" s="1192"/>
      <c r="P13" s="1192"/>
      <c r="Q13" s="1192"/>
      <c r="R13" s="1192"/>
      <c r="S13" s="1188"/>
    </row>
    <row r="14" spans="1:19" x14ac:dyDescent="0.2">
      <c r="O14" s="1188"/>
      <c r="P14" s="1188"/>
      <c r="Q14" s="1188"/>
      <c r="R14" s="1188"/>
      <c r="S14" s="1188"/>
    </row>
    <row r="15" spans="1:19" x14ac:dyDescent="0.2">
      <c r="O15" s="1190"/>
      <c r="P15" s="1191"/>
      <c r="Q15" s="1192"/>
      <c r="R15" s="1192"/>
      <c r="S15" s="1188"/>
    </row>
    <row r="16" spans="1:19" x14ac:dyDescent="0.2">
      <c r="O16" s="1193"/>
      <c r="P16" s="1191"/>
      <c r="Q16" s="1192"/>
      <c r="R16" s="1192"/>
      <c r="S16" s="1188"/>
    </row>
    <row r="17" spans="1:21" x14ac:dyDescent="0.2">
      <c r="O17" s="1193"/>
      <c r="P17" s="1191"/>
      <c r="Q17" s="1192"/>
      <c r="R17" s="1192"/>
      <c r="S17" s="1188"/>
    </row>
    <row r="18" spans="1:21" x14ac:dyDescent="0.2">
      <c r="O18" s="1193"/>
      <c r="P18" s="1191"/>
      <c r="Q18" s="1192"/>
      <c r="R18" s="1192"/>
      <c r="S18" s="1188"/>
    </row>
    <row r="19" spans="1:21" x14ac:dyDescent="0.2">
      <c r="O19" s="1193"/>
      <c r="P19" s="1191"/>
      <c r="Q19" s="1192"/>
      <c r="R19" s="1192"/>
      <c r="S19" s="1188"/>
    </row>
    <row r="20" spans="1:21" x14ac:dyDescent="0.2">
      <c r="O20" s="1192"/>
      <c r="P20" s="1192"/>
      <c r="Q20" s="1192"/>
      <c r="R20" s="1192"/>
      <c r="S20" s="1188"/>
    </row>
    <row r="21" spans="1:21" x14ac:dyDescent="0.2">
      <c r="O21" s="1190"/>
      <c r="P21" s="1192"/>
      <c r="Q21" s="1192"/>
      <c r="R21" s="1192"/>
      <c r="S21" s="1188"/>
    </row>
    <row r="22" spans="1:21" x14ac:dyDescent="0.2">
      <c r="O22" s="1192"/>
      <c r="P22" s="1192"/>
      <c r="Q22" s="1192"/>
      <c r="R22" s="1192"/>
      <c r="S22" s="1188"/>
    </row>
    <row r="23" spans="1:21" ht="13.5" customHeight="1" x14ac:dyDescent="0.2">
      <c r="O23" s="1192"/>
      <c r="P23" s="1191"/>
      <c r="Q23" s="1192"/>
      <c r="R23" s="1192"/>
      <c r="S23" s="1188"/>
    </row>
    <row r="24" spans="1:21" ht="13.5" customHeight="1" x14ac:dyDescent="0.2">
      <c r="O24" s="1192"/>
      <c r="P24" s="1191"/>
      <c r="Q24" s="1192"/>
      <c r="R24" s="1192"/>
      <c r="S24" s="1188"/>
    </row>
    <row r="25" spans="1:21" s="1188" customFormat="1" ht="13.5" customHeight="1" x14ac:dyDescent="0.2">
      <c r="O25" s="1039"/>
      <c r="P25" s="1039"/>
      <c r="Q25" s="1039"/>
      <c r="R25" s="1039"/>
      <c r="S25" s="1039"/>
      <c r="T25" s="1039"/>
    </row>
    <row r="26" spans="1:21" s="1188" customFormat="1" ht="13.5" customHeight="1" x14ac:dyDescent="0.2">
      <c r="O26" s="1039"/>
      <c r="P26" s="1039"/>
      <c r="Q26" s="1039"/>
      <c r="R26" s="1039"/>
      <c r="S26" s="1039"/>
      <c r="T26" s="1039"/>
    </row>
    <row r="27" spans="1:21" x14ac:dyDescent="0.2">
      <c r="O27" s="1194"/>
      <c r="T27" s="1195"/>
    </row>
    <row r="28" spans="1:21" ht="44.25" customHeight="1" x14ac:dyDescent="0.2">
      <c r="A28" s="1196" t="s">
        <v>20</v>
      </c>
      <c r="B28" s="1196"/>
      <c r="C28" s="1196" t="s">
        <v>26</v>
      </c>
      <c r="D28" s="1196" t="s">
        <v>57</v>
      </c>
      <c r="E28" s="1196" t="s">
        <v>21</v>
      </c>
      <c r="F28" s="1197"/>
      <c r="G28" s="1197"/>
      <c r="H28" s="1198"/>
      <c r="I28" s="1095"/>
      <c r="O28" s="1192"/>
      <c r="P28" s="1192"/>
      <c r="Q28" s="1199"/>
      <c r="R28" s="1199"/>
      <c r="S28" s="1200"/>
      <c r="T28" s="1201"/>
      <c r="U28" s="1199"/>
    </row>
    <row r="29" spans="1:21" x14ac:dyDescent="0.2">
      <c r="A29" s="1202" t="s">
        <v>228</v>
      </c>
      <c r="B29" s="1203"/>
      <c r="C29" s="1204">
        <f>'YGS Table A '!C12+'YGS Table A '!C35</f>
        <v>2504000</v>
      </c>
      <c r="D29" s="1205">
        <f>C29/C42</f>
        <v>0.19856350721517457</v>
      </c>
      <c r="E29" s="1206">
        <f>C29/C36</f>
        <v>0.22357142857142856</v>
      </c>
      <c r="F29" s="1205"/>
      <c r="G29" s="1205"/>
      <c r="H29" s="1095"/>
      <c r="I29" s="1095"/>
      <c r="O29" s="1192"/>
      <c r="P29" s="1192"/>
      <c r="Q29" s="1199"/>
      <c r="R29" s="1199"/>
      <c r="S29" s="1200"/>
      <c r="T29" s="1201"/>
      <c r="U29" s="1199"/>
    </row>
    <row r="30" spans="1:21" x14ac:dyDescent="0.2">
      <c r="A30" s="1202" t="s">
        <v>229</v>
      </c>
      <c r="B30" s="1203"/>
      <c r="C30" s="1204">
        <f>'YGS Table A '!C54-C29</f>
        <v>4675000</v>
      </c>
      <c r="D30" s="1205">
        <f>C30/C42</f>
        <v>0.37072060552353875</v>
      </c>
      <c r="E30" s="1206">
        <f>C30/C36</f>
        <v>0.4174107142857143</v>
      </c>
      <c r="F30" s="1205"/>
      <c r="G30" s="1205"/>
      <c r="H30" s="1095"/>
      <c r="I30" s="1207"/>
      <c r="J30" s="1208"/>
      <c r="K30" s="1208"/>
      <c r="L30" s="1208"/>
      <c r="M30" s="1208"/>
      <c r="O30" s="1192"/>
      <c r="P30" s="1192"/>
      <c r="Q30" s="1199"/>
      <c r="R30" s="1199"/>
      <c r="S30" s="1200"/>
      <c r="T30" s="1201"/>
      <c r="U30" s="1199"/>
    </row>
    <row r="31" spans="1:21" x14ac:dyDescent="0.2">
      <c r="A31" s="1209" t="s">
        <v>22</v>
      </c>
      <c r="B31" s="1210"/>
      <c r="C31" s="1211">
        <f>SUM(C29:C30)</f>
        <v>7179000</v>
      </c>
      <c r="D31" s="1212">
        <f>SUM(D29:D30)</f>
        <v>0.56928411273871338</v>
      </c>
      <c r="E31" s="1212">
        <f>SUM(E29:E30)</f>
        <v>0.64098214285714283</v>
      </c>
      <c r="F31" s="1205"/>
      <c r="G31" s="1205"/>
      <c r="H31" s="1095"/>
      <c r="I31" s="1095"/>
      <c r="O31" s="1192"/>
      <c r="P31" s="1192"/>
      <c r="Q31" s="1199"/>
      <c r="R31" s="1199"/>
      <c r="S31" s="1200"/>
      <c r="T31" s="1201"/>
      <c r="U31" s="1199"/>
    </row>
    <row r="32" spans="1:21" x14ac:dyDescent="0.2">
      <c r="A32" s="1203"/>
      <c r="B32" s="1203"/>
      <c r="C32" s="1213"/>
      <c r="D32" s="1205"/>
      <c r="E32" s="1206"/>
      <c r="F32" s="1205"/>
      <c r="G32" s="1205"/>
      <c r="H32" s="1214"/>
      <c r="I32" s="1214"/>
      <c r="O32" s="1199"/>
      <c r="P32" s="1199"/>
      <c r="Q32" s="1199"/>
      <c r="R32" s="1199"/>
      <c r="S32" s="1199"/>
      <c r="T32" s="1199"/>
      <c r="U32" s="1199"/>
    </row>
    <row r="33" spans="1:21" x14ac:dyDescent="0.2">
      <c r="A33" s="1202" t="s">
        <v>56</v>
      </c>
      <c r="B33" s="1203"/>
      <c r="C33" s="1213">
        <f>'YGS Table A '!C55</f>
        <v>4021000</v>
      </c>
      <c r="D33" s="1205">
        <f>SUM(C33/C42)</f>
        <v>0.31885937001286618</v>
      </c>
      <c r="E33" s="1206">
        <f>SUM(C33/C36)</f>
        <v>0.35901785714285717</v>
      </c>
      <c r="F33" s="1205"/>
      <c r="G33" s="1205"/>
      <c r="H33" s="1214"/>
      <c r="I33" s="1214"/>
      <c r="O33" s="1199"/>
      <c r="P33" s="1199"/>
      <c r="Q33" s="1199"/>
      <c r="R33" s="1199"/>
      <c r="S33" s="1199"/>
      <c r="T33" s="1199"/>
      <c r="U33" s="1199"/>
    </row>
    <row r="34" spans="1:21" x14ac:dyDescent="0.2">
      <c r="A34" s="1209" t="s">
        <v>23</v>
      </c>
      <c r="B34" s="1210"/>
      <c r="C34" s="1211">
        <f>SUM(C32:C33)</f>
        <v>4021000</v>
      </c>
      <c r="D34" s="1212">
        <f>SUM(D32:D33)</f>
        <v>0.31885937001286618</v>
      </c>
      <c r="E34" s="1212">
        <f>SUM(E32:E33)</f>
        <v>0.35901785714285717</v>
      </c>
      <c r="F34" s="1205"/>
      <c r="G34" s="1205"/>
      <c r="H34" s="1095"/>
      <c r="I34" s="1215"/>
      <c r="O34" s="1199"/>
      <c r="P34" s="1199"/>
      <c r="Q34" s="1199"/>
      <c r="R34" s="1199"/>
      <c r="S34" s="1199"/>
      <c r="T34" s="1199"/>
      <c r="U34" s="1199"/>
    </row>
    <row r="35" spans="1:21" x14ac:dyDescent="0.2">
      <c r="A35" s="1095"/>
      <c r="B35" s="1095"/>
      <c r="C35" s="1095"/>
      <c r="D35" s="1216"/>
      <c r="E35" s="1216"/>
      <c r="F35" s="1217"/>
      <c r="G35" s="1217"/>
      <c r="H35" s="1095"/>
      <c r="I35" s="1215"/>
    </row>
    <row r="36" spans="1:21" x14ac:dyDescent="0.2">
      <c r="A36" s="1209" t="s">
        <v>29</v>
      </c>
      <c r="B36" s="1218"/>
      <c r="C36" s="1211">
        <f>C31+C34</f>
        <v>11200000</v>
      </c>
      <c r="D36" s="1212">
        <f>D31+D34</f>
        <v>0.8881434827515795</v>
      </c>
      <c r="E36" s="1212">
        <f>E31+E34</f>
        <v>1</v>
      </c>
      <c r="F36" s="1205"/>
      <c r="G36" s="1219"/>
      <c r="H36" s="1095"/>
      <c r="I36" s="1215"/>
    </row>
    <row r="37" spans="1:21" x14ac:dyDescent="0.2">
      <c r="A37" s="1203"/>
      <c r="B37" s="1203"/>
      <c r="C37" s="1213"/>
      <c r="D37" s="1206"/>
      <c r="E37" s="1220"/>
      <c r="F37" s="1221"/>
      <c r="G37" s="1221"/>
      <c r="H37" s="1095"/>
      <c r="I37" s="1222"/>
    </row>
    <row r="38" spans="1:21" s="1229" customFormat="1" ht="15" customHeight="1" x14ac:dyDescent="0.25">
      <c r="A38" s="1223" t="s">
        <v>24</v>
      </c>
      <c r="B38" s="1224"/>
      <c r="C38" s="1225"/>
      <c r="D38" s="1226"/>
      <c r="E38" s="1227"/>
      <c r="F38" s="1225"/>
      <c r="G38" s="1228"/>
      <c r="H38" s="1227"/>
      <c r="I38" s="1227"/>
    </row>
    <row r="39" spans="1:21" s="1229" customFormat="1" ht="15" customHeight="1" x14ac:dyDescent="0.2">
      <c r="A39" s="1202" t="s">
        <v>24</v>
      </c>
      <c r="B39" s="1203"/>
      <c r="C39" s="1230">
        <f>'YGS Table A '!C56</f>
        <v>1410575</v>
      </c>
      <c r="D39" s="1205">
        <f>C39/C42</f>
        <v>0.11185651724842047</v>
      </c>
      <c r="E39" s="1227"/>
      <c r="F39" s="1225"/>
      <c r="G39" s="1228"/>
      <c r="H39" s="1227"/>
      <c r="I39" s="1227"/>
    </row>
    <row r="40" spans="1:21" s="1229" customFormat="1" ht="15" customHeight="1" x14ac:dyDescent="0.2">
      <c r="A40" s="1209" t="s">
        <v>25</v>
      </c>
      <c r="B40" s="1231"/>
      <c r="C40" s="1232">
        <f>SUM(C39)</f>
        <v>1410575</v>
      </c>
      <c r="D40" s="1233">
        <f>SUM(D39)</f>
        <v>0.11185651724842047</v>
      </c>
      <c r="E40" s="1234"/>
      <c r="F40" s="1225"/>
      <c r="G40" s="1235"/>
      <c r="H40" s="1227"/>
      <c r="I40" s="1227"/>
    </row>
    <row r="41" spans="1:21" s="1229" customFormat="1" x14ac:dyDescent="0.2">
      <c r="A41" s="1236"/>
      <c r="B41" s="1236"/>
      <c r="C41" s="76"/>
      <c r="D41" s="77"/>
      <c r="E41" s="78"/>
      <c r="F41" s="204"/>
      <c r="G41" s="1237"/>
      <c r="H41" s="1227"/>
      <c r="I41" s="1227"/>
    </row>
    <row r="42" spans="1:21" s="1229" customFormat="1" x14ac:dyDescent="0.2">
      <c r="A42" s="1238" t="s">
        <v>16</v>
      </c>
      <c r="B42" s="1238"/>
      <c r="C42" s="80">
        <f>C40+C36</f>
        <v>12610575</v>
      </c>
      <c r="D42" s="1206">
        <f>D36+D40</f>
        <v>1</v>
      </c>
      <c r="E42" s="1227"/>
      <c r="F42" s="1227"/>
      <c r="G42" s="1227"/>
      <c r="H42" s="1227"/>
      <c r="I42" s="1227"/>
    </row>
    <row r="43" spans="1:21" s="1241" customFormat="1" x14ac:dyDescent="0.2">
      <c r="A43" s="1239"/>
      <c r="B43" s="1239"/>
      <c r="C43" s="38"/>
      <c r="D43" s="1240"/>
    </row>
    <row r="44" spans="1:21" s="1241" customFormat="1" x14ac:dyDescent="0.2">
      <c r="A44" s="1242"/>
      <c r="B44" s="1242"/>
      <c r="C44" s="1242"/>
      <c r="D44" s="1242"/>
      <c r="E44" s="1242"/>
    </row>
    <row r="45" spans="1:21" s="1241" customFormat="1" x14ac:dyDescent="0.2">
      <c r="A45" s="1192"/>
      <c r="B45" s="1239"/>
      <c r="C45" s="38"/>
      <c r="D45" s="39"/>
      <c r="E45" s="39"/>
      <c r="F45" s="1243"/>
      <c r="G45" s="1244"/>
    </row>
    <row r="46" spans="1:21" s="1241" customFormat="1" x14ac:dyDescent="0.2">
      <c r="B46" s="1239"/>
      <c r="C46" s="38"/>
      <c r="D46" s="1244"/>
      <c r="E46" s="1244"/>
      <c r="F46" s="1244"/>
      <c r="G46" s="1244"/>
    </row>
    <row r="47" spans="1:21" s="1241" customFormat="1" x14ac:dyDescent="0.2">
      <c r="A47" s="1199"/>
      <c r="B47" s="1239"/>
      <c r="C47" s="38"/>
      <c r="D47" s="1229"/>
      <c r="E47" s="1229"/>
      <c r="F47" s="1229"/>
      <c r="G47" s="1229"/>
    </row>
    <row r="48" spans="1:21" x14ac:dyDescent="0.2">
      <c r="B48" s="1245"/>
      <c r="C48" s="42"/>
      <c r="D48" s="1199"/>
      <c r="E48" s="1199"/>
      <c r="F48" s="1199"/>
      <c r="G48" s="1199"/>
    </row>
    <row r="49" spans="2:7" x14ac:dyDescent="0.2">
      <c r="B49" s="1199"/>
      <c r="C49" s="1246"/>
      <c r="D49" s="1199"/>
      <c r="E49" s="1199"/>
      <c r="F49" s="1199"/>
      <c r="G49" s="1199"/>
    </row>
  </sheetData>
  <mergeCells count="1">
    <mergeCell ref="A1:E1"/>
  </mergeCells>
  <pageMargins left="0.75" right="0.75" top="1" bottom="1" header="0.5" footer="0.5"/>
  <pageSetup orientation="portrait" r:id="rId1"/>
  <headerFooter alignWithMargins="0">
    <oddHeader xml:space="preserve">&amp;R&amp;12
</oddHeader>
    <oddFooter>&amp;C&amp;"Arial"&amp;11&amp;K000000Totals may vary due to rounding
_x000D_&amp;1#&amp;"Calibri"&amp;12&amp;K008000Internal Use</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74">
    <tabColor indexed="44"/>
  </sheetPr>
  <dimension ref="A1:F43"/>
  <sheetViews>
    <sheetView zoomScaleNormal="100" workbookViewId="0">
      <selection activeCell="H15" sqref="H15"/>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731</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TRANSPOSE('SCG Table C 2023'!$C$51:$J$51)</f>
        <v>1477663.2000000002</v>
      </c>
      <c r="C34" s="2749">
        <f ca="1">SUM(B34/B$43)</f>
        <v>0.10057254470401349</v>
      </c>
    </row>
    <row r="35" spans="1:3" x14ac:dyDescent="0.2">
      <c r="A35" s="2747" t="s">
        <v>13</v>
      </c>
      <c r="B35" s="2748">
        <v>5517.0745638642738</v>
      </c>
      <c r="C35" s="2749">
        <f t="shared" ref="C35:C41" ca="1" si="0">SUM(B35/B$43)</f>
        <v>3.7550250165911643E-4</v>
      </c>
    </row>
    <row r="36" spans="1:3" x14ac:dyDescent="0.2">
      <c r="A36" s="2747" t="s">
        <v>4</v>
      </c>
      <c r="B36" s="2748">
        <v>1630318.1037401806</v>
      </c>
      <c r="C36" s="2749">
        <f t="shared" ca="1" si="0"/>
        <v>0.11096252540509352</v>
      </c>
    </row>
    <row r="37" spans="1:3" x14ac:dyDescent="0.2">
      <c r="A37" s="2747" t="s">
        <v>721</v>
      </c>
      <c r="B37" s="2748">
        <v>71150</v>
      </c>
      <c r="C37" s="2749">
        <f t="shared" ca="1" si="0"/>
        <v>4.8426032100485133E-3</v>
      </c>
    </row>
    <row r="38" spans="1:3" x14ac:dyDescent="0.2">
      <c r="A38" s="2747" t="s">
        <v>2</v>
      </c>
      <c r="B38" s="2748">
        <v>10357515.247744152</v>
      </c>
      <c r="C38" s="2749">
        <f t="shared" ca="1" si="0"/>
        <v>0.70495202511387567</v>
      </c>
    </row>
    <row r="39" spans="1:3" x14ac:dyDescent="0.2">
      <c r="A39" s="2747" t="s">
        <v>14</v>
      </c>
      <c r="B39" s="2748">
        <v>250740.21865802899</v>
      </c>
      <c r="C39" s="2749">
        <f t="shared" ca="1" si="0"/>
        <v>1.7065852252447469E-2</v>
      </c>
    </row>
    <row r="40" spans="1:3" x14ac:dyDescent="0.2">
      <c r="A40" s="2747" t="s">
        <v>684</v>
      </c>
      <c r="B40" s="2748">
        <f ca="1"/>
        <v>874510.8050110531</v>
      </c>
      <c r="C40" s="2749">
        <f t="shared" ca="1" si="0"/>
        <v>5.9520854976368734E-2</v>
      </c>
    </row>
    <row r="41" spans="1:3" x14ac:dyDescent="0.2">
      <c r="A41" s="2747" t="s">
        <v>15</v>
      </c>
      <c r="B41" s="2750">
        <v>25096.15776785856</v>
      </c>
      <c r="C41" s="2751">
        <f t="shared" ca="1" si="0"/>
        <v>1.708091836493546E-3</v>
      </c>
    </row>
    <row r="42" spans="1:3" x14ac:dyDescent="0.2">
      <c r="A42" s="2954"/>
      <c r="B42" s="2955"/>
      <c r="C42" s="2956"/>
    </row>
    <row r="43" spans="1:3" x14ac:dyDescent="0.2">
      <c r="A43" s="2747" t="s">
        <v>0</v>
      </c>
      <c r="B43" s="2748">
        <f ca="1">SUM(B34:B41)</f>
        <v>14692510.807485137</v>
      </c>
      <c r="C43" s="2749">
        <f ca="1">SUM(C34:C41)</f>
        <v>1</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75">
    <tabColor indexed="44"/>
  </sheetPr>
  <dimension ref="A1:F43"/>
  <sheetViews>
    <sheetView topLeftCell="A4" zoomScaleNormal="100" workbookViewId="0">
      <selection activeCell="H15" sqref="H15"/>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732</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TRANSPOSE('SCG Table C 2024'!$C$51:$J$51)</f>
        <v>1477663.1999999997</v>
      </c>
      <c r="C34" s="2749">
        <f ca="1">SUM(B34/B$43)</f>
        <v>9.9561237023778199E-2</v>
      </c>
    </row>
    <row r="35" spans="1:3" x14ac:dyDescent="0.2">
      <c r="A35" s="2747" t="s">
        <v>13</v>
      </c>
      <c r="B35" s="2748">
        <v>5417.0745638642738</v>
      </c>
      <c r="C35" s="2749">
        <f t="shared" ref="C35:C41" ca="1" si="0">SUM(B35/B$43)</f>
        <v>3.6498888557850729E-4</v>
      </c>
    </row>
    <row r="36" spans="1:3" x14ac:dyDescent="0.2">
      <c r="A36" s="2747" t="s">
        <v>4</v>
      </c>
      <c r="B36" s="2748">
        <v>1635278.2805513809</v>
      </c>
      <c r="C36" s="2749">
        <f t="shared" ca="1" si="0"/>
        <v>0.11018094548866922</v>
      </c>
    </row>
    <row r="37" spans="1:3" x14ac:dyDescent="0.2">
      <c r="A37" s="2747" t="s">
        <v>721</v>
      </c>
      <c r="B37" s="2748">
        <v>70400</v>
      </c>
      <c r="C37" s="2749">
        <f t="shared" ca="1" si="0"/>
        <v>4.7433752741991454E-3</v>
      </c>
    </row>
    <row r="38" spans="1:3" x14ac:dyDescent="0.2">
      <c r="A38" s="2747" t="s">
        <v>2</v>
      </c>
      <c r="B38" s="2748">
        <v>10505883.167744424</v>
      </c>
      <c r="C38" s="2749">
        <f t="shared" ca="1" si="0"/>
        <v>0.70786003482249849</v>
      </c>
    </row>
    <row r="39" spans="1:3" x14ac:dyDescent="0.2">
      <c r="A39" s="2747" t="s">
        <v>14</v>
      </c>
      <c r="B39" s="2748">
        <v>241146.69865802897</v>
      </c>
      <c r="C39" s="2749">
        <f t="shared" ca="1" si="0"/>
        <v>1.6247859202688165E-2</v>
      </c>
    </row>
    <row r="40" spans="1:3" x14ac:dyDescent="0.2">
      <c r="A40" s="2747" t="s">
        <v>684</v>
      </c>
      <c r="B40" s="2748">
        <f ca="1"/>
        <v>881205.03401020041</v>
      </c>
      <c r="C40" s="2749">
        <f t="shared" ca="1" si="0"/>
        <v>5.9373383094088086E-2</v>
      </c>
    </row>
    <row r="41" spans="1:3" x14ac:dyDescent="0.2">
      <c r="A41" s="2747" t="s">
        <v>15</v>
      </c>
      <c r="B41" s="2750">
        <v>24758.65776785856</v>
      </c>
      <c r="C41" s="2751">
        <f t="shared" ca="1" si="0"/>
        <v>1.6681762085002684E-3</v>
      </c>
    </row>
    <row r="42" spans="1:3" x14ac:dyDescent="0.2">
      <c r="A42" s="2954"/>
      <c r="B42" s="2955"/>
      <c r="C42" s="2956"/>
    </row>
    <row r="43" spans="1:3" x14ac:dyDescent="0.2">
      <c r="A43" s="2747" t="s">
        <v>0</v>
      </c>
      <c r="B43" s="2748">
        <f ca="1">SUM(B34:B41)</f>
        <v>14841752.113295756</v>
      </c>
      <c r="C43" s="2749">
        <f ca="1">SUM(C34:C41)</f>
        <v>1.0000000000000002</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D036F-EF8E-488F-AE59-55E7FB9C8C12}">
  <sheetPr>
    <tabColor indexed="44"/>
  </sheetPr>
  <dimension ref="A1:F43"/>
  <sheetViews>
    <sheetView zoomScaleNormal="100" workbookViewId="0">
      <selection activeCell="G28" sqref="G28"/>
    </sheetView>
  </sheetViews>
  <sheetFormatPr defaultRowHeight="12.75" x14ac:dyDescent="0.2"/>
  <cols>
    <col min="1" max="1" width="22.7109375" style="2838" customWidth="1"/>
    <col min="2" max="2" width="14.85546875" style="2838" customWidth="1"/>
    <col min="3" max="3" width="11.7109375" style="2838" bestFit="1" customWidth="1"/>
    <col min="4" max="4" width="14.42578125" style="2838" customWidth="1"/>
    <col min="5" max="5" width="22.7109375" style="2838" customWidth="1"/>
    <col min="6" max="6" width="19.140625" style="2838" customWidth="1"/>
    <col min="7" max="16384" width="9.140625" style="2838"/>
  </cols>
  <sheetData>
    <row r="1" spans="1:6" ht="20.25" x14ac:dyDescent="0.3">
      <c r="A1" s="2883" t="s">
        <v>38</v>
      </c>
      <c r="B1" s="2883"/>
      <c r="C1" s="2883"/>
      <c r="D1" s="2883"/>
      <c r="E1" s="2883"/>
      <c r="F1" s="23"/>
    </row>
    <row r="2" spans="1:6" ht="20.25" x14ac:dyDescent="0.3">
      <c r="A2" s="2883" t="s">
        <v>732</v>
      </c>
      <c r="B2" s="2883"/>
      <c r="C2" s="2883"/>
      <c r="D2" s="2883"/>
      <c r="E2" s="2883"/>
      <c r="F2" s="23"/>
    </row>
    <row r="3" spans="1:6" ht="20.25" x14ac:dyDescent="0.3">
      <c r="A3" s="2883" t="s">
        <v>60</v>
      </c>
      <c r="B3" s="2883"/>
      <c r="C3" s="2883"/>
      <c r="D3" s="2883"/>
      <c r="E3" s="2883"/>
      <c r="F3" s="23"/>
    </row>
    <row r="32" spans="1:3" x14ac:dyDescent="0.2">
      <c r="A32" s="2745" t="s">
        <v>17</v>
      </c>
      <c r="B32" s="2746" t="s">
        <v>1</v>
      </c>
      <c r="C32" s="2745" t="s">
        <v>18</v>
      </c>
    </row>
    <row r="33" spans="1:3" x14ac:dyDescent="0.2">
      <c r="A33" s="2951"/>
      <c r="B33" s="2952"/>
      <c r="C33" s="2953"/>
    </row>
    <row r="34" spans="1:3" x14ac:dyDescent="0.2">
      <c r="A34" s="2747" t="s">
        <v>53</v>
      </c>
      <c r="B34" s="2748">
        <f t="array" ref="B34:B41">TRANSPOSE('SCG Table C 2025'!$C$51:$J$51)</f>
        <v>1477663.2</v>
      </c>
      <c r="C34" s="2749">
        <f ca="1">SUM(B34/B$43)</f>
        <v>9.8560098534032844E-2</v>
      </c>
    </row>
    <row r="35" spans="1:3" x14ac:dyDescent="0.2">
      <c r="A35" s="2747" t="s">
        <v>13</v>
      </c>
      <c r="B35" s="2748">
        <v>5592.0745638642738</v>
      </c>
      <c r="C35" s="2749">
        <f t="shared" ref="C35:C41" ca="1" si="0">SUM(B35/B$43)</f>
        <v>3.7299123374265634E-4</v>
      </c>
    </row>
    <row r="36" spans="1:3" x14ac:dyDescent="0.2">
      <c r="A36" s="2747" t="s">
        <v>4</v>
      </c>
      <c r="B36" s="2748">
        <v>1635278.0915513809</v>
      </c>
      <c r="C36" s="2749">
        <f t="shared" ca="1" si="0"/>
        <v>0.10907300786393631</v>
      </c>
    </row>
    <row r="37" spans="1:3" x14ac:dyDescent="0.2">
      <c r="A37" s="2747" t="s">
        <v>721</v>
      </c>
      <c r="B37" s="2748">
        <v>70400</v>
      </c>
      <c r="C37" s="2749">
        <f t="shared" ca="1" si="0"/>
        <v>4.6956782416966956E-3</v>
      </c>
    </row>
    <row r="38" spans="1:3" x14ac:dyDescent="0.2">
      <c r="A38" s="2747" t="s">
        <v>2</v>
      </c>
      <c r="B38" s="2748">
        <v>10644860.974623498</v>
      </c>
      <c r="C38" s="2749">
        <f t="shared" ca="1" si="0"/>
        <v>0.71001196114241238</v>
      </c>
    </row>
    <row r="39" spans="1:3" x14ac:dyDescent="0.2">
      <c r="A39" s="2747" t="s">
        <v>14</v>
      </c>
      <c r="B39" s="2748">
        <v>241146.69865802897</v>
      </c>
      <c r="C39" s="2749">
        <f t="shared" ca="1" si="0"/>
        <v>1.608447877763489E-2</v>
      </c>
    </row>
    <row r="40" spans="1:3" x14ac:dyDescent="0.2">
      <c r="A40" s="2747" t="s">
        <v>684</v>
      </c>
      <c r="B40" s="2748">
        <f ca="1"/>
        <v>892809.66492536652</v>
      </c>
      <c r="C40" s="2749">
        <f t="shared" ca="1" si="0"/>
        <v>5.9550382351797736E-2</v>
      </c>
    </row>
    <row r="41" spans="1:3" x14ac:dyDescent="0.2">
      <c r="A41" s="2747" t="s">
        <v>15</v>
      </c>
      <c r="B41" s="2750">
        <v>24758.65776785856</v>
      </c>
      <c r="C41" s="2751">
        <f t="shared" ca="1" si="0"/>
        <v>1.6514018547464249E-3</v>
      </c>
    </row>
    <row r="42" spans="1:3" x14ac:dyDescent="0.2">
      <c r="A42" s="2954"/>
      <c r="B42" s="2955"/>
      <c r="C42" s="2956"/>
    </row>
    <row r="43" spans="1:3" x14ac:dyDescent="0.2">
      <c r="A43" s="2747" t="s">
        <v>0</v>
      </c>
      <c r="B43" s="2748">
        <f ca="1">SUM(B34:B41)</f>
        <v>14992509.362089997</v>
      </c>
      <c r="C43" s="2749">
        <f ca="1">SUM(C34:C41)</f>
        <v>1</v>
      </c>
    </row>
  </sheetData>
  <mergeCells count="5">
    <mergeCell ref="A1:E1"/>
    <mergeCell ref="A2:E2"/>
    <mergeCell ref="A3:E3"/>
    <mergeCell ref="A33:C33"/>
    <mergeCell ref="A42:C42"/>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58">
    <pageSetUpPr fitToPage="1"/>
  </sheetPr>
  <dimension ref="A1:AB62"/>
  <sheetViews>
    <sheetView topLeftCell="A16" zoomScale="75" workbookViewId="0">
      <selection activeCell="Q9" sqref="Q9"/>
    </sheetView>
  </sheetViews>
  <sheetFormatPr defaultRowHeight="12.75" x14ac:dyDescent="0.2"/>
  <cols>
    <col min="1" max="1" width="6.28515625" customWidth="1"/>
    <col min="2" max="2" width="12.7109375" customWidth="1"/>
    <col min="3" max="3" width="60.7109375" customWidth="1"/>
    <col min="4" max="8" width="11.7109375" hidden="1" customWidth="1"/>
    <col min="9" max="15" width="11.7109375" customWidth="1"/>
    <col min="16" max="16" width="11.7109375" style="3" customWidth="1"/>
    <col min="17" max="18" width="11.7109375" customWidth="1"/>
    <col min="19" max="19" width="11.5703125" bestFit="1" customWidth="1"/>
    <col min="20" max="20" width="11.140625" bestFit="1" customWidth="1"/>
  </cols>
  <sheetData>
    <row r="1" spans="1:20" ht="23.25" x14ac:dyDescent="0.35">
      <c r="C1" s="501"/>
    </row>
    <row r="2" spans="1:20" ht="21" customHeight="1" x14ac:dyDescent="0.3">
      <c r="A2" s="3"/>
      <c r="B2" s="3"/>
      <c r="C2" s="2848" t="s">
        <v>345</v>
      </c>
      <c r="D2" s="2848"/>
      <c r="E2" s="2848"/>
      <c r="F2" s="2848"/>
      <c r="G2" s="2848"/>
      <c r="H2" s="2848"/>
      <c r="I2" s="2848"/>
      <c r="J2" s="2848"/>
      <c r="K2" s="2848"/>
      <c r="L2" s="2848"/>
      <c r="M2" s="2848"/>
      <c r="N2" s="2848"/>
      <c r="O2" s="2848"/>
      <c r="P2" s="2848"/>
      <c r="Q2" s="949"/>
    </row>
    <row r="3" spans="1:20" ht="24" customHeight="1" x14ac:dyDescent="0.3">
      <c r="A3" s="3"/>
      <c r="B3" s="2502"/>
      <c r="C3" s="2945" t="s">
        <v>667</v>
      </c>
      <c r="D3" s="2945"/>
      <c r="E3" s="2945"/>
      <c r="F3" s="2945"/>
      <c r="G3" s="2945"/>
      <c r="H3" s="2945"/>
      <c r="I3" s="2945"/>
      <c r="J3" s="2945"/>
      <c r="K3" s="2945"/>
      <c r="L3" s="2945"/>
      <c r="M3" s="2945"/>
      <c r="N3" s="2945"/>
      <c r="O3" s="2945"/>
      <c r="P3" s="2945"/>
      <c r="Q3" s="980"/>
    </row>
    <row r="4" spans="1:20" ht="24" customHeight="1" thickBot="1" x14ac:dyDescent="0.35">
      <c r="A4" s="3"/>
      <c r="B4" s="2502"/>
      <c r="C4" s="213"/>
      <c r="D4" s="2599"/>
      <c r="E4" s="33"/>
      <c r="F4" s="33"/>
      <c r="G4" s="33"/>
      <c r="H4" s="33"/>
      <c r="I4" s="33"/>
      <c r="J4" s="33"/>
      <c r="K4" s="33"/>
      <c r="L4" s="33"/>
      <c r="M4" s="33"/>
      <c r="N4" s="33"/>
      <c r="O4" s="33"/>
      <c r="P4" s="1023"/>
      <c r="Q4" s="33"/>
    </row>
    <row r="5" spans="1:20" ht="24" customHeight="1" thickBot="1" x14ac:dyDescent="0.35">
      <c r="A5" s="3"/>
      <c r="B5" s="2502"/>
      <c r="C5" s="2600" t="s">
        <v>346</v>
      </c>
      <c r="D5" s="2601"/>
      <c r="E5" s="2601"/>
      <c r="F5" s="2601"/>
      <c r="G5" s="2601"/>
      <c r="H5" s="2601"/>
      <c r="I5" s="2601"/>
      <c r="J5" s="2601"/>
      <c r="K5" s="2601"/>
      <c r="L5" s="2601"/>
      <c r="M5" s="2601"/>
      <c r="N5" s="2601"/>
      <c r="O5" s="2601"/>
      <c r="P5" s="2602"/>
      <c r="Q5" s="2602"/>
      <c r="R5" s="2602"/>
      <c r="S5" s="2602"/>
      <c r="T5" s="2602"/>
    </row>
    <row r="6" spans="1:20" ht="14.25" customHeight="1" x14ac:dyDescent="0.3">
      <c r="A6" s="3"/>
      <c r="B6" s="2502"/>
      <c r="C6" s="949"/>
      <c r="D6" s="981">
        <v>2006</v>
      </c>
      <c r="E6" s="981">
        <v>2007</v>
      </c>
      <c r="F6" s="981">
        <v>2008</v>
      </c>
      <c r="G6" s="981">
        <v>2009</v>
      </c>
      <c r="H6" s="981">
        <v>2010</v>
      </c>
      <c r="I6" s="981">
        <v>2013</v>
      </c>
      <c r="J6" s="981">
        <v>2014</v>
      </c>
      <c r="K6" s="981">
        <v>2015</v>
      </c>
      <c r="L6" s="981">
        <v>2016</v>
      </c>
      <c r="M6" s="981">
        <v>2017</v>
      </c>
      <c r="N6" s="981">
        <v>2018</v>
      </c>
      <c r="O6" s="981">
        <v>2019</v>
      </c>
      <c r="P6" s="981">
        <v>2020</v>
      </c>
      <c r="Q6" s="981">
        <v>2021</v>
      </c>
      <c r="R6" s="981">
        <v>2022</v>
      </c>
      <c r="S6" s="981">
        <v>2023</v>
      </c>
      <c r="T6" s="981">
        <v>2024</v>
      </c>
    </row>
    <row r="7" spans="1:20" ht="14.25" customHeight="1" thickBot="1" x14ac:dyDescent="0.35">
      <c r="A7" s="15"/>
      <c r="B7" s="15"/>
      <c r="C7" s="213"/>
      <c r="D7" s="195" t="s">
        <v>186</v>
      </c>
      <c r="E7" s="195" t="s">
        <v>186</v>
      </c>
      <c r="F7" s="195" t="s">
        <v>186</v>
      </c>
      <c r="G7" s="195" t="s">
        <v>186</v>
      </c>
      <c r="H7" s="195" t="s">
        <v>186</v>
      </c>
      <c r="I7" s="195" t="s">
        <v>186</v>
      </c>
      <c r="J7" s="195" t="s">
        <v>186</v>
      </c>
      <c r="K7" s="195" t="s">
        <v>186</v>
      </c>
      <c r="L7" s="195" t="s">
        <v>186</v>
      </c>
      <c r="M7" s="195" t="s">
        <v>186</v>
      </c>
      <c r="N7" s="195" t="s">
        <v>186</v>
      </c>
      <c r="O7" s="195" t="s">
        <v>186</v>
      </c>
      <c r="P7" s="195" t="s">
        <v>186</v>
      </c>
      <c r="Q7" s="195" t="s">
        <v>186</v>
      </c>
      <c r="R7" s="195" t="s">
        <v>188</v>
      </c>
      <c r="S7" s="195" t="s">
        <v>188</v>
      </c>
      <c r="T7" s="195" t="s">
        <v>188</v>
      </c>
    </row>
    <row r="8" spans="1:20" ht="17.25" customHeight="1" thickBot="1" x14ac:dyDescent="0.25">
      <c r="A8" s="982"/>
      <c r="B8" s="982"/>
      <c r="C8" s="2603" t="s">
        <v>115</v>
      </c>
      <c r="D8" s="2604"/>
      <c r="E8" s="2604"/>
      <c r="F8" s="2604"/>
      <c r="G8" s="2604"/>
      <c r="H8" s="2604"/>
      <c r="I8" s="2206"/>
      <c r="J8" s="2206"/>
      <c r="K8" s="2206"/>
      <c r="L8" s="2206"/>
      <c r="M8" s="2206"/>
      <c r="N8" s="2206"/>
      <c r="O8" s="2206"/>
      <c r="P8" s="2206"/>
      <c r="Q8" s="2206"/>
      <c r="R8" s="2206"/>
      <c r="S8" s="2206"/>
      <c r="T8" s="2206"/>
    </row>
    <row r="9" spans="1:20" ht="17.25" customHeight="1" x14ac:dyDescent="0.2">
      <c r="A9" s="985" t="s">
        <v>347</v>
      </c>
      <c r="B9" s="982"/>
      <c r="C9" s="2313" t="s">
        <v>222</v>
      </c>
      <c r="D9" s="1838">
        <v>443.46199999999999</v>
      </c>
      <c r="E9" s="1838">
        <v>401.18700000000001</v>
      </c>
      <c r="F9" s="1838">
        <v>430.85899999999998</v>
      </c>
      <c r="G9" s="1838">
        <v>665.64545999999996</v>
      </c>
      <c r="H9" s="1838">
        <v>805.29872</v>
      </c>
      <c r="I9" s="1838">
        <f>903813/1000</f>
        <v>903.81299999999999</v>
      </c>
      <c r="J9" s="1838">
        <v>2912</v>
      </c>
      <c r="K9" s="1838">
        <v>4513</v>
      </c>
      <c r="L9" s="1838">
        <v>4256</v>
      </c>
      <c r="M9" s="1838">
        <v>5307</v>
      </c>
      <c r="N9" s="1838">
        <v>4987.1790000000001</v>
      </c>
      <c r="O9" s="1838">
        <v>345.274</v>
      </c>
      <c r="P9" s="1838">
        <v>96.254000000000005</v>
      </c>
      <c r="Q9" s="1838">
        <f>'CNG Table A'!E16/1000</f>
        <v>3696.7719999999999</v>
      </c>
      <c r="R9" s="1838">
        <f>'CNG Table A'!G16/1000</f>
        <v>3735.7551693554001</v>
      </c>
      <c r="S9" s="1838">
        <f>'CNG Table A'!J16/1000</f>
        <v>4737.4099147097095</v>
      </c>
      <c r="T9" s="1838">
        <f>'CNG Table A'!M16/1000</f>
        <v>4862.1414270319892</v>
      </c>
    </row>
    <row r="10" spans="1:20" ht="17.25" customHeight="1" x14ac:dyDescent="0.2">
      <c r="A10" s="985" t="s">
        <v>347</v>
      </c>
      <c r="B10" s="982"/>
      <c r="C10" s="2313" t="s">
        <v>149</v>
      </c>
      <c r="D10" s="1838">
        <v>52.037999999999997</v>
      </c>
      <c r="E10" s="1838">
        <v>427.54199999999997</v>
      </c>
      <c r="F10" s="1838">
        <v>795.21589999999992</v>
      </c>
      <c r="G10" s="1838">
        <v>519.63117</v>
      </c>
      <c r="H10" s="1838">
        <v>1367.5798399999996</v>
      </c>
      <c r="I10" s="1839">
        <v>2014</v>
      </c>
      <c r="J10" s="1840">
        <f>3467+1117</f>
        <v>4584</v>
      </c>
      <c r="K10" s="1841">
        <f>2057+1285</f>
        <v>3342</v>
      </c>
      <c r="L10" s="1841">
        <v>2439</v>
      </c>
      <c r="M10" s="1841">
        <v>2356</v>
      </c>
      <c r="N10" s="1841">
        <v>1846.2159999999999</v>
      </c>
      <c r="O10" s="1841">
        <v>1652.6990000000001</v>
      </c>
      <c r="P10" s="1841">
        <v>2497.61</v>
      </c>
      <c r="Q10" s="1841">
        <f>+'CNG Table A'!E14/1000</f>
        <v>4516.8999999999996</v>
      </c>
      <c r="R10" s="1841">
        <f>('CNG Table A'!G14)/1000</f>
        <v>2689.1185486931699</v>
      </c>
      <c r="S10" s="1841">
        <f>('CNG Table A'!J14)/1000</f>
        <v>3317.0205047965101</v>
      </c>
      <c r="T10" s="1841">
        <f>('CNG Table A'!M14)/1000</f>
        <v>3331.2367278325987</v>
      </c>
    </row>
    <row r="11" spans="1:20" ht="17.25" customHeight="1" x14ac:dyDescent="0.2">
      <c r="A11" s="985" t="s">
        <v>347</v>
      </c>
      <c r="B11" s="982"/>
      <c r="C11" s="2313" t="s">
        <v>595</v>
      </c>
      <c r="D11" s="1838">
        <v>0</v>
      </c>
      <c r="E11" s="1838">
        <v>0</v>
      </c>
      <c r="F11" s="1838">
        <v>0</v>
      </c>
      <c r="G11" s="1838">
        <v>0</v>
      </c>
      <c r="H11" s="1838">
        <v>0</v>
      </c>
      <c r="I11" s="1838">
        <v>21.861000000000001</v>
      </c>
      <c r="J11" s="1838">
        <v>97.281999999999996</v>
      </c>
      <c r="K11" s="1838">
        <v>344</v>
      </c>
      <c r="L11" s="1841">
        <v>1870</v>
      </c>
      <c r="M11" s="1841">
        <v>1746</v>
      </c>
      <c r="N11" s="1841">
        <v>2051.069</v>
      </c>
      <c r="O11" s="1841">
        <v>2571.973</v>
      </c>
      <c r="P11" s="1841">
        <v>2683.0720000000001</v>
      </c>
      <c r="Q11" s="1841">
        <f>+'CNG Table A'!E15/1000</f>
        <v>3010.011</v>
      </c>
      <c r="R11" s="1841">
        <f>('CNG Table A'!G15)/1000</f>
        <v>1356.0352151158133</v>
      </c>
      <c r="S11" s="1841">
        <f>('CNG Table A'!J15)/1000</f>
        <v>1062.3390412094784</v>
      </c>
      <c r="T11" s="1841">
        <f>('CNG Table A'!M15)/1000</f>
        <v>1062.3394158166038</v>
      </c>
    </row>
    <row r="12" spans="1:20" ht="17.25" customHeight="1" x14ac:dyDescent="0.2">
      <c r="A12" s="985" t="s">
        <v>347</v>
      </c>
      <c r="B12" s="981"/>
      <c r="C12" s="2314" t="s">
        <v>227</v>
      </c>
      <c r="D12" s="1842">
        <v>0</v>
      </c>
      <c r="E12" s="1842">
        <v>0</v>
      </c>
      <c r="F12" s="1842">
        <v>0</v>
      </c>
      <c r="G12" s="1842">
        <v>178.94624000000002</v>
      </c>
      <c r="H12" s="1842">
        <v>422.04573000000005</v>
      </c>
      <c r="I12" s="1843">
        <f>1374360/1000</f>
        <v>1374.36</v>
      </c>
      <c r="J12" s="1844">
        <v>448</v>
      </c>
      <c r="K12" s="1845">
        <v>562</v>
      </c>
      <c r="L12" s="1845">
        <v>710</v>
      </c>
      <c r="M12" s="1845">
        <v>427</v>
      </c>
      <c r="N12" s="1845">
        <v>479.74900000000002</v>
      </c>
      <c r="O12" s="1845">
        <v>4515.924</v>
      </c>
      <c r="P12" s="1845">
        <v>470.45100000000002</v>
      </c>
      <c r="Q12" s="1845">
        <f>+'CNG Table A'!E13/1000</f>
        <v>21.027999999999999</v>
      </c>
      <c r="R12" s="1845">
        <f>'CNG Table A'!G13/1000</f>
        <v>480.47974209008169</v>
      </c>
      <c r="S12" s="1845">
        <f>'CNG Table A'!J13/1000</f>
        <v>293.76155409718012</v>
      </c>
      <c r="T12" s="1845">
        <f>'CNG Table A'!M13/1000</f>
        <v>117.50462163887207</v>
      </c>
    </row>
    <row r="13" spans="1:20" ht="17.25" customHeight="1" x14ac:dyDescent="0.2">
      <c r="A13" s="985"/>
      <c r="B13" s="981"/>
      <c r="C13" s="2314" t="s">
        <v>529</v>
      </c>
      <c r="D13" s="1842">
        <v>0</v>
      </c>
      <c r="E13" s="1842">
        <v>0</v>
      </c>
      <c r="F13" s="1842">
        <v>0</v>
      </c>
      <c r="G13" s="1842"/>
      <c r="H13" s="1842"/>
      <c r="I13" s="1843">
        <v>0</v>
      </c>
      <c r="J13" s="1844">
        <v>0</v>
      </c>
      <c r="K13" s="1845">
        <v>0</v>
      </c>
      <c r="L13" s="1845">
        <v>165</v>
      </c>
      <c r="M13" s="1845">
        <v>32</v>
      </c>
      <c r="N13" s="1845">
        <v>137.83000000000001</v>
      </c>
      <c r="O13" s="1845">
        <v>29.744</v>
      </c>
      <c r="P13" s="1845">
        <v>151.126</v>
      </c>
      <c r="Q13" s="1845">
        <f>+'CNG Table A'!E17/1000</f>
        <v>62.320999999999998</v>
      </c>
      <c r="R13" s="1845">
        <f>'CNG Table A'!G17/1000</f>
        <v>133.39088669326586</v>
      </c>
      <c r="S13" s="1845">
        <f>'CNG Table A'!J17/1000</f>
        <v>171.15552915580795</v>
      </c>
      <c r="T13" s="1845">
        <f>'CNG Table A'!M17/1000</f>
        <v>176.10200105573716</v>
      </c>
    </row>
    <row r="14" spans="1:20" ht="17.25" hidden="1" customHeight="1" x14ac:dyDescent="0.2">
      <c r="A14" s="985" t="s">
        <v>347</v>
      </c>
      <c r="B14" s="982"/>
      <c r="C14" s="2309" t="s">
        <v>110</v>
      </c>
      <c r="D14" s="1846">
        <v>0</v>
      </c>
      <c r="E14" s="1846">
        <v>0</v>
      </c>
      <c r="F14" s="1846">
        <v>38.08</v>
      </c>
      <c r="G14" s="1846">
        <v>92.116169999999983</v>
      </c>
      <c r="H14" s="1846">
        <v>59.462179999999996</v>
      </c>
      <c r="I14" s="1847"/>
      <c r="J14" s="1848"/>
      <c r="K14" s="1849"/>
      <c r="L14" s="1845">
        <v>0</v>
      </c>
      <c r="M14" s="1845">
        <v>0</v>
      </c>
      <c r="N14" s="1845">
        <v>0</v>
      </c>
      <c r="O14" s="1845">
        <v>0</v>
      </c>
      <c r="P14" s="1845">
        <v>0</v>
      </c>
      <c r="Q14" s="1845">
        <v>0</v>
      </c>
      <c r="R14" s="1845">
        <v>0</v>
      </c>
      <c r="S14" s="1845">
        <v>1</v>
      </c>
      <c r="T14" s="1845">
        <v>2</v>
      </c>
    </row>
    <row r="15" spans="1:20" ht="17.25" customHeight="1" thickBot="1" x14ac:dyDescent="0.25">
      <c r="A15" s="985" t="s">
        <v>347</v>
      </c>
      <c r="B15" s="982"/>
      <c r="C15" s="2605" t="s">
        <v>30</v>
      </c>
      <c r="D15" s="2606">
        <f t="shared" ref="D15:L15" si="0">SUM(D9:D14)</f>
        <v>495.5</v>
      </c>
      <c r="E15" s="2606">
        <f t="shared" si="0"/>
        <v>828.72900000000004</v>
      </c>
      <c r="F15" s="2606">
        <f t="shared" si="0"/>
        <v>1264.1548999999998</v>
      </c>
      <c r="G15" s="2606">
        <f t="shared" si="0"/>
        <v>1456.3390399999998</v>
      </c>
      <c r="H15" s="2606">
        <f t="shared" si="0"/>
        <v>2654.3864699999999</v>
      </c>
      <c r="I15" s="2606">
        <f t="shared" si="0"/>
        <v>4314.0339999999997</v>
      </c>
      <c r="J15" s="2606">
        <f t="shared" si="0"/>
        <v>8041.2820000000002</v>
      </c>
      <c r="K15" s="2606">
        <f t="shared" si="0"/>
        <v>8761</v>
      </c>
      <c r="L15" s="2606">
        <f t="shared" si="0"/>
        <v>9440</v>
      </c>
      <c r="M15" s="2606">
        <f>SUM(M9:M14)</f>
        <v>9868</v>
      </c>
      <c r="N15" s="2606">
        <v>9502.0429999999997</v>
      </c>
      <c r="O15" s="2606">
        <v>9115.6139999999996</v>
      </c>
      <c r="P15" s="2606">
        <v>5898.5129999999999</v>
      </c>
      <c r="Q15" s="2606">
        <f>SUM(Q9:Q14)</f>
        <v>11307.031999999999</v>
      </c>
      <c r="R15" s="2606">
        <f>SUM(R9:R14)</f>
        <v>8394.7795619477292</v>
      </c>
      <c r="S15" s="2606">
        <f>SUM(S9:S14)</f>
        <v>9582.6865439686862</v>
      </c>
      <c r="T15" s="2606">
        <f>SUM(T9:T14)</f>
        <v>9551.3241933758</v>
      </c>
    </row>
    <row r="16" spans="1:20" ht="17.25" customHeight="1" thickBot="1" x14ac:dyDescent="0.25">
      <c r="A16" s="994" t="s">
        <v>347</v>
      </c>
      <c r="B16" s="981"/>
      <c r="C16" s="2607"/>
      <c r="D16" s="523"/>
      <c r="E16" s="523"/>
      <c r="F16" s="523"/>
      <c r="G16" s="523"/>
      <c r="H16" s="523"/>
      <c r="I16" s="523"/>
      <c r="J16" s="523"/>
      <c r="K16" s="523"/>
      <c r="L16" s="523"/>
      <c r="M16" s="523"/>
      <c r="N16" s="523"/>
      <c r="O16" s="523"/>
      <c r="P16" s="523"/>
      <c r="Q16" s="523"/>
      <c r="R16" s="523"/>
      <c r="S16" s="523"/>
      <c r="T16" s="523"/>
    </row>
    <row r="17" spans="1:28" ht="17.25" customHeight="1" thickBot="1" x14ac:dyDescent="0.25">
      <c r="A17" s="981"/>
      <c r="B17" s="981"/>
      <c r="C17" s="2608" t="s">
        <v>6</v>
      </c>
      <c r="D17" s="2207"/>
      <c r="E17" s="2207"/>
      <c r="F17" s="2207"/>
      <c r="G17" s="2207"/>
      <c r="H17" s="2207"/>
      <c r="I17" s="2207"/>
      <c r="J17" s="2207"/>
      <c r="K17" s="2209"/>
      <c r="L17" s="2209"/>
      <c r="M17" s="2209"/>
      <c r="N17" s="2209"/>
      <c r="O17" s="2209"/>
      <c r="P17" s="2209"/>
      <c r="Q17" s="2209"/>
      <c r="R17" s="2209"/>
      <c r="S17" s="2209"/>
      <c r="T17" s="2209"/>
    </row>
    <row r="18" spans="1:28" ht="17.25" customHeight="1" x14ac:dyDescent="0.2">
      <c r="A18" s="1003" t="s">
        <v>348</v>
      </c>
      <c r="B18" s="981"/>
      <c r="C18" s="2682" t="s">
        <v>112</v>
      </c>
      <c r="D18" s="1850">
        <v>0</v>
      </c>
      <c r="E18" s="1850">
        <v>0</v>
      </c>
      <c r="F18" s="1850">
        <v>241.90620000000001</v>
      </c>
      <c r="G18" s="1850">
        <v>572.42476999999997</v>
      </c>
      <c r="H18" s="1850">
        <v>727.29886999999985</v>
      </c>
      <c r="I18" s="1850">
        <v>1177</v>
      </c>
      <c r="J18" s="1850">
        <v>1885</v>
      </c>
      <c r="K18" s="1850">
        <v>1151</v>
      </c>
      <c r="L18" s="1850">
        <v>2120</v>
      </c>
      <c r="M18" s="1850">
        <v>2297</v>
      </c>
      <c r="N18" s="1850">
        <v>1901.6489999999999</v>
      </c>
      <c r="O18" s="1850">
        <v>1418.405</v>
      </c>
      <c r="P18" s="1850">
        <v>4145.7979999999998</v>
      </c>
      <c r="Q18" s="1850">
        <f>+'CNG Table A'!E20/1000</f>
        <v>3713.683</v>
      </c>
      <c r="R18" s="1850">
        <f>'CNG Table A'!G20/1000</f>
        <v>1708.7007141989998</v>
      </c>
      <c r="S18" s="1850">
        <f>'CNG Table A'!J20/1000</f>
        <v>1975.1076746147869</v>
      </c>
      <c r="T18" s="1850">
        <f>'CNG Table A'!M20/1000</f>
        <v>2032.2276960051631</v>
      </c>
    </row>
    <row r="19" spans="1:28" ht="17.25" customHeight="1" x14ac:dyDescent="0.2">
      <c r="A19" s="1003" t="s">
        <v>348</v>
      </c>
      <c r="B19" s="981"/>
      <c r="C19" s="2680" t="s">
        <v>116</v>
      </c>
      <c r="D19" s="2681">
        <v>0</v>
      </c>
      <c r="E19" s="1838">
        <v>0</v>
      </c>
      <c r="F19" s="1838">
        <v>17.131</v>
      </c>
      <c r="G19" s="1838">
        <v>140.39179000000001</v>
      </c>
      <c r="H19" s="1838">
        <v>324.99513999999999</v>
      </c>
      <c r="I19" s="1838">
        <v>1536</v>
      </c>
      <c r="J19" s="1838">
        <v>814</v>
      </c>
      <c r="K19" s="1838">
        <v>1150</v>
      </c>
      <c r="L19" s="1838">
        <v>854</v>
      </c>
      <c r="M19" s="1838">
        <v>1286</v>
      </c>
      <c r="N19" s="1838">
        <v>716.27499999999998</v>
      </c>
      <c r="O19" s="1838">
        <v>1244.788</v>
      </c>
      <c r="P19" s="1838">
        <v>813.24900000000002</v>
      </c>
      <c r="Q19" s="1838">
        <f>+'CNG Table A'!E21/1000</f>
        <v>925.54300000000001</v>
      </c>
      <c r="R19" s="1838">
        <f>'CNG Table A'!G21/1000</f>
        <v>1011.7217125900991</v>
      </c>
      <c r="S19" s="1838">
        <f>'CNG Table A'!J21/1000</f>
        <v>1152.7177822517415</v>
      </c>
      <c r="T19" s="1838">
        <f>'CNG Table A'!M21/1000</f>
        <v>1182.9485934229754</v>
      </c>
    </row>
    <row r="20" spans="1:28" ht="17.25" customHeight="1" x14ac:dyDescent="0.2">
      <c r="A20" s="1003" t="s">
        <v>348</v>
      </c>
      <c r="B20" s="981"/>
      <c r="C20" s="2311" t="s">
        <v>581</v>
      </c>
      <c r="D20" s="2194">
        <v>0</v>
      </c>
      <c r="E20" s="1851">
        <v>0</v>
      </c>
      <c r="F20" s="1851">
        <v>3.22</v>
      </c>
      <c r="G20" s="1851">
        <v>8.0081100000000003</v>
      </c>
      <c r="H20" s="1851">
        <v>14.242319999999999</v>
      </c>
      <c r="I20" s="1851">
        <v>90</v>
      </c>
      <c r="J20" s="1851">
        <v>385</v>
      </c>
      <c r="K20" s="1851">
        <v>78</v>
      </c>
      <c r="L20" s="1851">
        <v>312</v>
      </c>
      <c r="M20" s="1851">
        <v>602</v>
      </c>
      <c r="N20" s="1851">
        <v>1011.601</v>
      </c>
      <c r="O20" s="1851">
        <v>403.01900000000001</v>
      </c>
      <c r="P20" s="1851">
        <v>418.51100000000002</v>
      </c>
      <c r="Q20" s="1851">
        <f>+'CNG Table A'!E22/1000</f>
        <v>308.47199999999998</v>
      </c>
      <c r="R20" s="1851">
        <f>'CNG Table A'!G22/1000</f>
        <v>536.58149806664699</v>
      </c>
      <c r="S20" s="1851">
        <f>'CNG Table A'!J22/1000</f>
        <v>608.76280100521808</v>
      </c>
      <c r="T20" s="1851">
        <f>'CNG Table A'!M22/1000</f>
        <v>624.23911424193523</v>
      </c>
    </row>
    <row r="21" spans="1:28" ht="17.25" customHeight="1" thickBot="1" x14ac:dyDescent="0.25">
      <c r="A21" s="1003" t="s">
        <v>348</v>
      </c>
      <c r="B21" s="981"/>
      <c r="C21" s="2679" t="s">
        <v>245</v>
      </c>
      <c r="D21" s="2193">
        <v>0</v>
      </c>
      <c r="E21" s="2193">
        <v>0</v>
      </c>
      <c r="F21" s="2193">
        <v>0</v>
      </c>
      <c r="G21" s="2193">
        <v>0</v>
      </c>
      <c r="H21" s="2193">
        <v>0</v>
      </c>
      <c r="I21" s="2193">
        <f>210560/1000</f>
        <v>210.56</v>
      </c>
      <c r="J21" s="2193">
        <f>199250/1000</f>
        <v>199.25</v>
      </c>
      <c r="K21" s="2193">
        <v>192</v>
      </c>
      <c r="L21" s="2193">
        <v>195</v>
      </c>
      <c r="M21" s="2193">
        <v>138</v>
      </c>
      <c r="N21" s="2193">
        <v>211.94300000000001</v>
      </c>
      <c r="O21" s="2193">
        <v>252.65299999999999</v>
      </c>
      <c r="P21" s="2193">
        <v>118.71599999999999</v>
      </c>
      <c r="Q21" s="2193">
        <f>+'CNG Table A'!E23/1000</f>
        <v>94.822000000000003</v>
      </c>
      <c r="R21" s="2193">
        <f>'CNG Table A'!G23/1000</f>
        <v>433.48485750000003</v>
      </c>
      <c r="S21" s="2193">
        <f>'CNG Table A'!J23/1000</f>
        <v>475.58169915677843</v>
      </c>
      <c r="T21" s="2193">
        <f>'CNG Table A'!M23/1000</f>
        <v>484.60763636258417</v>
      </c>
    </row>
    <row r="22" spans="1:28" ht="17.25" customHeight="1" thickBot="1" x14ac:dyDescent="0.25">
      <c r="A22" s="1003" t="s">
        <v>348</v>
      </c>
      <c r="B22" s="981"/>
      <c r="C22" s="2610" t="s">
        <v>206</v>
      </c>
      <c r="D22" s="2611" t="e">
        <f>#REF!+#REF!+D21</f>
        <v>#REF!</v>
      </c>
      <c r="E22" s="2611" t="e">
        <f>#REF!+#REF!+E21</f>
        <v>#REF!</v>
      </c>
      <c r="F22" s="2611" t="e">
        <f>#REF!+#REF!+F21</f>
        <v>#REF!</v>
      </c>
      <c r="G22" s="2611" t="e">
        <f>#REF!+#REF!+G21</f>
        <v>#REF!</v>
      </c>
      <c r="H22" s="2611" t="e">
        <f>#REF!+#REF!+H21</f>
        <v>#REF!</v>
      </c>
      <c r="I22" s="2611">
        <f t="shared" ref="I22:R22" si="1">SUM(I18:I21)</f>
        <v>3013.56</v>
      </c>
      <c r="J22" s="2611">
        <f t="shared" si="1"/>
        <v>3283.25</v>
      </c>
      <c r="K22" s="2611">
        <f t="shared" si="1"/>
        <v>2571</v>
      </c>
      <c r="L22" s="2611">
        <f t="shared" si="1"/>
        <v>3481</v>
      </c>
      <c r="M22" s="2611">
        <f t="shared" si="1"/>
        <v>4323</v>
      </c>
      <c r="N22" s="2611">
        <f t="shared" si="1"/>
        <v>3841.4680000000003</v>
      </c>
      <c r="O22" s="2611">
        <v>3318.8650000000002</v>
      </c>
      <c r="P22" s="2611">
        <v>5496.2740000000003</v>
      </c>
      <c r="Q22" s="2611">
        <f t="shared" si="1"/>
        <v>5042.5199999999995</v>
      </c>
      <c r="R22" s="2611">
        <f t="shared" si="1"/>
        <v>3690.4887823557456</v>
      </c>
      <c r="S22" s="2611">
        <f>SUM(S18:S21)</f>
        <v>4212.1699570285245</v>
      </c>
      <c r="T22" s="2611">
        <f>SUM(T18:T21)</f>
        <v>4324.0230400326573</v>
      </c>
    </row>
    <row r="23" spans="1:28" ht="17.25" customHeight="1" thickBot="1" x14ac:dyDescent="0.25">
      <c r="A23" s="1003"/>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row>
    <row r="24" spans="1:28" ht="17.25" customHeight="1" thickBot="1" x14ac:dyDescent="0.25">
      <c r="A24" s="1003"/>
      <c r="B24" s="981"/>
      <c r="C24" s="2640" t="s">
        <v>737</v>
      </c>
      <c r="D24" s="2641"/>
      <c r="E24" s="2641"/>
      <c r="F24" s="2641"/>
      <c r="G24" s="2641"/>
      <c r="H24" s="2641"/>
      <c r="I24" s="2229"/>
      <c r="J24" s="2230"/>
      <c r="K24" s="2230"/>
      <c r="L24" s="2230"/>
      <c r="M24" s="2230"/>
      <c r="N24" s="2230"/>
      <c r="O24" s="2230"/>
      <c r="P24" s="2230"/>
      <c r="Q24" s="2230"/>
      <c r="R24" s="2230"/>
      <c r="S24" s="2230"/>
      <c r="T24" s="2230"/>
    </row>
    <row r="25" spans="1:28" ht="17.25" customHeight="1" x14ac:dyDescent="0.2">
      <c r="A25" s="1003"/>
      <c r="B25" s="981"/>
      <c r="C25" s="2682" t="s">
        <v>739</v>
      </c>
      <c r="D25" s="1850"/>
      <c r="E25" s="1850"/>
      <c r="F25" s="1850"/>
      <c r="G25" s="1850"/>
      <c r="H25" s="1850"/>
      <c r="I25" s="1850"/>
      <c r="J25" s="1850"/>
      <c r="K25" s="1850"/>
      <c r="L25" s="1850"/>
      <c r="M25" s="1850"/>
      <c r="N25" s="1850"/>
      <c r="O25" s="1850"/>
      <c r="P25" s="1850"/>
      <c r="Q25" s="1850"/>
      <c r="R25" s="1850">
        <f>'CNG Table A'!G26/1000</f>
        <v>72.927000000000007</v>
      </c>
      <c r="S25" s="1850">
        <f>'CNG Table A'!J26/1000</f>
        <v>151.0025</v>
      </c>
      <c r="T25" s="1850">
        <f>'CNG Table A'!M26/1000</f>
        <v>156.40842499999999</v>
      </c>
    </row>
    <row r="26" spans="1:28" ht="17.25" customHeight="1" thickBot="1" x14ac:dyDescent="0.25">
      <c r="A26" s="1003"/>
      <c r="B26" s="981"/>
      <c r="C26" s="2680" t="s">
        <v>738</v>
      </c>
      <c r="D26" s="2681"/>
      <c r="E26" s="1838"/>
      <c r="F26" s="1838"/>
      <c r="G26" s="1838"/>
      <c r="H26" s="1838"/>
      <c r="I26" s="1838"/>
      <c r="J26" s="1838"/>
      <c r="K26" s="1838"/>
      <c r="L26" s="1838"/>
      <c r="M26" s="1838"/>
      <c r="N26" s="1838"/>
      <c r="O26" s="1838"/>
      <c r="P26" s="1838"/>
      <c r="Q26" s="1838"/>
      <c r="R26" s="1838">
        <f>'CNG Table A'!G27/1000</f>
        <v>183.17599999999999</v>
      </c>
      <c r="S26" s="1838">
        <f>'CNG Table A'!J27/1000</f>
        <v>187.38476</v>
      </c>
      <c r="T26" s="1838">
        <f>'CNG Table A'!M27/1000</f>
        <v>191.71978279999999</v>
      </c>
    </row>
    <row r="27" spans="1:28" ht="17.25" customHeight="1" thickBot="1" x14ac:dyDescent="0.25">
      <c r="A27" s="1003"/>
      <c r="B27" s="981"/>
      <c r="C27" s="2610" t="s">
        <v>758</v>
      </c>
      <c r="D27" s="2611"/>
      <c r="E27" s="2611"/>
      <c r="F27" s="2611"/>
      <c r="G27" s="2611"/>
      <c r="H27" s="2611"/>
      <c r="I27" s="2611"/>
      <c r="J27" s="2611"/>
      <c r="K27" s="2611"/>
      <c r="L27" s="2611"/>
      <c r="M27" s="2611"/>
      <c r="N27" s="2611"/>
      <c r="O27" s="2611"/>
      <c r="P27" s="2611"/>
      <c r="Q27" s="2611"/>
      <c r="R27" s="2611">
        <f>SUM(R25:R26)</f>
        <v>256.10300000000001</v>
      </c>
      <c r="S27" s="2611">
        <f t="shared" ref="S27:T27" si="2">SUM(S25:S26)</f>
        <v>338.38725999999997</v>
      </c>
      <c r="T27" s="2611">
        <f t="shared" si="2"/>
        <v>348.12820779999998</v>
      </c>
    </row>
    <row r="28" spans="1:28" ht="17.25" customHeight="1" thickBot="1" x14ac:dyDescent="0.25">
      <c r="A28" s="1003"/>
      <c r="B28" s="981"/>
      <c r="C28" s="2764"/>
      <c r="D28" s="2765"/>
      <c r="E28" s="2765"/>
      <c r="F28" s="2765"/>
      <c r="G28" s="2765"/>
      <c r="H28" s="2765"/>
      <c r="I28" s="2765"/>
      <c r="J28" s="2765"/>
      <c r="K28" s="2765"/>
      <c r="L28" s="2765"/>
      <c r="M28" s="2765"/>
      <c r="N28" s="2765"/>
      <c r="O28" s="2765"/>
      <c r="P28" s="2765"/>
      <c r="Q28" s="2765"/>
      <c r="R28" s="2765"/>
      <c r="S28" s="2765"/>
      <c r="T28" s="2765"/>
      <c r="U28" s="2765"/>
    </row>
    <row r="29" spans="1:28" ht="17.25" customHeight="1" thickBot="1" x14ac:dyDescent="0.25">
      <c r="A29" s="981"/>
      <c r="B29" s="981"/>
      <c r="C29" s="2640" t="s">
        <v>645</v>
      </c>
      <c r="D29" s="2641"/>
      <c r="E29" s="2641"/>
      <c r="F29" s="2641"/>
      <c r="G29" s="2641"/>
      <c r="H29" s="2641"/>
      <c r="I29" s="2230"/>
      <c r="J29" s="2230"/>
      <c r="K29" s="2230"/>
      <c r="L29" s="2230"/>
      <c r="M29" s="2230"/>
      <c r="N29" s="2230"/>
      <c r="O29" s="2230"/>
      <c r="P29" s="2230"/>
      <c r="Q29" s="2230"/>
      <c r="R29" s="2230"/>
      <c r="S29" s="2230"/>
      <c r="T29" s="2230"/>
    </row>
    <row r="30" spans="1:28" ht="17.25" customHeight="1" x14ac:dyDescent="0.2">
      <c r="A30" s="1009"/>
      <c r="B30" s="1010"/>
      <c r="C30" s="2844" t="s">
        <v>763</v>
      </c>
      <c r="D30" s="2599"/>
      <c r="E30" s="37"/>
      <c r="F30" s="37"/>
      <c r="G30" s="1851">
        <v>0</v>
      </c>
      <c r="H30" s="1851">
        <v>0</v>
      </c>
      <c r="I30" s="1851">
        <v>0</v>
      </c>
      <c r="J30" s="1851">
        <v>0</v>
      </c>
      <c r="K30" s="1851">
        <v>0</v>
      </c>
      <c r="L30" s="1851">
        <v>33</v>
      </c>
      <c r="M30" s="1851">
        <v>68</v>
      </c>
      <c r="N30" s="1851">
        <v>25.890999999999998</v>
      </c>
      <c r="O30" s="1851">
        <v>30.305</v>
      </c>
      <c r="P30" s="1851">
        <v>31.421369999999996</v>
      </c>
      <c r="Q30" s="1851">
        <f>'CNG Table A'!E30/1000</f>
        <v>25.24</v>
      </c>
      <c r="R30" s="1851">
        <f>'CNG Table A'!G32/1000</f>
        <v>79.999785098237155</v>
      </c>
      <c r="S30" s="1851">
        <f>'CNG Table A'!J32/1000</f>
        <v>79.999785098237155</v>
      </c>
      <c r="T30" s="1851">
        <f>'CNG Table A'!M32/1000</f>
        <v>79.999785098237155</v>
      </c>
    </row>
    <row r="31" spans="1:28" ht="17.25" customHeight="1" x14ac:dyDescent="0.2">
      <c r="A31" s="28"/>
      <c r="B31" s="981"/>
      <c r="C31" s="2844" t="s">
        <v>764</v>
      </c>
      <c r="D31" s="2489"/>
      <c r="E31" s="2843"/>
      <c r="F31" s="2843"/>
      <c r="G31" s="1851">
        <v>0</v>
      </c>
      <c r="H31" s="1851">
        <v>0</v>
      </c>
      <c r="I31" s="1851">
        <v>0</v>
      </c>
      <c r="J31" s="1851">
        <v>0</v>
      </c>
      <c r="K31" s="1851">
        <v>0</v>
      </c>
      <c r="L31" s="1851">
        <v>30</v>
      </c>
      <c r="M31" s="1851">
        <v>14</v>
      </c>
      <c r="N31" s="1851">
        <v>12.456</v>
      </c>
      <c r="O31" s="1851">
        <v>16.111999999999998</v>
      </c>
      <c r="P31" s="1851">
        <v>24.596659999999996</v>
      </c>
      <c r="Q31" s="1851">
        <f>'CNG Table A'!E31/1000</f>
        <v>15.433999999999999</v>
      </c>
      <c r="R31" s="1851">
        <f>'CNG Table A'!G33/1000</f>
        <v>50.000119162583196</v>
      </c>
      <c r="S31" s="1851">
        <f>'CNG Table A'!J33/1000</f>
        <v>50.000119162583196</v>
      </c>
      <c r="T31" s="1851">
        <f>'CNG Table A'!M33/1000</f>
        <v>50.000119162583196</v>
      </c>
    </row>
    <row r="32" spans="1:28" ht="17.25" customHeight="1" x14ac:dyDescent="0.2">
      <c r="A32" s="28"/>
      <c r="B32" s="981"/>
      <c r="C32" s="2845" t="s">
        <v>765</v>
      </c>
      <c r="D32" s="2599"/>
      <c r="E32" s="37"/>
      <c r="F32" s="2315"/>
      <c r="G32" s="1838">
        <v>0</v>
      </c>
      <c r="H32" s="1838">
        <v>0</v>
      </c>
      <c r="I32" s="1838">
        <v>0</v>
      </c>
      <c r="J32" s="1838">
        <v>0</v>
      </c>
      <c r="K32" s="1838">
        <v>0</v>
      </c>
      <c r="L32" s="1838">
        <v>200</v>
      </c>
      <c r="M32" s="1838">
        <v>186</v>
      </c>
      <c r="N32" s="1838">
        <v>68.325999999999993</v>
      </c>
      <c r="O32" s="1838">
        <v>70.099000000000004</v>
      </c>
      <c r="P32" s="1838">
        <v>64.577559999999991</v>
      </c>
      <c r="Q32" s="1838">
        <f>'CNG Table A'!E32/1000</f>
        <v>17.227</v>
      </c>
      <c r="R32" s="1838">
        <f>'CNG Table A'!G30/1000</f>
        <v>76.667081280464515</v>
      </c>
      <c r="S32" s="1838">
        <f>'CNG Table A'!J30/1000</f>
        <v>76.667081280464515</v>
      </c>
      <c r="T32" s="1838">
        <f>'CNG Table A'!M30/1000</f>
        <v>76.667081280464515</v>
      </c>
    </row>
    <row r="33" spans="1:20" ht="17.25" customHeight="1" x14ac:dyDescent="0.2">
      <c r="A33" s="1009"/>
      <c r="B33" s="1010"/>
      <c r="C33" s="2844" t="s">
        <v>766</v>
      </c>
      <c r="D33" s="2599"/>
      <c r="E33" s="37"/>
      <c r="F33" s="37"/>
      <c r="G33" s="1851">
        <v>0</v>
      </c>
      <c r="H33" s="1851">
        <v>0</v>
      </c>
      <c r="I33" s="1851">
        <v>0</v>
      </c>
      <c r="J33" s="1851">
        <v>0</v>
      </c>
      <c r="K33" s="1851">
        <v>0</v>
      </c>
      <c r="L33" s="1851">
        <v>94</v>
      </c>
      <c r="M33" s="1851">
        <v>34</v>
      </c>
      <c r="N33" s="1851">
        <v>32.814999999999998</v>
      </c>
      <c r="O33" s="1851">
        <v>0</v>
      </c>
      <c r="P33" s="1851">
        <v>0</v>
      </c>
      <c r="Q33" s="1851">
        <f>'CNG Table A'!E33/1000</f>
        <v>0</v>
      </c>
      <c r="R33" s="1851">
        <f>'CNG Table A'!G31/1000</f>
        <v>82.666660000000007</v>
      </c>
      <c r="S33" s="1851">
        <f>'CNG Table A'!J31/1000</f>
        <v>82.666660000000007</v>
      </c>
      <c r="T33" s="1851">
        <f>'CNG Table A'!M31/1000</f>
        <v>82.666660000000007</v>
      </c>
    </row>
    <row r="34" spans="1:20" ht="17.25" customHeight="1" x14ac:dyDescent="0.2">
      <c r="C34" s="2844" t="s">
        <v>822</v>
      </c>
      <c r="D34" s="37"/>
      <c r="E34" s="37"/>
      <c r="F34" s="37"/>
      <c r="G34" s="1851">
        <v>0</v>
      </c>
      <c r="H34" s="1851">
        <v>0</v>
      </c>
      <c r="I34" s="1851">
        <v>0</v>
      </c>
      <c r="J34" s="1851">
        <v>166.953</v>
      </c>
      <c r="K34" s="1851">
        <v>100</v>
      </c>
      <c r="L34" s="1851">
        <v>0</v>
      </c>
      <c r="M34" s="1851">
        <v>0</v>
      </c>
      <c r="N34" s="1851">
        <v>0</v>
      </c>
      <c r="O34" s="1851">
        <v>0</v>
      </c>
      <c r="P34" s="1851">
        <v>0</v>
      </c>
      <c r="Q34" s="1851">
        <v>0</v>
      </c>
      <c r="R34" s="1851">
        <v>0</v>
      </c>
      <c r="S34" s="1851">
        <v>0</v>
      </c>
      <c r="T34" s="1851">
        <v>0</v>
      </c>
    </row>
    <row r="35" spans="1:20" ht="17.25" customHeight="1" x14ac:dyDescent="0.2">
      <c r="C35" s="2844" t="s">
        <v>823</v>
      </c>
      <c r="D35" s="37"/>
      <c r="E35" s="37"/>
      <c r="F35" s="37"/>
      <c r="G35" s="1851">
        <v>0</v>
      </c>
      <c r="H35" s="1851">
        <v>0</v>
      </c>
      <c r="I35" s="1851">
        <v>0</v>
      </c>
      <c r="J35" s="1851">
        <v>25.791</v>
      </c>
      <c r="K35" s="1851">
        <v>70</v>
      </c>
      <c r="L35" s="1851">
        <v>0</v>
      </c>
      <c r="M35" s="1851">
        <v>0</v>
      </c>
      <c r="N35" s="1851">
        <v>0</v>
      </c>
      <c r="O35" s="1851">
        <v>0</v>
      </c>
      <c r="P35" s="1851">
        <v>0</v>
      </c>
      <c r="Q35" s="1851">
        <v>0</v>
      </c>
      <c r="R35" s="1851">
        <v>0</v>
      </c>
      <c r="S35" s="1851">
        <v>0</v>
      </c>
      <c r="T35" s="1851">
        <v>0</v>
      </c>
    </row>
    <row r="36" spans="1:20" ht="17.25" customHeight="1" thickBot="1" x14ac:dyDescent="0.25">
      <c r="C36" s="2846" t="s">
        <v>571</v>
      </c>
      <c r="D36" s="37"/>
      <c r="E36" s="37"/>
      <c r="F36" s="37"/>
      <c r="G36" s="2274">
        <v>0</v>
      </c>
      <c r="H36" s="2274">
        <v>0</v>
      </c>
      <c r="I36" s="2274">
        <v>5.8879999999999999</v>
      </c>
      <c r="J36" s="2274">
        <v>40.792999999999999</v>
      </c>
      <c r="K36" s="2274">
        <v>57</v>
      </c>
      <c r="L36" s="2274">
        <v>0</v>
      </c>
      <c r="M36" s="2274">
        <v>0</v>
      </c>
      <c r="N36" s="2274">
        <v>0</v>
      </c>
      <c r="O36" s="2274">
        <v>0</v>
      </c>
      <c r="P36" s="2274">
        <v>0</v>
      </c>
      <c r="Q36" s="2274">
        <v>0</v>
      </c>
      <c r="R36" s="2274">
        <v>0</v>
      </c>
      <c r="S36" s="2274">
        <v>0</v>
      </c>
      <c r="T36" s="2274">
        <v>0</v>
      </c>
    </row>
    <row r="37" spans="1:20" ht="17.25" customHeight="1" thickBot="1" x14ac:dyDescent="0.25">
      <c r="C37" s="2610" t="s">
        <v>649</v>
      </c>
      <c r="D37" s="2611"/>
      <c r="E37" s="2611"/>
      <c r="F37" s="2611"/>
      <c r="G37" s="2611">
        <f t="shared" ref="G37:M37" si="3">SUM(G32:G36)</f>
        <v>0</v>
      </c>
      <c r="H37" s="2611">
        <f t="shared" si="3"/>
        <v>0</v>
      </c>
      <c r="I37" s="2611">
        <f t="shared" si="3"/>
        <v>5.8879999999999999</v>
      </c>
      <c r="J37" s="2611">
        <f t="shared" si="3"/>
        <v>233.53700000000001</v>
      </c>
      <c r="K37" s="2611">
        <f t="shared" si="3"/>
        <v>227</v>
      </c>
      <c r="L37" s="2611">
        <f t="shared" si="3"/>
        <v>294</v>
      </c>
      <c r="M37" s="2611">
        <f t="shared" si="3"/>
        <v>220</v>
      </c>
      <c r="N37" s="2611">
        <v>139.48799999999997</v>
      </c>
      <c r="O37" s="2611">
        <v>116.51599999999999</v>
      </c>
      <c r="P37" s="2611">
        <v>120.59558999999999</v>
      </c>
      <c r="Q37" s="2611">
        <f>SUM(Q30:Q36)</f>
        <v>57.900999999999996</v>
      </c>
      <c r="R37" s="2611">
        <f>SUM(R30:R36)</f>
        <v>289.33364554128491</v>
      </c>
      <c r="S37" s="2611">
        <f>SUM(S30:S36)</f>
        <v>289.33364554128491</v>
      </c>
      <c r="T37" s="2611">
        <f>SUM(T30:T36)</f>
        <v>289.33364554128491</v>
      </c>
    </row>
    <row r="38" spans="1:20" ht="17.25" customHeight="1" thickBot="1" x14ac:dyDescent="0.25">
      <c r="C38" s="2612" t="s">
        <v>650</v>
      </c>
      <c r="D38" s="37"/>
      <c r="E38" s="37"/>
      <c r="F38" s="37"/>
      <c r="G38" s="2208"/>
      <c r="H38" s="2208"/>
      <c r="I38" s="2208"/>
      <c r="J38" s="2208"/>
      <c r="K38" s="2208"/>
      <c r="L38" s="2208"/>
      <c r="M38" s="2208"/>
      <c r="N38" s="2208"/>
      <c r="O38" s="2208"/>
      <c r="P38" s="2208"/>
      <c r="Q38" s="2208"/>
      <c r="R38" s="2208"/>
      <c r="S38" s="2208"/>
      <c r="T38" s="2208"/>
    </row>
    <row r="39" spans="1:20" ht="17.25" customHeight="1" x14ac:dyDescent="0.2">
      <c r="C39" s="2310" t="s">
        <v>651</v>
      </c>
      <c r="D39" s="37"/>
      <c r="E39" s="37"/>
      <c r="F39" s="37"/>
      <c r="G39" s="1850">
        <v>43.792999999999999</v>
      </c>
      <c r="H39" s="1850">
        <v>52.783999999999999</v>
      </c>
      <c r="I39" s="1850">
        <v>56.061</v>
      </c>
      <c r="J39" s="1850">
        <v>55.744999999999997</v>
      </c>
      <c r="K39" s="1850">
        <f>55+22</f>
        <v>77</v>
      </c>
      <c r="L39" s="1850">
        <v>59</v>
      </c>
      <c r="M39" s="1850">
        <v>67</v>
      </c>
      <c r="N39" s="1850">
        <v>0</v>
      </c>
      <c r="O39" s="1850">
        <v>65.873999999999995</v>
      </c>
      <c r="P39" s="1850">
        <v>52.47813</v>
      </c>
      <c r="Q39" s="1850">
        <v>0</v>
      </c>
      <c r="R39" s="1850">
        <f>'CNG Table A'!G36/1000</f>
        <v>86.292000000000002</v>
      </c>
      <c r="S39" s="1850">
        <f>'CNG Table A'!J36/1000</f>
        <v>86.292000000000002</v>
      </c>
      <c r="T39" s="1850">
        <f>'CNG Table A'!M36/1000</f>
        <v>86.292000000000002</v>
      </c>
    </row>
    <row r="40" spans="1:20" ht="17.25" customHeight="1" x14ac:dyDescent="0.2">
      <c r="C40" s="2311" t="s">
        <v>652</v>
      </c>
      <c r="D40" s="37"/>
      <c r="E40" s="37"/>
      <c r="F40" s="37"/>
      <c r="G40" s="1851">
        <v>0</v>
      </c>
      <c r="H40" s="1851">
        <v>0</v>
      </c>
      <c r="I40" s="1851">
        <v>0</v>
      </c>
      <c r="J40" s="1851">
        <v>0</v>
      </c>
      <c r="K40" s="1851">
        <v>0</v>
      </c>
      <c r="L40" s="1851">
        <v>-7</v>
      </c>
      <c r="M40" s="1851">
        <v>23</v>
      </c>
      <c r="N40" s="1851">
        <v>0</v>
      </c>
      <c r="O40" s="1851">
        <v>0</v>
      </c>
      <c r="P40" s="1851">
        <v>0</v>
      </c>
      <c r="Q40" s="1851">
        <v>0</v>
      </c>
      <c r="R40" s="1851">
        <f>'CNG Table A'!G37/1000</f>
        <v>20</v>
      </c>
      <c r="S40" s="1851">
        <f>'CNG Table A'!J37/1000</f>
        <v>20</v>
      </c>
      <c r="T40" s="1851">
        <f>'CNG Table A'!M37/1000</f>
        <v>20</v>
      </c>
    </row>
    <row r="41" spans="1:20" ht="17.25" customHeight="1" x14ac:dyDescent="0.2">
      <c r="C41" s="2311" t="s">
        <v>653</v>
      </c>
      <c r="D41" s="37"/>
      <c r="E41" s="37"/>
      <c r="F41" s="37"/>
      <c r="G41" s="1851">
        <v>0</v>
      </c>
      <c r="H41" s="1851">
        <v>0</v>
      </c>
      <c r="I41" s="1851">
        <v>79.2</v>
      </c>
      <c r="J41" s="1851">
        <v>0</v>
      </c>
      <c r="K41" s="1851">
        <v>0</v>
      </c>
      <c r="L41" s="1851">
        <v>7</v>
      </c>
      <c r="M41" s="1851">
        <v>16</v>
      </c>
      <c r="N41" s="1851">
        <v>54.780999999999999</v>
      </c>
      <c r="O41" s="1851">
        <v>36.634</v>
      </c>
      <c r="P41" s="1851">
        <v>20.163810000000002</v>
      </c>
      <c r="Q41" s="1851">
        <v>11.573</v>
      </c>
      <c r="R41" s="1851">
        <f>'CNG Table A'!G38/1000</f>
        <v>50</v>
      </c>
      <c r="S41" s="1851">
        <f>'CNG Table A'!J38/1000</f>
        <v>50</v>
      </c>
      <c r="T41" s="1851">
        <f>'CNG Table A'!M38/1000</f>
        <v>50</v>
      </c>
    </row>
    <row r="42" spans="1:20" ht="17.25" customHeight="1" x14ac:dyDescent="0.2">
      <c r="C42" s="2311" t="s">
        <v>654</v>
      </c>
      <c r="D42" s="37"/>
      <c r="E42" s="37"/>
      <c r="F42" s="37"/>
      <c r="G42" s="1851">
        <v>0</v>
      </c>
      <c r="H42" s="1851">
        <v>0</v>
      </c>
      <c r="I42" s="1851">
        <v>0</v>
      </c>
      <c r="J42" s="1851">
        <v>37.332000000000001</v>
      </c>
      <c r="K42" s="1851">
        <v>41.332999999999998</v>
      </c>
      <c r="L42" s="1851">
        <v>0</v>
      </c>
      <c r="M42" s="1851">
        <v>0</v>
      </c>
      <c r="N42" s="1851">
        <v>0</v>
      </c>
      <c r="O42" s="1851">
        <v>0</v>
      </c>
      <c r="P42" s="1851">
        <v>0</v>
      </c>
      <c r="Q42" s="1851">
        <v>0</v>
      </c>
      <c r="R42" s="1851">
        <v>0</v>
      </c>
      <c r="S42" s="1851">
        <v>0</v>
      </c>
      <c r="T42" s="1851">
        <v>0</v>
      </c>
    </row>
    <row r="43" spans="1:20" ht="17.25" customHeight="1" x14ac:dyDescent="0.2">
      <c r="C43" s="2311" t="s">
        <v>655</v>
      </c>
      <c r="D43" s="37"/>
      <c r="E43" s="37"/>
      <c r="F43" s="37"/>
      <c r="G43" s="1851">
        <v>0</v>
      </c>
      <c r="H43" s="1851">
        <v>0</v>
      </c>
      <c r="I43" s="1851">
        <v>0</v>
      </c>
      <c r="J43" s="1851">
        <v>5.9180000000000001</v>
      </c>
      <c r="K43" s="1851">
        <v>3</v>
      </c>
      <c r="L43" s="1851">
        <v>0</v>
      </c>
      <c r="M43" s="1851">
        <v>0</v>
      </c>
      <c r="N43" s="1851">
        <v>0</v>
      </c>
      <c r="O43" s="1851">
        <v>0</v>
      </c>
      <c r="P43" s="1851">
        <v>0</v>
      </c>
      <c r="Q43" s="1851">
        <v>0</v>
      </c>
      <c r="R43" s="1851">
        <v>0</v>
      </c>
      <c r="S43" s="1851">
        <v>0</v>
      </c>
      <c r="T43" s="1851">
        <v>0</v>
      </c>
    </row>
    <row r="44" spans="1:20" ht="17.25" customHeight="1" thickBot="1" x14ac:dyDescent="0.25">
      <c r="C44" s="2311" t="s">
        <v>656</v>
      </c>
      <c r="D44" s="37"/>
      <c r="E44" s="37"/>
      <c r="F44" s="37"/>
      <c r="G44" s="1851">
        <v>0</v>
      </c>
      <c r="H44" s="1851">
        <v>0</v>
      </c>
      <c r="I44" s="1851">
        <v>17.603000000000002</v>
      </c>
      <c r="J44" s="1851">
        <v>0</v>
      </c>
      <c r="K44" s="1851">
        <v>9</v>
      </c>
      <c r="L44" s="1851">
        <v>0</v>
      </c>
      <c r="M44" s="1851">
        <v>0</v>
      </c>
      <c r="N44" s="1851">
        <v>0</v>
      </c>
      <c r="O44" s="1851">
        <v>0</v>
      </c>
      <c r="P44" s="1851">
        <v>0</v>
      </c>
      <c r="Q44" s="1851">
        <v>0</v>
      </c>
      <c r="R44" s="1851">
        <v>0</v>
      </c>
      <c r="S44" s="1851">
        <v>0</v>
      </c>
      <c r="T44" s="1851">
        <v>0</v>
      </c>
    </row>
    <row r="45" spans="1:20" ht="17.25" hidden="1" customHeight="1" thickBot="1" x14ac:dyDescent="0.25">
      <c r="C45" s="2311" t="s">
        <v>657</v>
      </c>
      <c r="D45" s="37"/>
      <c r="E45" s="37"/>
      <c r="F45" s="37"/>
      <c r="G45" s="1851">
        <v>0</v>
      </c>
      <c r="H45" s="1851">
        <v>0</v>
      </c>
      <c r="I45" s="1851">
        <v>0</v>
      </c>
      <c r="J45" s="1851">
        <v>0</v>
      </c>
      <c r="K45" s="1851">
        <v>0</v>
      </c>
      <c r="L45" s="1851">
        <v>0</v>
      </c>
      <c r="M45" s="1851">
        <v>0</v>
      </c>
      <c r="N45" s="1851">
        <v>0</v>
      </c>
      <c r="O45" s="1851">
        <v>0</v>
      </c>
      <c r="P45" s="1851">
        <v>0</v>
      </c>
      <c r="Q45" s="1851">
        <v>0</v>
      </c>
      <c r="R45" s="1851">
        <v>0</v>
      </c>
      <c r="S45" s="1851">
        <v>0</v>
      </c>
      <c r="T45" s="1851">
        <v>0</v>
      </c>
    </row>
    <row r="46" spans="1:20" ht="17.25" hidden="1" customHeight="1" thickBot="1" x14ac:dyDescent="0.25">
      <c r="C46" s="2311" t="s">
        <v>658</v>
      </c>
      <c r="D46" s="37"/>
      <c r="E46" s="37"/>
      <c r="F46" s="37"/>
      <c r="G46" s="1851">
        <v>0</v>
      </c>
      <c r="H46" s="1851">
        <v>0</v>
      </c>
      <c r="I46" s="1851">
        <v>0</v>
      </c>
      <c r="J46" s="1851">
        <v>0</v>
      </c>
      <c r="K46" s="1851">
        <v>0</v>
      </c>
      <c r="L46" s="1851">
        <v>0</v>
      </c>
      <c r="M46" s="1851">
        <v>0</v>
      </c>
      <c r="N46" s="1851">
        <v>0</v>
      </c>
      <c r="O46" s="1851">
        <v>0</v>
      </c>
      <c r="P46" s="1851">
        <v>0</v>
      </c>
      <c r="Q46" s="1851">
        <v>0</v>
      </c>
      <c r="R46" s="1851">
        <v>0</v>
      </c>
      <c r="S46" s="1851">
        <v>0</v>
      </c>
      <c r="T46" s="1851">
        <v>0</v>
      </c>
    </row>
    <row r="47" spans="1:20" ht="17.25" hidden="1" customHeight="1" thickBot="1" x14ac:dyDescent="0.25">
      <c r="C47" s="2312" t="s">
        <v>659</v>
      </c>
      <c r="D47" s="37"/>
      <c r="E47" s="37"/>
      <c r="F47" s="37"/>
      <c r="G47" s="2274">
        <v>0</v>
      </c>
      <c r="H47" s="2274">
        <v>0</v>
      </c>
      <c r="I47" s="2274">
        <v>0</v>
      </c>
      <c r="J47" s="2274">
        <v>0</v>
      </c>
      <c r="K47" s="2274">
        <v>0</v>
      </c>
      <c r="L47" s="2274">
        <v>0</v>
      </c>
      <c r="M47" s="2274">
        <v>0</v>
      </c>
      <c r="N47" s="2274">
        <v>0</v>
      </c>
      <c r="O47" s="2274">
        <v>0</v>
      </c>
      <c r="P47" s="2274">
        <v>0</v>
      </c>
      <c r="Q47" s="2274">
        <v>0</v>
      </c>
      <c r="R47" s="2274">
        <v>0</v>
      </c>
      <c r="S47" s="2274">
        <v>0</v>
      </c>
      <c r="T47" s="2274">
        <v>0</v>
      </c>
    </row>
    <row r="48" spans="1:20" ht="17.25" customHeight="1" thickBot="1" x14ac:dyDescent="0.25">
      <c r="C48" s="2610" t="s">
        <v>660</v>
      </c>
      <c r="D48" s="2611"/>
      <c r="E48" s="2611"/>
      <c r="F48" s="2611"/>
      <c r="G48" s="2611">
        <f t="shared" ref="G48:M48" si="4">SUM(G39:G47)</f>
        <v>43.792999999999999</v>
      </c>
      <c r="H48" s="2611">
        <f t="shared" si="4"/>
        <v>52.783999999999999</v>
      </c>
      <c r="I48" s="2611">
        <f t="shared" si="4"/>
        <v>152.864</v>
      </c>
      <c r="J48" s="2611">
        <f t="shared" si="4"/>
        <v>98.995000000000005</v>
      </c>
      <c r="K48" s="2611">
        <f t="shared" si="4"/>
        <v>130.333</v>
      </c>
      <c r="L48" s="2611">
        <f t="shared" si="4"/>
        <v>59</v>
      </c>
      <c r="M48" s="2611">
        <f t="shared" si="4"/>
        <v>106</v>
      </c>
      <c r="N48" s="2611">
        <v>54.780999999999999</v>
      </c>
      <c r="O48" s="2611">
        <v>102.508</v>
      </c>
      <c r="P48" s="2611">
        <v>72.641940000000005</v>
      </c>
      <c r="Q48" s="2611">
        <f>SUM(Q39:Q47)</f>
        <v>11.573</v>
      </c>
      <c r="R48" s="2611">
        <f>SUM(R39:R47)</f>
        <v>156.292</v>
      </c>
      <c r="S48" s="2611">
        <f>SUM(S39:S47)</f>
        <v>156.292</v>
      </c>
      <c r="T48" s="2611">
        <f>SUM(T39:T47)</f>
        <v>156.292</v>
      </c>
    </row>
    <row r="49" spans="3:20" ht="17.25" customHeight="1" thickBot="1" x14ac:dyDescent="0.25">
      <c r="C49" s="2612" t="s">
        <v>661</v>
      </c>
      <c r="D49" s="37"/>
      <c r="E49" s="37"/>
      <c r="F49" s="37"/>
      <c r="G49" s="2208"/>
      <c r="H49" s="2208"/>
      <c r="I49" s="2208"/>
      <c r="J49" s="2208"/>
      <c r="K49" s="2208"/>
      <c r="L49" s="2208"/>
      <c r="M49" s="2208"/>
      <c r="N49" s="2208"/>
      <c r="O49" s="2208"/>
      <c r="P49" s="2208"/>
      <c r="Q49" s="2208"/>
      <c r="R49" s="2208"/>
      <c r="S49" s="2208"/>
      <c r="T49" s="2208"/>
    </row>
    <row r="50" spans="3:20" ht="17.25" customHeight="1" x14ac:dyDescent="0.2">
      <c r="C50" s="2310" t="s">
        <v>662</v>
      </c>
      <c r="D50" s="37"/>
      <c r="E50" s="37"/>
      <c r="F50" s="37"/>
      <c r="G50" s="1850">
        <v>0</v>
      </c>
      <c r="H50" s="1850">
        <v>0</v>
      </c>
      <c r="I50" s="1850">
        <v>89.998999999999995</v>
      </c>
      <c r="J50" s="1850">
        <v>129.99299999999999</v>
      </c>
      <c r="K50" s="1850">
        <v>237</v>
      </c>
      <c r="L50" s="1850">
        <v>130</v>
      </c>
      <c r="M50" s="1850">
        <v>172</v>
      </c>
      <c r="N50" s="1850">
        <v>143.23699999999999</v>
      </c>
      <c r="O50" s="1850">
        <v>119.626</v>
      </c>
      <c r="P50" s="1850">
        <v>81.470300000000009</v>
      </c>
      <c r="Q50" s="1850">
        <f>'CNG Table A'!E41/1000</f>
        <v>207.327</v>
      </c>
      <c r="R50" s="1850">
        <f>'CNG Table A'!G41/1000</f>
        <v>188.01069849999999</v>
      </c>
      <c r="S50" s="1850">
        <f>'CNG Table A'!J41/1000</f>
        <v>188.01069849999999</v>
      </c>
      <c r="T50" s="1850">
        <f>'CNG Table A'!M41/1000</f>
        <v>188.01069849999999</v>
      </c>
    </row>
    <row r="51" spans="3:20" ht="17.25" customHeight="1" x14ac:dyDescent="0.2">
      <c r="C51" s="2311" t="s">
        <v>663</v>
      </c>
      <c r="D51" s="37"/>
      <c r="E51" s="37"/>
      <c r="F51" s="37"/>
      <c r="G51" s="1851">
        <v>0</v>
      </c>
      <c r="H51" s="1851">
        <v>0</v>
      </c>
      <c r="I51" s="1851">
        <v>0</v>
      </c>
      <c r="J51" s="1851">
        <v>96.997</v>
      </c>
      <c r="K51" s="1851">
        <v>85</v>
      </c>
      <c r="L51" s="1851">
        <v>109</v>
      </c>
      <c r="M51" s="1851">
        <v>73</v>
      </c>
      <c r="N51" s="1851">
        <v>31.196000000000002</v>
      </c>
      <c r="O51" s="1851">
        <v>18.172999999999998</v>
      </c>
      <c r="P51" s="1851">
        <v>10.695800000000004</v>
      </c>
      <c r="Q51" s="1851">
        <f>'CNG Table A'!E42/1000</f>
        <v>72.13</v>
      </c>
      <c r="R51" s="1851">
        <f>'CNG Table A'!G42/1000</f>
        <v>40.1</v>
      </c>
      <c r="S51" s="1851">
        <f>'CNG Table A'!J42/1000</f>
        <v>40.1</v>
      </c>
      <c r="T51" s="1851">
        <f>'CNG Table A'!M42/1000</f>
        <v>40.1</v>
      </c>
    </row>
    <row r="52" spans="3:20" ht="17.25" customHeight="1" x14ac:dyDescent="0.2">
      <c r="C52" s="2311" t="s">
        <v>548</v>
      </c>
      <c r="D52" s="37"/>
      <c r="E52" s="37"/>
      <c r="F52" s="37"/>
      <c r="G52" s="1851">
        <v>47.598999999999997</v>
      </c>
      <c r="H52" s="1851">
        <v>21.094000000000001</v>
      </c>
      <c r="I52" s="1851">
        <v>144.73500000000001</v>
      </c>
      <c r="J52" s="1851">
        <v>99.444999999999993</v>
      </c>
      <c r="K52" s="1851">
        <v>101</v>
      </c>
      <c r="L52" s="1851">
        <v>141</v>
      </c>
      <c r="M52" s="1851">
        <v>169</v>
      </c>
      <c r="N52" s="1851">
        <v>108.069</v>
      </c>
      <c r="O52" s="1851">
        <v>114.452</v>
      </c>
      <c r="P52" s="1851">
        <v>114.34337999999998</v>
      </c>
      <c r="Q52" s="1851">
        <f>'CNG Table A'!E43/1000</f>
        <v>99.898399999999995</v>
      </c>
      <c r="R52" s="1851">
        <f>'CNG Table A'!G43/1000</f>
        <v>122.14774150000001</v>
      </c>
      <c r="S52" s="1851">
        <f>'CNG Table A'!J43/1000</f>
        <v>122.14774150000001</v>
      </c>
      <c r="T52" s="1851">
        <f>'CNG Table A'!M43/1000</f>
        <v>122.14774150000001</v>
      </c>
    </row>
    <row r="53" spans="3:20" ht="17.25" customHeight="1" x14ac:dyDescent="0.2">
      <c r="C53" s="2311" t="s">
        <v>639</v>
      </c>
      <c r="D53" s="37"/>
      <c r="E53" s="37"/>
      <c r="F53" s="37"/>
      <c r="G53" s="1851">
        <v>15.472</v>
      </c>
      <c r="H53" s="1851">
        <v>42.59</v>
      </c>
      <c r="I53" s="1851">
        <v>35.670999999999999</v>
      </c>
      <c r="J53" s="1851">
        <v>132.22900000000001</v>
      </c>
      <c r="K53" s="1851">
        <v>231</v>
      </c>
      <c r="L53" s="1851">
        <v>200</v>
      </c>
      <c r="M53" s="1851">
        <v>200</v>
      </c>
      <c r="N53" s="1851">
        <v>217.51400000000001</v>
      </c>
      <c r="O53" s="1851">
        <v>217.523</v>
      </c>
      <c r="P53" s="1851">
        <v>197.79212000000004</v>
      </c>
      <c r="Q53" s="1851">
        <f>'CNG Table A'!E44/1000</f>
        <v>200</v>
      </c>
      <c r="R53" s="1851">
        <f>'CNG Table A'!G44/1000</f>
        <v>300</v>
      </c>
      <c r="S53" s="1851">
        <f>'CNG Table A'!J44/1000</f>
        <v>300</v>
      </c>
      <c r="T53" s="1851">
        <f>'CNG Table A'!M44/1000</f>
        <v>300</v>
      </c>
    </row>
    <row r="54" spans="3:20" ht="17.25" customHeight="1" x14ac:dyDescent="0.2">
      <c r="C54" s="2311" t="s">
        <v>640</v>
      </c>
      <c r="D54" s="37"/>
      <c r="E54" s="37"/>
      <c r="F54" s="37"/>
      <c r="G54" s="1851">
        <v>0</v>
      </c>
      <c r="H54" s="1851">
        <v>0</v>
      </c>
      <c r="I54" s="1851">
        <v>0</v>
      </c>
      <c r="J54" s="1851">
        <v>25.515999999999998</v>
      </c>
      <c r="K54" s="1851">
        <v>26</v>
      </c>
      <c r="L54" s="1851">
        <v>20</v>
      </c>
      <c r="M54" s="1851">
        <v>20</v>
      </c>
      <c r="N54" s="1851">
        <v>18.667000000000002</v>
      </c>
      <c r="O54" s="1851">
        <v>18.667000000000002</v>
      </c>
      <c r="P54" s="1851">
        <v>21.866</v>
      </c>
      <c r="Q54" s="1851">
        <f>'CNG Table A'!E45/1000</f>
        <v>21.931000000000001</v>
      </c>
      <c r="R54" s="1851">
        <f>'CNG Table A'!G45/1000</f>
        <v>29.606999999999999</v>
      </c>
      <c r="S54" s="1851">
        <f>'CNG Table A'!J45/1000</f>
        <v>29.606999999999999</v>
      </c>
      <c r="T54" s="1851">
        <f>'CNG Table A'!M45/1000</f>
        <v>29.606999999999999</v>
      </c>
    </row>
    <row r="55" spans="3:20" ht="17.25" customHeight="1" x14ac:dyDescent="0.2">
      <c r="C55" s="2311" t="s">
        <v>664</v>
      </c>
      <c r="D55" s="37"/>
      <c r="E55" s="37"/>
      <c r="F55" s="37"/>
      <c r="G55" s="1851">
        <v>48.216000000000001</v>
      </c>
      <c r="H55" s="1851">
        <v>25.439</v>
      </c>
      <c r="I55" s="1851">
        <v>49.237000000000002</v>
      </c>
      <c r="J55" s="1851">
        <v>101.056</v>
      </c>
      <c r="K55" s="1851">
        <v>141</v>
      </c>
      <c r="L55" s="1851">
        <v>109</v>
      </c>
      <c r="M55" s="1851">
        <v>107</v>
      </c>
      <c r="N55" s="1851">
        <v>150.315</v>
      </c>
      <c r="O55" s="1851">
        <v>148.06299999999999</v>
      </c>
      <c r="P55" s="1851">
        <v>97.801999999999992</v>
      </c>
      <c r="Q55" s="1851">
        <f>'CNG Table A'!E46/1000</f>
        <v>339.84848999999997</v>
      </c>
      <c r="R55" s="1851">
        <f>'CNG Table A'!G46/1000</f>
        <v>584.82174549999991</v>
      </c>
      <c r="S55" s="1851">
        <f>'CNG Table A'!J46/1000</f>
        <v>284.82174550000002</v>
      </c>
      <c r="T55" s="1851">
        <f>'CNG Table A'!M46/1000</f>
        <v>260.82174549999996</v>
      </c>
    </row>
    <row r="56" spans="3:20" ht="17.25" customHeight="1" x14ac:dyDescent="0.2">
      <c r="C56" s="2311" t="s">
        <v>641</v>
      </c>
      <c r="D56" s="37"/>
      <c r="E56" s="37"/>
      <c r="F56" s="37"/>
      <c r="G56" s="1851">
        <v>16.762</v>
      </c>
      <c r="H56" s="1851">
        <v>8.1980000000000004</v>
      </c>
      <c r="I56" s="1851">
        <v>43.079000000000001</v>
      </c>
      <c r="J56" s="1851">
        <v>24.398</v>
      </c>
      <c r="K56" s="1851">
        <v>63</v>
      </c>
      <c r="L56" s="1851">
        <v>43</v>
      </c>
      <c r="M56" s="1851">
        <v>43</v>
      </c>
      <c r="N56" s="1851">
        <v>31.893000000000001</v>
      </c>
      <c r="O56" s="1851">
        <v>30.847000000000001</v>
      </c>
      <c r="P56" s="1851">
        <v>43.332839999999997</v>
      </c>
      <c r="Q56" s="1851">
        <f>'CNG Table A'!E47/1000</f>
        <v>43.332999999999998</v>
      </c>
      <c r="R56" s="1851">
        <f>'CNG Table A'!G47/1000</f>
        <v>53.332999999999998</v>
      </c>
      <c r="S56" s="1851">
        <f>'CNG Table A'!J47/1000</f>
        <v>53.332999999999998</v>
      </c>
      <c r="T56" s="1851">
        <f>'CNG Table A'!M47/1000</f>
        <v>53.332999999999998</v>
      </c>
    </row>
    <row r="57" spans="3:20" ht="17.25" customHeight="1" x14ac:dyDescent="0.2">
      <c r="C57" s="2311" t="s">
        <v>642</v>
      </c>
      <c r="D57" s="37"/>
      <c r="E57" s="37"/>
      <c r="F57" s="37"/>
      <c r="G57" s="1851">
        <v>0</v>
      </c>
      <c r="H57" s="1851">
        <v>0</v>
      </c>
      <c r="I57" s="1851">
        <v>0</v>
      </c>
      <c r="J57" s="1851">
        <v>0</v>
      </c>
      <c r="K57" s="1851">
        <v>0</v>
      </c>
      <c r="L57" s="1851">
        <v>0</v>
      </c>
      <c r="M57" s="1851">
        <v>10</v>
      </c>
      <c r="N57" s="1851">
        <v>4.2</v>
      </c>
      <c r="O57" s="1851">
        <v>10</v>
      </c>
      <c r="P57" s="1851">
        <v>1.5969099999999998</v>
      </c>
      <c r="Q57" s="1851">
        <f>'CNG Table A'!E48/1000</f>
        <v>10</v>
      </c>
      <c r="R57" s="1851">
        <f>'CNG Table A'!G48/1000</f>
        <v>10</v>
      </c>
      <c r="S57" s="1851">
        <f>'CNG Table A'!J48/1000</f>
        <v>10</v>
      </c>
      <c r="T57" s="1851">
        <f>'CNG Table A'!M48/1000</f>
        <v>10</v>
      </c>
    </row>
    <row r="58" spans="3:20" ht="17.25" customHeight="1" thickBot="1" x14ac:dyDescent="0.25">
      <c r="C58" s="2311" t="s">
        <v>643</v>
      </c>
      <c r="D58" s="37"/>
      <c r="E58" s="37"/>
      <c r="F58" s="37"/>
      <c r="G58" s="2274">
        <v>0</v>
      </c>
      <c r="H58" s="2274">
        <v>0</v>
      </c>
      <c r="I58" s="2274">
        <v>601.048</v>
      </c>
      <c r="J58" s="2274">
        <v>598.29200000000003</v>
      </c>
      <c r="K58" s="2274">
        <v>733</v>
      </c>
      <c r="L58" s="2274">
        <v>687</v>
      </c>
      <c r="M58" s="2274">
        <v>896</v>
      </c>
      <c r="N58" s="2274">
        <v>877.25800000000004</v>
      </c>
      <c r="O58" s="2274">
        <v>854.44299999999998</v>
      </c>
      <c r="P58" s="2274">
        <v>727.76522999999997</v>
      </c>
      <c r="Q58" s="2274">
        <f>'CNG Table A'!E49/1000</f>
        <v>459.60599999999999</v>
      </c>
      <c r="R58" s="2274">
        <f ca="1">'CNG Table A'!G49/1000</f>
        <v>701.10385858006669</v>
      </c>
      <c r="S58" s="2274">
        <f ca="1">'CNG Table A'!J49/1000</f>
        <v>775.64747950104515</v>
      </c>
      <c r="T58" s="2274">
        <f ca="1">'CNG Table A'!M49/1000</f>
        <v>778.90906351248736</v>
      </c>
    </row>
    <row r="59" spans="3:20" ht="17.25" customHeight="1" thickBot="1" x14ac:dyDescent="0.25">
      <c r="C59" s="2610" t="s">
        <v>665</v>
      </c>
      <c r="D59" s="2611"/>
      <c r="E59" s="2611"/>
      <c r="F59" s="2611"/>
      <c r="G59" s="2611">
        <f t="shared" ref="G59:M59" si="5">SUM(G50:G58)</f>
        <v>128.04900000000001</v>
      </c>
      <c r="H59" s="2611">
        <f t="shared" si="5"/>
        <v>97.320999999999998</v>
      </c>
      <c r="I59" s="2611">
        <f t="shared" si="5"/>
        <v>963.76900000000001</v>
      </c>
      <c r="J59" s="2611">
        <f t="shared" si="5"/>
        <v>1207.9259999999999</v>
      </c>
      <c r="K59" s="2611">
        <f t="shared" si="5"/>
        <v>1617</v>
      </c>
      <c r="L59" s="2611">
        <f t="shared" si="5"/>
        <v>1439</v>
      </c>
      <c r="M59" s="2611">
        <f t="shared" si="5"/>
        <v>1690</v>
      </c>
      <c r="N59" s="2611">
        <v>1582.3490000000002</v>
      </c>
      <c r="O59" s="2611">
        <f t="shared" ref="O59:T59" si="6">SUM(O50:O58)</f>
        <v>1531.7939999999999</v>
      </c>
      <c r="P59" s="2611">
        <f t="shared" si="6"/>
        <v>1296.6645800000001</v>
      </c>
      <c r="Q59" s="2611">
        <f t="shared" si="6"/>
        <v>1454.0738899999999</v>
      </c>
      <c r="R59" s="2611">
        <f t="shared" ca="1" si="6"/>
        <v>2029.1240440800666</v>
      </c>
      <c r="S59" s="2611">
        <f t="shared" ca="1" si="6"/>
        <v>1803.6676650010452</v>
      </c>
      <c r="T59" s="2611">
        <f t="shared" ca="1" si="6"/>
        <v>1782.9292490124872</v>
      </c>
    </row>
    <row r="60" spans="3:20" ht="17.25" customHeight="1" thickBot="1" x14ac:dyDescent="0.25">
      <c r="C60" s="2610" t="s">
        <v>666</v>
      </c>
      <c r="D60" s="2611"/>
      <c r="E60" s="2611"/>
      <c r="F60" s="2611"/>
      <c r="G60" s="2611" t="e">
        <f t="shared" ref="G60:M60" si="7">G15+G22+G37+G48+G59</f>
        <v>#REF!</v>
      </c>
      <c r="H60" s="2611" t="e">
        <f t="shared" si="7"/>
        <v>#REF!</v>
      </c>
      <c r="I60" s="2611">
        <f t="shared" si="7"/>
        <v>8450.114999999998</v>
      </c>
      <c r="J60" s="2611">
        <f t="shared" si="7"/>
        <v>12864.99</v>
      </c>
      <c r="K60" s="2611">
        <f t="shared" si="7"/>
        <v>13306.333000000001</v>
      </c>
      <c r="L60" s="2611">
        <f t="shared" si="7"/>
        <v>14713</v>
      </c>
      <c r="M60" s="2611">
        <f t="shared" si="7"/>
        <v>16207</v>
      </c>
      <c r="N60" s="2611">
        <v>15120.128999999999</v>
      </c>
      <c r="O60" s="2611">
        <f>O15+O22+O37+O48+O59</f>
        <v>14185.296999999999</v>
      </c>
      <c r="P60" s="2611">
        <f>P15+P22+P37+P48+P59</f>
        <v>12884.689110000001</v>
      </c>
      <c r="Q60" s="2611">
        <f>Q15+Q22+Q37+Q48+Q59</f>
        <v>17873.099890000001</v>
      </c>
      <c r="R60" s="2611">
        <f ca="1">'CNG Table A'!G51/1000</f>
        <v>14816.12103392483</v>
      </c>
      <c r="S60" s="2611">
        <f ca="1">'CNG Table A'!J51/1000</f>
        <v>16381.537071539542</v>
      </c>
      <c r="T60" s="2611">
        <f ca="1">'CNG Table A'!M51/1000</f>
        <v>16450.030335762232</v>
      </c>
    </row>
    <row r="62" spans="3:20" x14ac:dyDescent="0.2">
      <c r="R62" s="14">
        <f ca="1">+R60*1000-'CNG Table A'!G60</f>
        <v>0</v>
      </c>
      <c r="S62" s="14">
        <f ca="1">+S60*1000-'CNG Table A'!J60</f>
        <v>0</v>
      </c>
      <c r="T62" s="14">
        <f ca="1">+T60*1000-'CNG Table A'!M60</f>
        <v>0</v>
      </c>
    </row>
  </sheetData>
  <mergeCells count="2">
    <mergeCell ref="C2:P2"/>
    <mergeCell ref="C3:P3"/>
  </mergeCells>
  <printOptions horizontalCentered="1"/>
  <pageMargins left="0.5" right="0.5" top="0.75" bottom="0.75" header="0.5" footer="0.25"/>
  <pageSetup scale="55" orientation="landscape" r:id="rId1"/>
  <headerFooter alignWithMargins="0">
    <oddFooter>&amp;C&amp;1#&amp;"Calibri"&amp;12&amp;K008000Internal Use</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59">
    <pageSetUpPr fitToPage="1"/>
  </sheetPr>
  <dimension ref="A1:V56"/>
  <sheetViews>
    <sheetView zoomScaleNormal="100" workbookViewId="0">
      <pane xSplit="10" ySplit="7" topLeftCell="K30" activePane="bottomRight" state="frozen"/>
      <selection pane="topRight" activeCell="K1" sqref="K1"/>
      <selection pane="bottomLeft" activeCell="A8" sqref="A8"/>
      <selection pane="bottomRight" activeCell="V18" sqref="V18"/>
    </sheetView>
  </sheetViews>
  <sheetFormatPr defaultRowHeight="12.75" x14ac:dyDescent="0.2"/>
  <cols>
    <col min="1" max="1" width="6.28515625" customWidth="1"/>
    <col min="2" max="2" width="12.7109375" customWidth="1"/>
    <col min="3" max="3" width="60.7109375" customWidth="1"/>
    <col min="4" max="10" width="11.7109375" hidden="1" customWidth="1"/>
    <col min="11" max="17" width="11.7109375" customWidth="1"/>
    <col min="18" max="18" width="11.7109375" style="3" customWidth="1"/>
    <col min="19" max="19" width="11.7109375" customWidth="1"/>
    <col min="20" max="20" width="10.28515625" bestFit="1" customWidth="1"/>
    <col min="21" max="22" width="10.5703125" bestFit="1" customWidth="1"/>
  </cols>
  <sheetData>
    <row r="1" spans="1:22" ht="23.25" x14ac:dyDescent="0.35">
      <c r="C1" s="501"/>
    </row>
    <row r="2" spans="1:22" ht="21" customHeight="1" x14ac:dyDescent="0.3">
      <c r="A2" s="3"/>
      <c r="B2" s="3"/>
      <c r="C2" s="2474" t="s">
        <v>425</v>
      </c>
      <c r="D2" s="2474"/>
      <c r="E2" s="2474"/>
      <c r="F2" s="2474"/>
      <c r="G2" s="2474"/>
      <c r="H2" s="2474"/>
      <c r="I2" s="2474"/>
      <c r="J2" s="2474"/>
      <c r="K2" s="2474"/>
      <c r="L2" s="2474"/>
      <c r="M2" s="2474"/>
      <c r="N2" s="2474"/>
      <c r="O2" s="2474"/>
      <c r="P2" s="2474"/>
      <c r="Q2" s="2474"/>
      <c r="R2" s="2474"/>
      <c r="S2" s="2474"/>
    </row>
    <row r="3" spans="1:22" ht="24" customHeight="1" x14ac:dyDescent="0.3">
      <c r="A3" s="3"/>
      <c r="B3" s="2502"/>
      <c r="C3" s="2614" t="s">
        <v>353</v>
      </c>
      <c r="D3" s="2614"/>
      <c r="E3" s="2614"/>
      <c r="F3" s="2614"/>
      <c r="G3" s="2614"/>
      <c r="H3" s="2614"/>
      <c r="I3" s="2614"/>
      <c r="J3" s="2614"/>
      <c r="K3" s="2614"/>
      <c r="L3" s="2614"/>
      <c r="M3" s="2614"/>
      <c r="N3" s="2614"/>
      <c r="O3" s="2614"/>
      <c r="P3" s="2614"/>
      <c r="Q3" s="2614"/>
      <c r="R3" s="2614"/>
      <c r="S3" s="2614"/>
    </row>
    <row r="4" spans="1:22" ht="24" customHeight="1" thickBot="1" x14ac:dyDescent="0.35">
      <c r="A4" s="3"/>
      <c r="B4" s="2502"/>
      <c r="C4" s="213"/>
      <c r="D4" s="2599"/>
      <c r="E4" s="33"/>
      <c r="F4" s="33"/>
      <c r="G4" s="33"/>
      <c r="H4" s="33"/>
      <c r="I4" s="33"/>
      <c r="J4" s="33"/>
      <c r="K4" s="33"/>
      <c r="L4" s="33"/>
      <c r="M4" s="33"/>
      <c r="N4" s="33"/>
      <c r="O4" s="33"/>
      <c r="P4" s="33"/>
      <c r="Q4" s="33"/>
      <c r="R4" s="1023"/>
      <c r="S4" s="33"/>
    </row>
    <row r="5" spans="1:22" ht="24" customHeight="1" thickBot="1" x14ac:dyDescent="0.35">
      <c r="A5" s="3"/>
      <c r="B5" s="2502"/>
      <c r="C5" s="2600" t="s">
        <v>351</v>
      </c>
      <c r="D5" s="2601"/>
      <c r="E5" s="2601"/>
      <c r="F5" s="2601"/>
      <c r="G5" s="2601"/>
      <c r="H5" s="2601"/>
      <c r="I5" s="2601"/>
      <c r="J5" s="2601"/>
      <c r="K5" s="2601"/>
      <c r="L5" s="2601"/>
      <c r="M5" s="2601"/>
      <c r="N5" s="2601"/>
      <c r="O5" s="2601"/>
      <c r="P5" s="2602"/>
      <c r="Q5" s="2601"/>
      <c r="R5" s="2601"/>
      <c r="S5" s="2602"/>
      <c r="T5" s="2757"/>
      <c r="U5" s="2757"/>
      <c r="V5" s="2758"/>
    </row>
    <row r="6" spans="1:22" ht="14.2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c r="T6" s="981">
        <v>2022</v>
      </c>
      <c r="U6" s="981">
        <v>2023</v>
      </c>
      <c r="V6" s="981">
        <v>2024</v>
      </c>
    </row>
    <row r="7" spans="1:22" ht="14.25" customHeight="1" thickBot="1" x14ac:dyDescent="0.35">
      <c r="A7" s="15"/>
      <c r="B7" s="15"/>
      <c r="C7" s="213"/>
      <c r="D7" s="195" t="s">
        <v>186</v>
      </c>
      <c r="E7" s="195" t="s">
        <v>186</v>
      </c>
      <c r="F7" s="195" t="s">
        <v>186</v>
      </c>
      <c r="G7" s="195" t="s">
        <v>186</v>
      </c>
      <c r="H7" s="195" t="s">
        <v>186</v>
      </c>
      <c r="I7" s="195" t="s">
        <v>186</v>
      </c>
      <c r="J7" s="195" t="s">
        <v>186</v>
      </c>
      <c r="K7" s="195" t="s">
        <v>186</v>
      </c>
      <c r="L7" s="195" t="s">
        <v>186</v>
      </c>
      <c r="M7" s="195" t="s">
        <v>186</v>
      </c>
      <c r="N7" s="195" t="s">
        <v>186</v>
      </c>
      <c r="O7" s="195" t="s">
        <v>186</v>
      </c>
      <c r="P7" s="195" t="s">
        <v>186</v>
      </c>
      <c r="Q7" s="195" t="s">
        <v>186</v>
      </c>
      <c r="R7" s="195" t="s">
        <v>186</v>
      </c>
      <c r="S7" s="195" t="s">
        <v>186</v>
      </c>
      <c r="T7" s="195" t="s">
        <v>188</v>
      </c>
      <c r="U7" s="195" t="s">
        <v>188</v>
      </c>
      <c r="V7" s="195" t="s">
        <v>188</v>
      </c>
    </row>
    <row r="8" spans="1:22" ht="17.25" customHeight="1" thickBot="1" x14ac:dyDescent="0.3">
      <c r="A8" s="982"/>
      <c r="B8" s="982"/>
      <c r="C8" s="1026" t="s">
        <v>115</v>
      </c>
      <c r="D8" s="2604"/>
      <c r="E8" s="2604"/>
      <c r="F8" s="2604"/>
      <c r="G8" s="2604"/>
      <c r="H8" s="2604"/>
      <c r="I8" s="2604"/>
      <c r="J8" s="2604"/>
      <c r="K8" s="2206"/>
      <c r="L8" s="2206"/>
      <c r="M8" s="2206"/>
      <c r="N8" s="2206"/>
      <c r="O8" s="2206"/>
      <c r="P8" s="2206"/>
      <c r="Q8" s="2206"/>
      <c r="R8" s="2206"/>
      <c r="S8" s="2206"/>
      <c r="T8" s="2206"/>
      <c r="U8" s="2206"/>
      <c r="V8" s="2206"/>
    </row>
    <row r="9" spans="1:22" ht="17.25" customHeight="1" x14ac:dyDescent="0.2">
      <c r="A9" s="985" t="s">
        <v>347</v>
      </c>
      <c r="B9" s="982"/>
      <c r="C9" s="155" t="s">
        <v>222</v>
      </c>
      <c r="D9" s="2210">
        <v>43.948999999999998</v>
      </c>
      <c r="E9" s="2210">
        <v>62.140999999999998</v>
      </c>
      <c r="F9" s="2210">
        <v>66.843000000000004</v>
      </c>
      <c r="G9" s="2210">
        <v>135.57900000000001</v>
      </c>
      <c r="H9" s="2210">
        <v>149.137</v>
      </c>
      <c r="I9" s="2210">
        <v>210.97399999999999</v>
      </c>
      <c r="J9" s="2210">
        <v>124.392</v>
      </c>
      <c r="K9" s="2210">
        <f>95499/1000</f>
        <v>95.498999999999995</v>
      </c>
      <c r="L9" s="2210">
        <v>423</v>
      </c>
      <c r="M9" s="2210">
        <v>451</v>
      </c>
      <c r="N9" s="2210">
        <v>594</v>
      </c>
      <c r="O9" s="2210">
        <v>473</v>
      </c>
      <c r="P9" s="2210">
        <v>442</v>
      </c>
      <c r="Q9" s="2210">
        <v>369</v>
      </c>
      <c r="R9" s="2210">
        <v>145</v>
      </c>
      <c r="S9" s="2210">
        <v>320.83300000000003</v>
      </c>
      <c r="T9" s="2210">
        <v>209.75081848974793</v>
      </c>
      <c r="U9" s="2210">
        <v>222.79294092130195</v>
      </c>
      <c r="V9" s="2210">
        <v>223.47111501798923</v>
      </c>
    </row>
    <row r="10" spans="1:22" ht="17.25" customHeight="1" x14ac:dyDescent="0.2">
      <c r="A10" s="985" t="s">
        <v>347</v>
      </c>
      <c r="B10" s="982"/>
      <c r="C10" s="155" t="s">
        <v>149</v>
      </c>
      <c r="D10" s="2210">
        <v>14.163</v>
      </c>
      <c r="E10" s="2210">
        <v>57.353000000000002</v>
      </c>
      <c r="F10" s="2210">
        <v>104.456</v>
      </c>
      <c r="G10" s="2210">
        <v>68.203000000000003</v>
      </c>
      <c r="H10" s="2210">
        <v>266.67</v>
      </c>
      <c r="I10" s="2210">
        <v>195.66073499999999</v>
      </c>
      <c r="J10" s="2217">
        <v>269.31400000000002</v>
      </c>
      <c r="K10" s="2217">
        <v>403</v>
      </c>
      <c r="L10" s="2223">
        <f>444+163</f>
        <v>607</v>
      </c>
      <c r="M10" s="2223">
        <f>288+198</f>
        <v>486</v>
      </c>
      <c r="N10" s="2223">
        <v>278</v>
      </c>
      <c r="O10" s="2223">
        <v>243</v>
      </c>
      <c r="P10" s="2223">
        <v>216</v>
      </c>
      <c r="Q10" s="2223">
        <v>195</v>
      </c>
      <c r="R10" s="2223">
        <v>187</v>
      </c>
      <c r="S10" s="2223">
        <v>202.37299999999999</v>
      </c>
      <c r="T10" s="2223">
        <v>162.09793333510135</v>
      </c>
      <c r="U10" s="2223">
        <v>136.97265116772331</v>
      </c>
      <c r="V10" s="2223">
        <v>137.21053074827225</v>
      </c>
    </row>
    <row r="11" spans="1:22" ht="17.25" customHeight="1" x14ac:dyDescent="0.2">
      <c r="A11" s="985" t="s">
        <v>347</v>
      </c>
      <c r="B11" s="982"/>
      <c r="C11" s="155" t="s">
        <v>595</v>
      </c>
      <c r="D11" s="2210">
        <v>0</v>
      </c>
      <c r="E11" s="2210">
        <v>0</v>
      </c>
      <c r="F11" s="2210">
        <v>0</v>
      </c>
      <c r="G11" s="2210">
        <v>0</v>
      </c>
      <c r="H11" s="2210">
        <v>0</v>
      </c>
      <c r="I11" s="2210">
        <v>0</v>
      </c>
      <c r="J11" s="2210">
        <v>7.5570000000000004</v>
      </c>
      <c r="K11" s="2210">
        <v>1.2709999999999999</v>
      </c>
      <c r="L11" s="2223">
        <v>16.178000000000001</v>
      </c>
      <c r="M11" s="2223">
        <v>44</v>
      </c>
      <c r="N11" s="2223">
        <v>257</v>
      </c>
      <c r="O11" s="2223">
        <v>215</v>
      </c>
      <c r="P11" s="2223">
        <v>269</v>
      </c>
      <c r="Q11" s="2223">
        <v>244</v>
      </c>
      <c r="R11" s="2223">
        <v>232</v>
      </c>
      <c r="S11" s="2223">
        <v>202.93600000000001</v>
      </c>
      <c r="T11" s="2223">
        <v>111.44159213702963</v>
      </c>
      <c r="U11" s="2223">
        <v>90.705752213261079</v>
      </c>
      <c r="V11" s="2223">
        <v>90.250811166642265</v>
      </c>
    </row>
    <row r="12" spans="1:22" ht="17.25" customHeight="1" x14ac:dyDescent="0.2">
      <c r="A12" s="985" t="s">
        <v>347</v>
      </c>
      <c r="B12" s="981"/>
      <c r="C12" s="871" t="s">
        <v>227</v>
      </c>
      <c r="D12" s="2227">
        <v>0</v>
      </c>
      <c r="E12" s="2227">
        <v>0</v>
      </c>
      <c r="F12" s="2227">
        <v>0</v>
      </c>
      <c r="G12" s="2227">
        <v>27.704999999999998</v>
      </c>
      <c r="H12" s="2227">
        <v>39.201999999999998</v>
      </c>
      <c r="I12" s="2227">
        <v>35.10472</v>
      </c>
      <c r="J12" s="2217">
        <v>33.981999999999999</v>
      </c>
      <c r="K12" s="2217">
        <f>73640/1000</f>
        <v>73.64</v>
      </c>
      <c r="L12" s="2224">
        <v>90</v>
      </c>
      <c r="M12" s="2224">
        <v>49</v>
      </c>
      <c r="N12" s="2224">
        <v>96</v>
      </c>
      <c r="O12" s="2224">
        <v>97</v>
      </c>
      <c r="P12" s="2224">
        <v>95</v>
      </c>
      <c r="Q12" s="2224">
        <v>79</v>
      </c>
      <c r="R12" s="2224">
        <v>77</v>
      </c>
      <c r="S12" s="2224">
        <v>180.422</v>
      </c>
      <c r="T12" s="2224">
        <v>78.109200000000001</v>
      </c>
      <c r="U12" s="2224">
        <v>49.553400000000011</v>
      </c>
      <c r="V12" s="2224">
        <v>20.186400000000003</v>
      </c>
    </row>
    <row r="13" spans="1:22" ht="17.25" customHeight="1" x14ac:dyDescent="0.2">
      <c r="A13" s="985"/>
      <c r="B13" s="981"/>
      <c r="C13" s="871" t="s">
        <v>529</v>
      </c>
      <c r="D13" s="2227">
        <v>0</v>
      </c>
      <c r="E13" s="2227">
        <v>0</v>
      </c>
      <c r="F13" s="2227">
        <v>0</v>
      </c>
      <c r="G13" s="2227"/>
      <c r="H13" s="2227"/>
      <c r="I13" s="2227"/>
      <c r="J13" s="2678" t="s">
        <v>722</v>
      </c>
      <c r="K13" s="2227" t="s">
        <v>722</v>
      </c>
      <c r="L13" s="2676" t="s">
        <v>722</v>
      </c>
      <c r="M13" s="2675" t="s">
        <v>722</v>
      </c>
      <c r="N13" s="2223">
        <v>89</v>
      </c>
      <c r="O13" s="2224">
        <v>62</v>
      </c>
      <c r="P13" s="2224">
        <v>0</v>
      </c>
      <c r="Q13" s="2224">
        <v>96</v>
      </c>
      <c r="R13" s="2223">
        <v>0</v>
      </c>
      <c r="S13" s="2223">
        <v>105.41800000000001</v>
      </c>
      <c r="T13" s="2223">
        <v>141.92497570456752</v>
      </c>
      <c r="U13" s="2223">
        <v>142.15354713313894</v>
      </c>
      <c r="V13" s="2223">
        <v>136.43809523809523</v>
      </c>
    </row>
    <row r="14" spans="1:22" ht="17.25" hidden="1" customHeight="1" thickBot="1" x14ac:dyDescent="0.25">
      <c r="A14" s="985" t="s">
        <v>347</v>
      </c>
      <c r="B14" s="982"/>
      <c r="C14" s="969" t="s">
        <v>110</v>
      </c>
      <c r="D14" s="2228">
        <v>0</v>
      </c>
      <c r="E14" s="2228">
        <v>0</v>
      </c>
      <c r="F14" s="2228">
        <v>5.1070000000000002</v>
      </c>
      <c r="G14" s="2228">
        <v>16.355</v>
      </c>
      <c r="H14" s="2228">
        <v>11.734</v>
      </c>
      <c r="I14" s="2228">
        <v>14</v>
      </c>
      <c r="J14" s="2677"/>
      <c r="K14" s="2620"/>
      <c r="L14" s="2213"/>
      <c r="M14" s="2225"/>
      <c r="N14" s="2225">
        <v>0</v>
      </c>
      <c r="O14" s="2225">
        <v>0</v>
      </c>
      <c r="P14" s="2225">
        <f>'2018 Summary Table B'!$M25/1000</f>
        <v>0</v>
      </c>
      <c r="Q14" s="2225">
        <v>0</v>
      </c>
      <c r="R14" s="2225">
        <f>'2023 Summary Table B'!$M26/1000</f>
        <v>0</v>
      </c>
      <c r="S14" s="2225">
        <f>'2024 Summary Table B'!$M26/1000</f>
        <v>0</v>
      </c>
      <c r="T14" s="2225">
        <f>'2022 Summary Table B'!$M26/1000</f>
        <v>0</v>
      </c>
      <c r="U14" s="2225">
        <f>'2023 Summary Table B'!$M26/1000</f>
        <v>0</v>
      </c>
      <c r="V14" s="2225">
        <f>'2024 Summary Table B'!$M26/1000</f>
        <v>0</v>
      </c>
    </row>
    <row r="15" spans="1:22" ht="17.25" customHeight="1" thickBot="1" x14ac:dyDescent="0.3">
      <c r="A15" s="985" t="s">
        <v>347</v>
      </c>
      <c r="B15" s="982"/>
      <c r="C15" s="233" t="s">
        <v>30</v>
      </c>
      <c r="D15" s="2621">
        <f t="shared" ref="D15:N15" si="0">SUM(D9:D14)</f>
        <v>58.111999999999995</v>
      </c>
      <c r="E15" s="2621">
        <f t="shared" si="0"/>
        <v>119.494</v>
      </c>
      <c r="F15" s="2621">
        <f t="shared" si="0"/>
        <v>176.40600000000001</v>
      </c>
      <c r="G15" s="2621">
        <f t="shared" si="0"/>
        <v>247.84200000000001</v>
      </c>
      <c r="H15" s="2621">
        <f t="shared" si="0"/>
        <v>466.74299999999999</v>
      </c>
      <c r="I15" s="2621">
        <f t="shared" si="0"/>
        <v>455.73945499999996</v>
      </c>
      <c r="J15" s="2621">
        <f t="shared" si="0"/>
        <v>435.245</v>
      </c>
      <c r="K15" s="2621">
        <f t="shared" si="0"/>
        <v>573.41000000000008</v>
      </c>
      <c r="L15" s="2621">
        <f t="shared" si="0"/>
        <v>1136.1780000000001</v>
      </c>
      <c r="M15" s="2621">
        <f t="shared" si="0"/>
        <v>1030</v>
      </c>
      <c r="N15" s="2621">
        <f t="shared" si="0"/>
        <v>1314</v>
      </c>
      <c r="O15" s="2621">
        <f>SUM(O9:O14)</f>
        <v>1090</v>
      </c>
      <c r="P15" s="2621">
        <f>SUM(P9:P14)</f>
        <v>1022</v>
      </c>
      <c r="Q15" s="2621">
        <f>SUM(Q9:Q14)</f>
        <v>983</v>
      </c>
      <c r="R15" s="2621">
        <f>SUM(R9:R14)</f>
        <v>641</v>
      </c>
      <c r="S15" s="2621">
        <f>SUM(S9:S14)</f>
        <v>1011.9820000000001</v>
      </c>
      <c r="T15" s="2621">
        <f t="shared" ref="T15:V15" si="1">SUM(T9:T14)</f>
        <v>703.32451966644635</v>
      </c>
      <c r="U15" s="2621">
        <f t="shared" si="1"/>
        <v>642.17829143542531</v>
      </c>
      <c r="V15" s="2621">
        <f t="shared" si="1"/>
        <v>607.55695217099901</v>
      </c>
    </row>
    <row r="16" spans="1:22" ht="17.25" customHeight="1" thickBot="1" x14ac:dyDescent="0.3">
      <c r="A16" s="994" t="s">
        <v>347</v>
      </c>
      <c r="B16" s="981"/>
      <c r="C16" s="164"/>
      <c r="D16" s="2214"/>
      <c r="E16" s="2214"/>
      <c r="F16" s="2214"/>
      <c r="G16" s="2214"/>
      <c r="H16" s="2214"/>
      <c r="I16" s="2214"/>
      <c r="J16" s="2214"/>
      <c r="K16" s="2214"/>
      <c r="L16" s="2214"/>
      <c r="M16" s="2214"/>
      <c r="N16" s="2214"/>
      <c r="O16" s="2214"/>
      <c r="P16" s="2214"/>
      <c r="Q16" s="2214"/>
      <c r="R16" s="2214"/>
      <c r="S16" s="2214"/>
      <c r="T16" s="2214"/>
      <c r="U16" s="2214"/>
      <c r="V16" s="2214"/>
    </row>
    <row r="17" spans="1:22" ht="17.25" customHeight="1" thickBot="1" x14ac:dyDescent="0.3">
      <c r="A17" s="981"/>
      <c r="B17" s="981"/>
      <c r="C17" s="1027" t="s">
        <v>6</v>
      </c>
      <c r="D17" s="2215"/>
      <c r="E17" s="2215"/>
      <c r="F17" s="2215"/>
      <c r="G17" s="2215"/>
      <c r="H17" s="2215"/>
      <c r="I17" s="2215"/>
      <c r="J17" s="2604"/>
      <c r="K17" s="2206"/>
      <c r="L17" s="2226"/>
      <c r="M17" s="2226"/>
      <c r="N17" s="2226"/>
      <c r="O17" s="2226"/>
      <c r="P17" s="2226"/>
      <c r="Q17" s="2226"/>
      <c r="R17" s="2226"/>
      <c r="S17" s="2226"/>
      <c r="T17" s="2226"/>
      <c r="U17" s="2226"/>
      <c r="V17" s="2226"/>
    </row>
    <row r="18" spans="1:22" ht="17.25" customHeight="1" x14ac:dyDescent="0.2">
      <c r="A18" s="28"/>
      <c r="B18" s="981"/>
      <c r="C18" s="695" t="s">
        <v>112</v>
      </c>
      <c r="D18" s="2216">
        <v>0</v>
      </c>
      <c r="E18" s="2216">
        <v>0</v>
      </c>
      <c r="F18" s="2216">
        <v>24.169</v>
      </c>
      <c r="G18" s="2216">
        <v>88.706000000000003</v>
      </c>
      <c r="H18" s="2216">
        <v>106.425</v>
      </c>
      <c r="I18" s="2216">
        <v>153.57</v>
      </c>
      <c r="J18" s="2216">
        <v>308.31299999999999</v>
      </c>
      <c r="K18" s="2216">
        <v>399</v>
      </c>
      <c r="L18" s="2216">
        <v>274</v>
      </c>
      <c r="M18" s="2216">
        <v>256</v>
      </c>
      <c r="N18" s="2216">
        <v>403</v>
      </c>
      <c r="O18" s="2216">
        <v>528</v>
      </c>
      <c r="P18" s="2216">
        <v>193</v>
      </c>
      <c r="Q18" s="2216">
        <v>213</v>
      </c>
      <c r="R18" s="2216">
        <v>546</v>
      </c>
      <c r="S18" s="2216">
        <v>231.25700000000001</v>
      </c>
      <c r="T18" s="2216">
        <v>157.32916995426464</v>
      </c>
      <c r="U18" s="2216">
        <v>181.53266036768923</v>
      </c>
      <c r="V18" s="2216">
        <v>184.60845398453199</v>
      </c>
    </row>
    <row r="19" spans="1:22" ht="17.25" customHeight="1" thickBot="1" x14ac:dyDescent="0.25">
      <c r="A19" s="1003"/>
      <c r="B19" s="981"/>
      <c r="C19" s="2759" t="s">
        <v>116</v>
      </c>
      <c r="D19" s="2276">
        <v>0</v>
      </c>
      <c r="E19" s="2210">
        <v>0</v>
      </c>
      <c r="F19" s="2615">
        <v>5.6470000000000002</v>
      </c>
      <c r="G19" s="2616">
        <v>71.813000000000002</v>
      </c>
      <c r="H19" s="2211">
        <v>121.746</v>
      </c>
      <c r="I19" s="2211">
        <v>140.44399999999999</v>
      </c>
      <c r="J19" s="2211">
        <v>217.16800000000001</v>
      </c>
      <c r="K19" s="2211">
        <v>403</v>
      </c>
      <c r="L19" s="2211">
        <v>264</v>
      </c>
      <c r="M19" s="2211">
        <v>203</v>
      </c>
      <c r="N19" s="2211">
        <v>222</v>
      </c>
      <c r="O19" s="2211">
        <v>307</v>
      </c>
      <c r="P19" s="2223">
        <v>427</v>
      </c>
      <c r="Q19" s="2223">
        <v>344</v>
      </c>
      <c r="R19" s="2210">
        <v>112</v>
      </c>
      <c r="S19" s="2210">
        <v>145.762</v>
      </c>
      <c r="T19" s="2210">
        <v>147.1218819026729</v>
      </c>
      <c r="U19" s="2210">
        <v>174.59677915313068</v>
      </c>
      <c r="V19" s="2210">
        <v>177.55505485818992</v>
      </c>
    </row>
    <row r="20" spans="1:22" ht="17.25" customHeight="1" x14ac:dyDescent="0.2">
      <c r="A20" s="1003" t="s">
        <v>348</v>
      </c>
      <c r="B20" s="981"/>
      <c r="C20" s="2196" t="s">
        <v>581</v>
      </c>
      <c r="D20" s="2622">
        <v>0</v>
      </c>
      <c r="E20" s="2216">
        <v>0</v>
      </c>
      <c r="F20" s="2623">
        <v>0</v>
      </c>
      <c r="G20" s="2618">
        <v>0</v>
      </c>
      <c r="H20" s="2212">
        <v>8.35</v>
      </c>
      <c r="I20" s="2212">
        <v>33.539000000000001</v>
      </c>
      <c r="J20" s="2212">
        <v>199.77799999999999</v>
      </c>
      <c r="K20" s="2212">
        <v>91</v>
      </c>
      <c r="L20" s="2212">
        <v>245</v>
      </c>
      <c r="M20" s="2212">
        <v>133</v>
      </c>
      <c r="N20" s="2212">
        <v>134</v>
      </c>
      <c r="O20" s="2212">
        <v>195</v>
      </c>
      <c r="P20" s="2224">
        <v>392</v>
      </c>
      <c r="Q20" s="2224">
        <v>268</v>
      </c>
      <c r="R20" s="2217">
        <v>161</v>
      </c>
      <c r="S20" s="2217">
        <v>313.77999999999997</v>
      </c>
      <c r="T20" s="2217">
        <v>175.75641051224321</v>
      </c>
      <c r="U20" s="2217">
        <v>208.57878375463869</v>
      </c>
      <c r="V20" s="2217">
        <v>212.1128326160497</v>
      </c>
    </row>
    <row r="21" spans="1:22" ht="17.25" customHeight="1" thickBot="1" x14ac:dyDescent="0.25">
      <c r="A21" s="1003" t="s">
        <v>348</v>
      </c>
      <c r="B21" s="981"/>
      <c r="C21" s="930" t="s">
        <v>245</v>
      </c>
      <c r="D21" s="2210">
        <v>0</v>
      </c>
      <c r="E21" s="2210">
        <v>0</v>
      </c>
      <c r="F21" s="2210">
        <v>0</v>
      </c>
      <c r="G21" s="2210">
        <v>0</v>
      </c>
      <c r="H21" s="2210">
        <v>0</v>
      </c>
      <c r="I21" s="2210">
        <v>0</v>
      </c>
      <c r="J21" s="2218">
        <v>19.081</v>
      </c>
      <c r="K21" s="2218">
        <f>33226/1000</f>
        <v>33.225999999999999</v>
      </c>
      <c r="L21" s="2218">
        <f>14430/1000</f>
        <v>14.43</v>
      </c>
      <c r="M21" s="2218">
        <v>40</v>
      </c>
      <c r="N21" s="2218">
        <v>16</v>
      </c>
      <c r="O21" s="2218">
        <v>48</v>
      </c>
      <c r="P21" s="2218">
        <v>24</v>
      </c>
      <c r="Q21" s="2218">
        <v>51</v>
      </c>
      <c r="R21" s="2218">
        <v>7</v>
      </c>
      <c r="S21" s="2218">
        <v>43.610999999999997</v>
      </c>
      <c r="T21" s="2218">
        <v>57.903529411764701</v>
      </c>
      <c r="U21" s="2218">
        <v>68.049813550333056</v>
      </c>
      <c r="V21" s="2218">
        <v>68.530941709085326</v>
      </c>
    </row>
    <row r="22" spans="1:22" ht="17.25" customHeight="1" thickBot="1" x14ac:dyDescent="0.3">
      <c r="A22" s="1003" t="s">
        <v>348</v>
      </c>
      <c r="B22" s="981"/>
      <c r="C22" s="26" t="s">
        <v>206</v>
      </c>
      <c r="D22" s="2624" t="e">
        <f>#REF!+#REF!+D21</f>
        <v>#REF!</v>
      </c>
      <c r="E22" s="2624" t="e">
        <f>#REF!+#REF!+E21</f>
        <v>#REF!</v>
      </c>
      <c r="F22" s="2624" t="e">
        <f>#REF!+#REF!+F21</f>
        <v>#REF!</v>
      </c>
      <c r="G22" s="2624" t="e">
        <f>#REF!+#REF!+G21</f>
        <v>#REF!</v>
      </c>
      <c r="H22" s="2624" t="e">
        <f>#REF!+#REF!+H21</f>
        <v>#REF!</v>
      </c>
      <c r="I22" s="2624" t="e">
        <f>#REF!+#REF!+I21</f>
        <v>#REF!</v>
      </c>
      <c r="J22" s="2624" t="e">
        <f>#REF!+#REF!+J21</f>
        <v>#REF!</v>
      </c>
      <c r="K22" s="2624">
        <f>SUM(K18:K21)</f>
        <v>926.226</v>
      </c>
      <c r="L22" s="2624">
        <f t="shared" ref="L22:V22" si="2">SUM(L18:L21)</f>
        <v>797.43</v>
      </c>
      <c r="M22" s="2624">
        <f t="shared" si="2"/>
        <v>632</v>
      </c>
      <c r="N22" s="2624">
        <f t="shared" si="2"/>
        <v>775</v>
      </c>
      <c r="O22" s="2624">
        <f t="shared" si="2"/>
        <v>1078</v>
      </c>
      <c r="P22" s="2624">
        <f t="shared" si="2"/>
        <v>1036</v>
      </c>
      <c r="Q22" s="2624">
        <f t="shared" si="2"/>
        <v>876</v>
      </c>
      <c r="R22" s="2624">
        <f t="shared" si="2"/>
        <v>826</v>
      </c>
      <c r="S22" s="2624">
        <f t="shared" si="2"/>
        <v>734.41</v>
      </c>
      <c r="T22" s="2624">
        <f t="shared" si="2"/>
        <v>538.11099178094537</v>
      </c>
      <c r="U22" s="2624">
        <f t="shared" si="2"/>
        <v>632.75803682579169</v>
      </c>
      <c r="V22" s="2624">
        <f t="shared" si="2"/>
        <v>642.80728316785701</v>
      </c>
    </row>
    <row r="23" spans="1:22" s="3" customFormat="1" ht="17.25" customHeight="1" thickBot="1" x14ac:dyDescent="0.3">
      <c r="A23" s="981"/>
      <c r="B23" s="981"/>
      <c r="C23" s="1017"/>
      <c r="D23" s="2625"/>
      <c r="E23" s="2625"/>
      <c r="F23" s="2625"/>
      <c r="G23" s="2625"/>
      <c r="H23" s="2625"/>
      <c r="I23" s="2625"/>
      <c r="J23" s="2625"/>
      <c r="K23" s="2625"/>
      <c r="L23" s="2625"/>
      <c r="M23" s="2625"/>
      <c r="N23" s="2625"/>
      <c r="O23" s="2625"/>
      <c r="P23" s="2625"/>
      <c r="Q23" s="2625"/>
      <c r="R23" s="2625"/>
      <c r="S23" s="2625"/>
      <c r="T23" s="2625"/>
      <c r="U23" s="2625"/>
      <c r="V23" s="2625"/>
    </row>
    <row r="24" spans="1:22" ht="17.25" customHeight="1" x14ac:dyDescent="0.2">
      <c r="A24" s="28"/>
      <c r="B24" s="981"/>
      <c r="C24" s="2626" t="s">
        <v>349</v>
      </c>
      <c r="D24" s="2220"/>
      <c r="E24" s="2220"/>
      <c r="F24" s="2220"/>
      <c r="G24" s="2220"/>
      <c r="H24" s="2220"/>
      <c r="I24" s="2220"/>
      <c r="J24" s="2220"/>
      <c r="K24" s="2220"/>
      <c r="L24" s="2220"/>
      <c r="M24" s="2220"/>
      <c r="N24" s="2220"/>
      <c r="O24" s="2220"/>
      <c r="P24" s="2220"/>
      <c r="Q24" s="2220"/>
      <c r="R24" s="2220"/>
      <c r="S24" s="2220"/>
      <c r="T24" s="2220"/>
      <c r="U24" s="2220"/>
      <c r="V24" s="2220"/>
    </row>
    <row r="25" spans="1:22" ht="17.25" customHeight="1" x14ac:dyDescent="0.2">
      <c r="A25" s="1009"/>
      <c r="B25" s="1010"/>
      <c r="C25" s="1011" t="s">
        <v>7</v>
      </c>
      <c r="D25" s="2221">
        <f t="shared" ref="D25:V25" si="3">D15</f>
        <v>58.111999999999995</v>
      </c>
      <c r="E25" s="2221">
        <f t="shared" si="3"/>
        <v>119.494</v>
      </c>
      <c r="F25" s="2221">
        <f t="shared" si="3"/>
        <v>176.40600000000001</v>
      </c>
      <c r="G25" s="2221">
        <f t="shared" si="3"/>
        <v>247.84200000000001</v>
      </c>
      <c r="H25" s="2221">
        <f t="shared" si="3"/>
        <v>466.74299999999999</v>
      </c>
      <c r="I25" s="2221">
        <f t="shared" si="3"/>
        <v>455.73945499999996</v>
      </c>
      <c r="J25" s="2221">
        <f t="shared" si="3"/>
        <v>435.245</v>
      </c>
      <c r="K25" s="2221">
        <f t="shared" si="3"/>
        <v>573.41000000000008</v>
      </c>
      <c r="L25" s="2221">
        <f t="shared" si="3"/>
        <v>1136.1780000000001</v>
      </c>
      <c r="M25" s="2221">
        <f t="shared" si="3"/>
        <v>1030</v>
      </c>
      <c r="N25" s="2221">
        <f t="shared" si="3"/>
        <v>1314</v>
      </c>
      <c r="O25" s="2221">
        <f t="shared" si="3"/>
        <v>1090</v>
      </c>
      <c r="P25" s="2221">
        <f t="shared" si="3"/>
        <v>1022</v>
      </c>
      <c r="Q25" s="2221">
        <f t="shared" si="3"/>
        <v>983</v>
      </c>
      <c r="R25" s="2221">
        <f t="shared" si="3"/>
        <v>641</v>
      </c>
      <c r="S25" s="2221">
        <f t="shared" si="3"/>
        <v>1011.9820000000001</v>
      </c>
      <c r="T25" s="2221">
        <f t="shared" si="3"/>
        <v>703.32451966644635</v>
      </c>
      <c r="U25" s="2221">
        <f t="shared" si="3"/>
        <v>642.17829143542531</v>
      </c>
      <c r="V25" s="2221">
        <f t="shared" si="3"/>
        <v>607.55695217099901</v>
      </c>
    </row>
    <row r="26" spans="1:22" ht="17.25" customHeight="1" x14ac:dyDescent="0.2">
      <c r="A26" s="1009"/>
      <c r="B26" s="1010"/>
      <c r="C26" s="1011" t="s">
        <v>8</v>
      </c>
      <c r="D26" s="2221" t="e">
        <f t="shared" ref="D26:N26" si="4">D22</f>
        <v>#REF!</v>
      </c>
      <c r="E26" s="2221" t="e">
        <f t="shared" si="4"/>
        <v>#REF!</v>
      </c>
      <c r="F26" s="2221" t="e">
        <f t="shared" si="4"/>
        <v>#REF!</v>
      </c>
      <c r="G26" s="2221" t="e">
        <f t="shared" si="4"/>
        <v>#REF!</v>
      </c>
      <c r="H26" s="2221" t="e">
        <f t="shared" si="4"/>
        <v>#REF!</v>
      </c>
      <c r="I26" s="2221" t="e">
        <f t="shared" si="4"/>
        <v>#REF!</v>
      </c>
      <c r="J26" s="2221" t="e">
        <f t="shared" si="4"/>
        <v>#REF!</v>
      </c>
      <c r="K26" s="2221">
        <f t="shared" si="4"/>
        <v>926.226</v>
      </c>
      <c r="L26" s="2221">
        <f t="shared" si="4"/>
        <v>797.43</v>
      </c>
      <c r="M26" s="2221">
        <f t="shared" si="4"/>
        <v>632</v>
      </c>
      <c r="N26" s="2221">
        <f t="shared" si="4"/>
        <v>775</v>
      </c>
      <c r="O26" s="2221">
        <f>O22</f>
        <v>1078</v>
      </c>
      <c r="P26" s="2221">
        <f>P22</f>
        <v>1036</v>
      </c>
      <c r="Q26" s="2221">
        <f>Q22</f>
        <v>876</v>
      </c>
      <c r="R26" s="2221">
        <f>R22</f>
        <v>826</v>
      </c>
      <c r="S26" s="2221">
        <f>S22</f>
        <v>734.41</v>
      </c>
      <c r="T26" s="2221">
        <f t="shared" ref="T26:V26" si="5">T22</f>
        <v>538.11099178094537</v>
      </c>
      <c r="U26" s="2221">
        <f t="shared" si="5"/>
        <v>632.75803682579169</v>
      </c>
      <c r="V26" s="2221">
        <f t="shared" si="5"/>
        <v>642.80728316785701</v>
      </c>
    </row>
    <row r="27" spans="1:22" ht="17.25" customHeight="1" thickBot="1" x14ac:dyDescent="0.25">
      <c r="A27" s="28"/>
      <c r="B27" s="981"/>
      <c r="C27" s="1013" t="s">
        <v>350</v>
      </c>
      <c r="D27" s="2222" t="e">
        <f t="shared" ref="D27:K27" si="6">SUM(D25:D26)</f>
        <v>#REF!</v>
      </c>
      <c r="E27" s="2222" t="e">
        <f t="shared" si="6"/>
        <v>#REF!</v>
      </c>
      <c r="F27" s="2222" t="e">
        <f t="shared" si="6"/>
        <v>#REF!</v>
      </c>
      <c r="G27" s="2222" t="e">
        <f t="shared" si="6"/>
        <v>#REF!</v>
      </c>
      <c r="H27" s="2222" t="e">
        <f t="shared" si="6"/>
        <v>#REF!</v>
      </c>
      <c r="I27" s="2222" t="e">
        <f>SUM(I25:I26)</f>
        <v>#REF!</v>
      </c>
      <c r="J27" s="2222" t="e">
        <f t="shared" si="6"/>
        <v>#REF!</v>
      </c>
      <c r="K27" s="2222">
        <f t="shared" si="6"/>
        <v>1499.636</v>
      </c>
      <c r="L27" s="2222">
        <f t="shared" ref="L27:S27" si="7">SUM(L25:L26)</f>
        <v>1933.6080000000002</v>
      </c>
      <c r="M27" s="2222">
        <f t="shared" si="7"/>
        <v>1662</v>
      </c>
      <c r="N27" s="2222">
        <f t="shared" si="7"/>
        <v>2089</v>
      </c>
      <c r="O27" s="2222">
        <f t="shared" si="7"/>
        <v>2168</v>
      </c>
      <c r="P27" s="2222">
        <f t="shared" si="7"/>
        <v>2058</v>
      </c>
      <c r="Q27" s="2222">
        <f t="shared" si="7"/>
        <v>1859</v>
      </c>
      <c r="R27" s="2222">
        <f t="shared" si="7"/>
        <v>1467</v>
      </c>
      <c r="S27" s="2222">
        <f t="shared" si="7"/>
        <v>1746.3920000000001</v>
      </c>
      <c r="T27" s="2222">
        <f t="shared" ref="T27:V27" si="8">SUM(T25:T26)</f>
        <v>1241.4355114473917</v>
      </c>
      <c r="U27" s="2222">
        <f t="shared" si="8"/>
        <v>1274.9363282612171</v>
      </c>
      <c r="V27" s="2222">
        <f t="shared" si="8"/>
        <v>1250.3642353388559</v>
      </c>
    </row>
    <row r="28" spans="1:22" ht="14.25" customHeight="1" x14ac:dyDescent="0.25">
      <c r="A28" s="981"/>
      <c r="B28" s="981"/>
      <c r="C28" s="27"/>
      <c r="D28" s="2613"/>
      <c r="E28" s="2613"/>
      <c r="F28" s="2613"/>
      <c r="G28" s="2613"/>
      <c r="H28" s="2613"/>
      <c r="I28" s="2613"/>
      <c r="J28" s="2613"/>
      <c r="K28" s="2613"/>
      <c r="L28" s="2613"/>
      <c r="M28" s="2613"/>
      <c r="N28" s="2613"/>
      <c r="O28" s="2613"/>
      <c r="P28" s="2613"/>
      <c r="Q28" s="2613"/>
    </row>
    <row r="29" spans="1:22" ht="14.25" customHeight="1" x14ac:dyDescent="0.25">
      <c r="A29" s="28"/>
      <c r="B29" s="981"/>
      <c r="C29" s="27"/>
      <c r="D29" s="2599"/>
    </row>
    <row r="30" spans="1:22" ht="14.25" customHeight="1" x14ac:dyDescent="0.2">
      <c r="A30" s="1009"/>
      <c r="B30" s="1010"/>
      <c r="C30" s="1019"/>
      <c r="D30" s="2599"/>
    </row>
    <row r="31" spans="1:22" ht="14.25" customHeight="1" x14ac:dyDescent="0.2">
      <c r="A31" s="1009"/>
      <c r="B31" s="1010"/>
      <c r="C31" s="957"/>
      <c r="D31" s="2599"/>
    </row>
    <row r="32" spans="1:22" ht="14.25" customHeight="1" thickBot="1" x14ac:dyDescent="0.25">
      <c r="A32" s="28"/>
      <c r="B32" s="981"/>
      <c r="C32" s="1019"/>
      <c r="D32" s="2599"/>
    </row>
    <row r="33" spans="1:22" ht="21" customHeight="1" thickBot="1" x14ac:dyDescent="0.35">
      <c r="A33" s="3"/>
      <c r="B33" s="2502"/>
      <c r="C33" s="2600" t="s">
        <v>352</v>
      </c>
      <c r="D33" s="2601"/>
      <c r="E33" s="2601"/>
      <c r="F33" s="2601"/>
      <c r="G33" s="2601"/>
      <c r="H33" s="2601"/>
      <c r="I33" s="2601"/>
      <c r="J33" s="2601"/>
      <c r="K33" s="2601"/>
      <c r="L33" s="2601"/>
      <c r="M33" s="2601"/>
      <c r="N33" s="2601"/>
      <c r="O33" s="2601"/>
      <c r="P33" s="2602"/>
      <c r="Q33" s="2601"/>
      <c r="R33" s="2601"/>
      <c r="S33" s="2602"/>
      <c r="T33" s="2757"/>
      <c r="U33" s="2757"/>
      <c r="V33" s="2758"/>
    </row>
    <row r="34" spans="1:22" ht="14.25" customHeight="1" x14ac:dyDescent="0.3">
      <c r="A34" s="3"/>
      <c r="B34" s="2502"/>
      <c r="C34" s="949"/>
      <c r="D34" s="981">
        <v>2006</v>
      </c>
      <c r="E34" s="981">
        <v>2007</v>
      </c>
      <c r="F34" s="981">
        <v>2008</v>
      </c>
      <c r="G34" s="981">
        <v>2009</v>
      </c>
      <c r="H34" s="981">
        <v>2010</v>
      </c>
      <c r="I34" s="981">
        <v>2011</v>
      </c>
      <c r="J34" s="981">
        <v>2012</v>
      </c>
      <c r="K34" s="981">
        <v>2013</v>
      </c>
      <c r="L34" s="981">
        <v>2014</v>
      </c>
      <c r="M34" s="981">
        <v>2015</v>
      </c>
      <c r="N34" s="981">
        <v>2016</v>
      </c>
      <c r="O34" s="981">
        <v>2017</v>
      </c>
      <c r="P34" s="981">
        <v>2018</v>
      </c>
      <c r="Q34" s="981">
        <v>2019</v>
      </c>
      <c r="R34" s="981">
        <v>2020</v>
      </c>
      <c r="S34" s="981">
        <v>2021</v>
      </c>
      <c r="T34" s="981">
        <v>2022</v>
      </c>
      <c r="U34" s="981">
        <v>2023</v>
      </c>
      <c r="V34" s="981">
        <v>2024</v>
      </c>
    </row>
    <row r="35" spans="1:22" ht="14.25" customHeight="1" thickBot="1" x14ac:dyDescent="0.35">
      <c r="A35" s="15"/>
      <c r="B35" s="15"/>
      <c r="C35" s="213"/>
      <c r="D35" s="195" t="s">
        <v>186</v>
      </c>
      <c r="E35" s="195" t="s">
        <v>186</v>
      </c>
      <c r="F35" s="195" t="s">
        <v>186</v>
      </c>
      <c r="G35" s="195" t="s">
        <v>186</v>
      </c>
      <c r="H35" s="195" t="s">
        <v>186</v>
      </c>
      <c r="I35" s="195" t="str">
        <f t="shared" ref="I35:V35" si="9">I7</f>
        <v>Actual</v>
      </c>
      <c r="J35" s="195" t="str">
        <f t="shared" si="9"/>
        <v>Actual</v>
      </c>
      <c r="K35" s="195" t="str">
        <f t="shared" si="9"/>
        <v>Actual</v>
      </c>
      <c r="L35" s="195" t="str">
        <f t="shared" si="9"/>
        <v>Actual</v>
      </c>
      <c r="M35" s="195" t="str">
        <f t="shared" si="9"/>
        <v>Actual</v>
      </c>
      <c r="N35" s="195" t="str">
        <f t="shared" si="9"/>
        <v>Actual</v>
      </c>
      <c r="O35" s="195" t="str">
        <f t="shared" si="9"/>
        <v>Actual</v>
      </c>
      <c r="P35" s="195" t="str">
        <f t="shared" si="9"/>
        <v>Actual</v>
      </c>
      <c r="Q35" s="195" t="str">
        <f t="shared" si="9"/>
        <v>Actual</v>
      </c>
      <c r="R35" s="195" t="str">
        <f t="shared" si="9"/>
        <v>Actual</v>
      </c>
      <c r="S35" s="195" t="str">
        <f t="shared" si="9"/>
        <v>Actual</v>
      </c>
      <c r="T35" s="195" t="str">
        <f t="shared" si="9"/>
        <v>Goal</v>
      </c>
      <c r="U35" s="195" t="str">
        <f t="shared" si="9"/>
        <v>Goal</v>
      </c>
      <c r="V35" s="195" t="str">
        <f t="shared" si="9"/>
        <v>Goal</v>
      </c>
    </row>
    <row r="36" spans="1:22" ht="16.5" thickBot="1" x14ac:dyDescent="0.3">
      <c r="A36" s="982"/>
      <c r="B36" s="982"/>
      <c r="C36" s="1026" t="s">
        <v>115</v>
      </c>
      <c r="D36" s="2604"/>
      <c r="E36" s="2604"/>
      <c r="F36" s="2604"/>
      <c r="G36" s="2604"/>
      <c r="H36" s="2604"/>
      <c r="I36" s="2604"/>
      <c r="J36" s="2604"/>
      <c r="K36" s="2206"/>
      <c r="L36" s="2206"/>
      <c r="M36" s="2206"/>
      <c r="N36" s="2206"/>
      <c r="O36" s="2206"/>
      <c r="P36" s="2206"/>
      <c r="Q36" s="2206"/>
      <c r="R36" s="2206"/>
      <c r="S36" s="2206"/>
      <c r="T36" s="2206"/>
      <c r="U36" s="2206"/>
      <c r="V36" s="2206"/>
    </row>
    <row r="37" spans="1:22" ht="17.25" customHeight="1" x14ac:dyDescent="0.2">
      <c r="A37" s="985" t="s">
        <v>347</v>
      </c>
      <c r="B37" s="982"/>
      <c r="C37" s="155" t="s">
        <v>222</v>
      </c>
      <c r="D37" s="2210">
        <v>904.81100000000004</v>
      </c>
      <c r="E37" s="2210">
        <v>961.68</v>
      </c>
      <c r="F37" s="2210">
        <v>889.99199999999996</v>
      </c>
      <c r="G37" s="2210">
        <v>2160.62</v>
      </c>
      <c r="H37" s="2210">
        <v>2062.386</v>
      </c>
      <c r="I37" s="2210">
        <v>2751.9609999999998</v>
      </c>
      <c r="J37" s="2210">
        <v>2500.1010000000001</v>
      </c>
      <c r="K37" s="2210">
        <v>1612</v>
      </c>
      <c r="L37" s="2210">
        <v>8285</v>
      </c>
      <c r="M37" s="2210">
        <v>8660</v>
      </c>
      <c r="N37" s="2210">
        <v>12046.794</v>
      </c>
      <c r="O37" s="2210">
        <v>9848</v>
      </c>
      <c r="P37" s="2210">
        <v>9235</v>
      </c>
      <c r="Q37" s="2210">
        <v>7965</v>
      </c>
      <c r="R37" s="2210">
        <v>3065</v>
      </c>
      <c r="S37" s="2210">
        <v>6347.6509999999998</v>
      </c>
      <c r="T37" s="2210">
        <f>'CNG 2022 Exhibit 4'!$E$33/1000</f>
        <v>4397.0150785391934</v>
      </c>
      <c r="U37" s="2210">
        <f>'CNG 2023 Exhibit 4'!$E$33/1000</f>
        <v>4426.3302951574069</v>
      </c>
      <c r="V37" s="2210">
        <f>'CNG 2024 Exhibit 4'!$E$33/1000</f>
        <v>4452.5785950247437</v>
      </c>
    </row>
    <row r="38" spans="1:22" ht="17.25" customHeight="1" x14ac:dyDescent="0.2">
      <c r="A38" s="985" t="s">
        <v>347</v>
      </c>
      <c r="B38" s="982"/>
      <c r="C38" s="155" t="s">
        <v>149</v>
      </c>
      <c r="D38" s="2210">
        <v>213.59899999999999</v>
      </c>
      <c r="E38" s="2210">
        <v>902.64599999999996</v>
      </c>
      <c r="F38" s="2210">
        <v>1970.69</v>
      </c>
      <c r="G38" s="2210">
        <v>1418.819</v>
      </c>
      <c r="H38" s="2210">
        <v>5414.3469999999998</v>
      </c>
      <c r="I38" s="2210">
        <v>3415.6477</v>
      </c>
      <c r="J38" s="2210">
        <v>4996.9709999999995</v>
      </c>
      <c r="K38" s="2210">
        <v>7461</v>
      </c>
      <c r="L38" s="2210">
        <f>8774+3259</f>
        <v>12033</v>
      </c>
      <c r="M38" s="2210">
        <f>5904+3966</f>
        <v>9870</v>
      </c>
      <c r="N38" s="2210">
        <v>5652.1090000000004</v>
      </c>
      <c r="O38" s="2210">
        <v>4944</v>
      </c>
      <c r="P38" s="2210">
        <v>4367</v>
      </c>
      <c r="Q38" s="2210">
        <v>3777</v>
      </c>
      <c r="R38" s="2223">
        <v>3856</v>
      </c>
      <c r="S38" s="2223">
        <v>4326.799</v>
      </c>
      <c r="T38" s="2223">
        <f>'CNG 2022 Exhibit 4'!$E$31/1000</f>
        <v>3201.1843745549436</v>
      </c>
      <c r="U38" s="2223">
        <f>'CNG 2023 Exhibit 4'!$E$31/1000</f>
        <v>2638.4106913423052</v>
      </c>
      <c r="V38" s="2223">
        <f>'CNG 2024 Exhibit 4'!$E$31/1000</f>
        <v>2642.9928033421943</v>
      </c>
    </row>
    <row r="39" spans="1:22" ht="17.25" customHeight="1" x14ac:dyDescent="0.2">
      <c r="A39" s="985" t="s">
        <v>347</v>
      </c>
      <c r="B39" s="982"/>
      <c r="C39" s="155" t="s">
        <v>595</v>
      </c>
      <c r="D39" s="2210">
        <v>0</v>
      </c>
      <c r="E39" s="2210">
        <v>0</v>
      </c>
      <c r="F39" s="2210">
        <v>0</v>
      </c>
      <c r="G39" s="2210">
        <v>0</v>
      </c>
      <c r="H39" s="2210">
        <v>0</v>
      </c>
      <c r="I39" s="2210">
        <v>0</v>
      </c>
      <c r="J39" s="2210">
        <v>145.52699999999999</v>
      </c>
      <c r="K39" s="2210">
        <v>25.414999999999999</v>
      </c>
      <c r="L39" s="2210">
        <v>285.40300000000002</v>
      </c>
      <c r="M39" s="2210">
        <v>809</v>
      </c>
      <c r="N39" s="2210">
        <v>5114.4269999999997</v>
      </c>
      <c r="O39" s="2210">
        <v>4264</v>
      </c>
      <c r="P39" s="2210">
        <v>5369</v>
      </c>
      <c r="Q39" s="2210">
        <v>4862</v>
      </c>
      <c r="R39" s="2223">
        <v>4515</v>
      </c>
      <c r="S39" s="2223">
        <v>4046.009</v>
      </c>
      <c r="T39" s="2223">
        <f>'CNG 2022 Exhibit 4'!$E$32/1000</f>
        <v>2222.1095928131635</v>
      </c>
      <c r="U39" s="2223">
        <f>'CNG 2023 Exhibit 4'!$E$32/1000</f>
        <v>1808.6435975231182</v>
      </c>
      <c r="V39" s="2223">
        <f>'CNG 2024 Exhibit 4'!$E$32/1000</f>
        <v>1799.5722190146969</v>
      </c>
    </row>
    <row r="40" spans="1:22" ht="17.25" customHeight="1" x14ac:dyDescent="0.2">
      <c r="A40" s="985" t="s">
        <v>347</v>
      </c>
      <c r="B40" s="981"/>
      <c r="C40" s="871" t="s">
        <v>227</v>
      </c>
      <c r="D40" s="2227">
        <v>0</v>
      </c>
      <c r="E40" s="2227">
        <v>0</v>
      </c>
      <c r="F40" s="2227">
        <v>0</v>
      </c>
      <c r="G40" s="2227">
        <v>692.62599999999998</v>
      </c>
      <c r="H40" s="2227">
        <v>980.06</v>
      </c>
      <c r="I40" s="2227">
        <v>877.61800000000005</v>
      </c>
      <c r="J40" s="2227">
        <v>820.32299999999998</v>
      </c>
      <c r="K40" s="2227">
        <v>1675</v>
      </c>
      <c r="L40" s="2227">
        <v>2078</v>
      </c>
      <c r="M40" s="2227">
        <v>1116</v>
      </c>
      <c r="N40" s="2227">
        <v>2384.2170000000001</v>
      </c>
      <c r="O40" s="2227">
        <v>2414</v>
      </c>
      <c r="P40" s="2227">
        <v>2261</v>
      </c>
      <c r="Q40" s="2227">
        <v>2540</v>
      </c>
      <c r="R40" s="2224">
        <v>1933</v>
      </c>
      <c r="S40" s="2224">
        <v>4510.5510000000004</v>
      </c>
      <c r="T40" s="2224">
        <f>'CNG 2022 Exhibit 4'!$E$30/1000</f>
        <v>1952.73</v>
      </c>
      <c r="U40" s="2224">
        <f>'CNG 2023 Exhibit 4'!$E$30/1000</f>
        <v>1238.835</v>
      </c>
      <c r="V40" s="2224">
        <f>'CNG 2024 Exhibit 4'!$E$30/1000</f>
        <v>504.66000000000008</v>
      </c>
    </row>
    <row r="41" spans="1:22" ht="17.25" customHeight="1" x14ac:dyDescent="0.2">
      <c r="A41" s="985"/>
      <c r="B41" s="981"/>
      <c r="C41" s="871" t="s">
        <v>529</v>
      </c>
      <c r="D41" s="2227">
        <v>0</v>
      </c>
      <c r="E41" s="2227">
        <v>0</v>
      </c>
      <c r="F41" s="2227">
        <v>0</v>
      </c>
      <c r="G41" s="2227"/>
      <c r="H41" s="2227"/>
      <c r="I41" s="2227"/>
      <c r="J41" s="2227" t="s">
        <v>722</v>
      </c>
      <c r="K41" s="2227" t="s">
        <v>722</v>
      </c>
      <c r="L41" s="2675" t="s">
        <v>722</v>
      </c>
      <c r="M41" s="2675" t="s">
        <v>722</v>
      </c>
      <c r="N41" s="2227">
        <v>231.99100000000001</v>
      </c>
      <c r="O41" s="2227">
        <v>162</v>
      </c>
      <c r="P41" s="2227">
        <v>0</v>
      </c>
      <c r="Q41" s="2227">
        <v>202</v>
      </c>
      <c r="R41" s="2223">
        <v>0</v>
      </c>
      <c r="S41" s="2223">
        <v>210.83500000000001</v>
      </c>
      <c r="T41" s="2223">
        <f>'CNG 2022 Exhibit 4'!$E$34/1000</f>
        <v>283.84995140913503</v>
      </c>
      <c r="U41" s="2223">
        <f>'CNG 2023 Exhibit 4'!$E$34/1000</f>
        <v>284.30709426627789</v>
      </c>
      <c r="V41" s="2223">
        <f>'CNG 2024 Exhibit 4'!$E$34/1000</f>
        <v>272.87619047619046</v>
      </c>
    </row>
    <row r="42" spans="1:22" ht="17.25" hidden="1" customHeight="1" thickBot="1" x14ac:dyDescent="0.25">
      <c r="A42" s="985" t="s">
        <v>347</v>
      </c>
      <c r="B42" s="982"/>
      <c r="C42" s="969" t="s">
        <v>110</v>
      </c>
      <c r="D42" s="2228">
        <v>0</v>
      </c>
      <c r="E42" s="2228">
        <v>0</v>
      </c>
      <c r="F42" s="2228">
        <v>102.14400000000001</v>
      </c>
      <c r="G42" s="2228">
        <v>327.10399999999998</v>
      </c>
      <c r="H42" s="2228">
        <v>234.68799999999999</v>
      </c>
      <c r="I42" s="2228">
        <v>280</v>
      </c>
      <c r="J42" s="2228"/>
      <c r="K42" s="2228"/>
      <c r="L42" s="2228"/>
      <c r="M42" s="2228"/>
      <c r="N42" s="2228">
        <v>0</v>
      </c>
      <c r="O42" s="2228">
        <v>0</v>
      </c>
      <c r="P42" s="2228">
        <f>'2018 Summary Table B'!$N25/1000</f>
        <v>0</v>
      </c>
      <c r="Q42" s="2228">
        <v>0</v>
      </c>
      <c r="R42" s="2228">
        <f>'2023 Summary Table B'!$N26/1000</f>
        <v>0</v>
      </c>
      <c r="S42" s="2225">
        <f>'2024 Summary Table B'!$N58/1000</f>
        <v>0</v>
      </c>
      <c r="T42" s="2225">
        <f>'2022 Summary Table B'!$M54/1000</f>
        <v>0</v>
      </c>
      <c r="U42" s="2225">
        <f>'2023 Summary Table B'!$M54/1000</f>
        <v>0</v>
      </c>
      <c r="V42" s="2225">
        <f>'2024 Summary Table B'!$M54/1000</f>
        <v>0</v>
      </c>
    </row>
    <row r="43" spans="1:22" ht="17.25" customHeight="1" thickBot="1" x14ac:dyDescent="0.3">
      <c r="A43" s="985" t="s">
        <v>347</v>
      </c>
      <c r="B43" s="982"/>
      <c r="C43" s="233" t="s">
        <v>30</v>
      </c>
      <c r="D43" s="2621">
        <f t="shared" ref="D43:N43" si="10">SUM(D37:D42)</f>
        <v>1118.4100000000001</v>
      </c>
      <c r="E43" s="2621">
        <f t="shared" si="10"/>
        <v>1864.326</v>
      </c>
      <c r="F43" s="2621">
        <f t="shared" si="10"/>
        <v>2962.826</v>
      </c>
      <c r="G43" s="2621">
        <f t="shared" si="10"/>
        <v>4599.1689999999999</v>
      </c>
      <c r="H43" s="2621">
        <f t="shared" si="10"/>
        <v>8691.4809999999998</v>
      </c>
      <c r="I43" s="2621">
        <f t="shared" si="10"/>
        <v>7325.2267000000002</v>
      </c>
      <c r="J43" s="2621">
        <f t="shared" si="10"/>
        <v>8462.9220000000005</v>
      </c>
      <c r="K43" s="2621">
        <f t="shared" si="10"/>
        <v>10773.415000000001</v>
      </c>
      <c r="L43" s="2621">
        <f t="shared" si="10"/>
        <v>22681.402999999998</v>
      </c>
      <c r="M43" s="2621">
        <f t="shared" si="10"/>
        <v>20455</v>
      </c>
      <c r="N43" s="2621">
        <f t="shared" si="10"/>
        <v>25429.538</v>
      </c>
      <c r="O43" s="2621">
        <f>SUM(O37:O42)</f>
        <v>21632</v>
      </c>
      <c r="P43" s="2621">
        <f>SUM(P37:P42)</f>
        <v>21232</v>
      </c>
      <c r="Q43" s="2621">
        <f>SUM(Q37:Q42)</f>
        <v>19346</v>
      </c>
      <c r="R43" s="2621">
        <f>SUM(R37:R42)</f>
        <v>13369</v>
      </c>
      <c r="S43" s="2621">
        <f>SUM(S37:S42)</f>
        <v>19441.845000000001</v>
      </c>
      <c r="T43" s="2621">
        <f t="shared" ref="T43:V43" si="11">SUM(T37:T42)</f>
        <v>12056.888997316435</v>
      </c>
      <c r="U43" s="2621">
        <f t="shared" si="11"/>
        <v>10396.526678289109</v>
      </c>
      <c r="V43" s="2621">
        <f t="shared" si="11"/>
        <v>9672.6798078578249</v>
      </c>
    </row>
    <row r="44" spans="1:22" ht="17.25" customHeight="1" thickBot="1" x14ac:dyDescent="0.3">
      <c r="A44" s="994" t="s">
        <v>347</v>
      </c>
      <c r="B44" s="981"/>
      <c r="C44" s="164"/>
      <c r="D44" s="2214"/>
      <c r="E44" s="2214"/>
      <c r="F44" s="2214"/>
      <c r="G44" s="2214"/>
      <c r="H44" s="2214"/>
      <c r="I44" s="2214"/>
      <c r="J44" s="2214"/>
      <c r="K44" s="2214"/>
      <c r="L44" s="2214"/>
      <c r="M44" s="2214"/>
      <c r="N44" s="2214"/>
      <c r="O44" s="2214"/>
      <c r="P44" s="2214"/>
      <c r="Q44" s="2214"/>
      <c r="R44" s="2214"/>
      <c r="S44" s="2214"/>
      <c r="T44" s="2214"/>
      <c r="U44" s="2214"/>
      <c r="V44" s="2214"/>
    </row>
    <row r="45" spans="1:22" ht="17.25" customHeight="1" thickBot="1" x14ac:dyDescent="0.3">
      <c r="A45" s="981"/>
      <c r="B45" s="981"/>
      <c r="C45" s="1027" t="s">
        <v>6</v>
      </c>
      <c r="D45" s="2215"/>
      <c r="E45" s="2215"/>
      <c r="F45" s="2215"/>
      <c r="G45" s="2215"/>
      <c r="H45" s="2215"/>
      <c r="I45" s="2215"/>
      <c r="J45" s="2215"/>
      <c r="K45" s="2215"/>
      <c r="L45" s="2215"/>
      <c r="M45" s="2226"/>
      <c r="N45" s="2226"/>
      <c r="O45" s="2226"/>
      <c r="P45" s="2226"/>
      <c r="Q45" s="2226"/>
      <c r="R45" s="2226"/>
      <c r="S45" s="2226"/>
      <c r="T45" s="2226"/>
      <c r="U45" s="2226"/>
      <c r="V45" s="2226"/>
    </row>
    <row r="46" spans="1:22" ht="17.25" customHeight="1" x14ac:dyDescent="0.2">
      <c r="A46" s="28"/>
      <c r="B46" s="981"/>
      <c r="C46" s="695" t="s">
        <v>112</v>
      </c>
      <c r="D46" s="2216">
        <v>0</v>
      </c>
      <c r="E46" s="2216">
        <v>0</v>
      </c>
      <c r="F46" s="2216">
        <v>361.04399999999998</v>
      </c>
      <c r="G46" s="2216">
        <v>1350.9259999999999</v>
      </c>
      <c r="H46" s="2216">
        <v>1578.2280000000001</v>
      </c>
      <c r="I46" s="2216">
        <v>2343.4630000000002</v>
      </c>
      <c r="J46" s="2216">
        <v>4293.701</v>
      </c>
      <c r="K46" s="2216">
        <v>6670</v>
      </c>
      <c r="L46" s="2216">
        <v>4233</v>
      </c>
      <c r="M46" s="2216">
        <v>4136</v>
      </c>
      <c r="N46" s="2216">
        <v>6233</v>
      </c>
      <c r="O46" s="2216">
        <v>8415</v>
      </c>
      <c r="P46" s="2216">
        <v>2926</v>
      </c>
      <c r="Q46" s="2216">
        <v>3006</v>
      </c>
      <c r="R46" s="2216">
        <v>8654</v>
      </c>
      <c r="S46" s="2216">
        <v>3555.5160000000001</v>
      </c>
      <c r="T46" s="2216">
        <f>'CNG 2022 Exhibit 4'!$E46/1000</f>
        <v>2902.4629252014429</v>
      </c>
      <c r="U46" s="2216">
        <f>'CNG 2023 Exhibit 4'!$E46/1000</f>
        <v>3275.3540618877769</v>
      </c>
      <c r="V46" s="2216">
        <f>'CNG 2024 Exhibit 4'!$E46/1000</f>
        <v>3330.8499329671149</v>
      </c>
    </row>
    <row r="47" spans="1:22" ht="17.25" customHeight="1" x14ac:dyDescent="0.2">
      <c r="A47" s="1003"/>
      <c r="B47" s="981"/>
      <c r="C47" s="2759" t="s">
        <v>116</v>
      </c>
      <c r="D47" s="2276">
        <v>0</v>
      </c>
      <c r="E47" s="2210">
        <v>0</v>
      </c>
      <c r="F47" s="2210">
        <v>56.465000000000003</v>
      </c>
      <c r="G47" s="2210">
        <v>831.78599999999994</v>
      </c>
      <c r="H47" s="2210">
        <v>1439.0730000000001</v>
      </c>
      <c r="I47" s="2210">
        <v>1482.6089999999999</v>
      </c>
      <c r="J47" s="2210">
        <v>2094.2950000000001</v>
      </c>
      <c r="K47" s="2210">
        <v>4517</v>
      </c>
      <c r="L47" s="2210">
        <v>2793</v>
      </c>
      <c r="M47" s="2210">
        <v>2476</v>
      </c>
      <c r="N47" s="2210">
        <v>2331</v>
      </c>
      <c r="O47" s="2210">
        <v>3541</v>
      </c>
      <c r="P47" s="2210">
        <v>4411</v>
      </c>
      <c r="Q47" s="2210">
        <v>3508</v>
      </c>
      <c r="R47" s="2210">
        <v>1136</v>
      </c>
      <c r="S47" s="2210">
        <v>2162.645</v>
      </c>
      <c r="T47" s="2210">
        <f>'CNG 2022 Exhibit 4'!$E47/1000</f>
        <v>1379.1110325144839</v>
      </c>
      <c r="U47" s="2210">
        <f>'CNG 2023 Exhibit 4'!$E47/1000</f>
        <v>1636.6589473812505</v>
      </c>
      <c r="V47" s="2210">
        <f>'CNG 2024 Exhibit 4'!$E47/1000</f>
        <v>1664.3896330501966</v>
      </c>
    </row>
    <row r="48" spans="1:22" ht="17.25" customHeight="1" thickBot="1" x14ac:dyDescent="0.25">
      <c r="A48" s="1003" t="s">
        <v>348</v>
      </c>
      <c r="B48" s="981"/>
      <c r="C48" s="2196" t="s">
        <v>581</v>
      </c>
      <c r="D48" s="2277">
        <v>0</v>
      </c>
      <c r="E48" s="2217">
        <v>0</v>
      </c>
      <c r="F48" s="2217">
        <v>0</v>
      </c>
      <c r="G48" s="2217">
        <v>0</v>
      </c>
      <c r="H48" s="2217">
        <v>83.5</v>
      </c>
      <c r="I48" s="2217">
        <v>326.51</v>
      </c>
      <c r="J48" s="2217">
        <v>1172.2660000000001</v>
      </c>
      <c r="K48" s="2217">
        <v>466</v>
      </c>
      <c r="L48" s="2217">
        <v>1700</v>
      </c>
      <c r="M48" s="2217">
        <v>889</v>
      </c>
      <c r="N48" s="2217">
        <v>729</v>
      </c>
      <c r="O48" s="2217">
        <v>1041</v>
      </c>
      <c r="P48" s="2217">
        <v>2037</v>
      </c>
      <c r="Q48" s="2217">
        <v>1414</v>
      </c>
      <c r="R48" s="2217">
        <v>851</v>
      </c>
      <c r="S48" s="2217">
        <v>1720.2619999999999</v>
      </c>
      <c r="T48" s="2217">
        <f>'CNG 2022 Exhibit 4'!$E48/1000</f>
        <v>1048.0913832364063</v>
      </c>
      <c r="U48" s="2217">
        <f>'CNG 2023 Exhibit 4'!$E48/1000</f>
        <v>1645.6770690597618</v>
      </c>
      <c r="V48" s="2217">
        <f>'CNG 2024 Exhibit 4'!$E48/1000</f>
        <v>1673.5605530242788</v>
      </c>
    </row>
    <row r="49" spans="1:22" ht="17.25" customHeight="1" thickBot="1" x14ac:dyDescent="0.25">
      <c r="A49" s="1003" t="s">
        <v>348</v>
      </c>
      <c r="B49" s="981"/>
      <c r="C49" s="690" t="s">
        <v>245</v>
      </c>
      <c r="D49" s="2219">
        <v>0</v>
      </c>
      <c r="E49" s="2219">
        <v>0</v>
      </c>
      <c r="F49" s="2219">
        <v>0</v>
      </c>
      <c r="G49" s="2219">
        <v>0</v>
      </c>
      <c r="H49" s="2219">
        <v>0</v>
      </c>
      <c r="I49" s="2219">
        <v>0</v>
      </c>
      <c r="J49" s="2219">
        <v>192.81899999999999</v>
      </c>
      <c r="K49" s="2218">
        <v>442</v>
      </c>
      <c r="L49" s="2218">
        <v>217</v>
      </c>
      <c r="M49" s="2218">
        <v>485</v>
      </c>
      <c r="N49" s="2218">
        <v>181</v>
      </c>
      <c r="O49" s="2218">
        <v>592</v>
      </c>
      <c r="P49" s="2218">
        <v>277</v>
      </c>
      <c r="Q49" s="2218">
        <v>604</v>
      </c>
      <c r="R49" s="2218">
        <v>74</v>
      </c>
      <c r="S49" s="2218">
        <v>498.90600000000001</v>
      </c>
      <c r="T49" s="2218">
        <f>'CNG 2022 Exhibit 4'!$E49/1000</f>
        <v>749.44235294117641</v>
      </c>
      <c r="U49" s="2218">
        <f>'CNG 2023 Exhibit 4'!$E49/1000</f>
        <v>880.76517791691003</v>
      </c>
      <c r="V49" s="2218">
        <f>'CNG 2024 Exhibit 4'!$E49/1000</f>
        <v>886.99239451362905</v>
      </c>
    </row>
    <row r="50" spans="1:22" ht="17.25" customHeight="1" thickBot="1" x14ac:dyDescent="0.3">
      <c r="A50" s="1003" t="s">
        <v>348</v>
      </c>
      <c r="B50" s="981"/>
      <c r="C50" s="26" t="s">
        <v>206</v>
      </c>
      <c r="D50" s="2624" t="e">
        <f>#REF!+#REF!+D49</f>
        <v>#REF!</v>
      </c>
      <c r="E50" s="2624" t="e">
        <f>#REF!+#REF!+E49</f>
        <v>#REF!</v>
      </c>
      <c r="F50" s="2624" t="e">
        <f>#REF!+#REF!+F49</f>
        <v>#REF!</v>
      </c>
      <c r="G50" s="2624" t="e">
        <f>#REF!+#REF!+G49</f>
        <v>#REF!</v>
      </c>
      <c r="H50" s="2624" t="e">
        <f>#REF!+#REF!+H49</f>
        <v>#REF!</v>
      </c>
      <c r="I50" s="2624" t="e">
        <f>#REF!+#REF!+I49</f>
        <v>#REF!</v>
      </c>
      <c r="J50" s="2624" t="e">
        <f>#REF!+#REF!+J49</f>
        <v>#REF!</v>
      </c>
      <c r="K50" s="2624">
        <f>SUM(K46:K49)</f>
        <v>12095</v>
      </c>
      <c r="L50" s="2624">
        <f t="shared" ref="L50:V50" si="12">SUM(L46:L49)</f>
        <v>8943</v>
      </c>
      <c r="M50" s="2624">
        <f t="shared" si="12"/>
        <v>7986</v>
      </c>
      <c r="N50" s="2624">
        <f t="shared" si="12"/>
        <v>9474</v>
      </c>
      <c r="O50" s="2624">
        <f t="shared" si="12"/>
        <v>13589</v>
      </c>
      <c r="P50" s="2624">
        <f t="shared" si="12"/>
        <v>9651</v>
      </c>
      <c r="Q50" s="2624">
        <f t="shared" si="12"/>
        <v>8532</v>
      </c>
      <c r="R50" s="2624">
        <f t="shared" si="12"/>
        <v>10715</v>
      </c>
      <c r="S50" s="2624">
        <f t="shared" si="12"/>
        <v>7937.3289999999997</v>
      </c>
      <c r="T50" s="2624">
        <f t="shared" si="12"/>
        <v>6079.1076938935093</v>
      </c>
      <c r="U50" s="2624">
        <f t="shared" si="12"/>
        <v>7438.4552562456993</v>
      </c>
      <c r="V50" s="2624">
        <f t="shared" si="12"/>
        <v>7555.7925135552196</v>
      </c>
    </row>
    <row r="51" spans="1:22" s="3" customFormat="1" ht="17.25" customHeight="1" thickBot="1" x14ac:dyDescent="0.3">
      <c r="A51" s="981"/>
      <c r="B51" s="981"/>
      <c r="C51" s="1017"/>
      <c r="D51" s="2625"/>
      <c r="E51" s="2625"/>
      <c r="F51" s="2625"/>
      <c r="G51" s="2625"/>
      <c r="H51" s="2625"/>
      <c r="I51" s="2625"/>
      <c r="J51" s="2625"/>
      <c r="K51" s="2625"/>
      <c r="L51" s="2625"/>
      <c r="M51" s="2625"/>
      <c r="N51" s="2625"/>
      <c r="O51" s="2625"/>
      <c r="P51" s="2625"/>
      <c r="Q51" s="2625"/>
      <c r="R51" s="2625"/>
      <c r="S51" s="2625"/>
      <c r="T51" s="2625"/>
      <c r="U51" s="2625"/>
      <c r="V51" s="2625"/>
    </row>
    <row r="52" spans="1:22" ht="17.25" customHeight="1" x14ac:dyDescent="0.2">
      <c r="A52" s="28"/>
      <c r="B52" s="981"/>
      <c r="C52" s="2626" t="s">
        <v>349</v>
      </c>
      <c r="D52" s="2220"/>
      <c r="E52" s="2220"/>
      <c r="F52" s="2220"/>
      <c r="G52" s="2220"/>
      <c r="H52" s="2220"/>
      <c r="I52" s="2220"/>
      <c r="J52" s="2220"/>
      <c r="K52" s="2220"/>
      <c r="L52" s="2220"/>
      <c r="M52" s="2220"/>
      <c r="N52" s="2220"/>
      <c r="O52" s="2220"/>
      <c r="P52" s="2220"/>
      <c r="Q52" s="2220"/>
      <c r="R52" s="2220"/>
      <c r="S52" s="2220"/>
      <c r="T52" s="2220"/>
      <c r="U52" s="2220"/>
      <c r="V52" s="2220"/>
    </row>
    <row r="53" spans="1:22" ht="17.25" customHeight="1" x14ac:dyDescent="0.2">
      <c r="A53" s="1009"/>
      <c r="B53" s="1010"/>
      <c r="C53" s="1011" t="s">
        <v>7</v>
      </c>
      <c r="D53" s="2221">
        <f t="shared" ref="D53:V53" si="13">D43</f>
        <v>1118.4100000000001</v>
      </c>
      <c r="E53" s="2221">
        <f t="shared" si="13"/>
        <v>1864.326</v>
      </c>
      <c r="F53" s="2221">
        <f t="shared" si="13"/>
        <v>2962.826</v>
      </c>
      <c r="G53" s="2221">
        <f t="shared" si="13"/>
        <v>4599.1689999999999</v>
      </c>
      <c r="H53" s="2221">
        <f t="shared" si="13"/>
        <v>8691.4809999999998</v>
      </c>
      <c r="I53" s="2221">
        <f t="shared" si="13"/>
        <v>7325.2267000000002</v>
      </c>
      <c r="J53" s="2221">
        <f t="shared" si="13"/>
        <v>8462.9220000000005</v>
      </c>
      <c r="K53" s="2221">
        <f t="shared" si="13"/>
        <v>10773.415000000001</v>
      </c>
      <c r="L53" s="2221">
        <f t="shared" si="13"/>
        <v>22681.402999999998</v>
      </c>
      <c r="M53" s="2221">
        <f t="shared" si="13"/>
        <v>20455</v>
      </c>
      <c r="N53" s="2221">
        <f t="shared" si="13"/>
        <v>25429.538</v>
      </c>
      <c r="O53" s="2221">
        <f t="shared" si="13"/>
        <v>21632</v>
      </c>
      <c r="P53" s="2221">
        <f t="shared" si="13"/>
        <v>21232</v>
      </c>
      <c r="Q53" s="2221">
        <f t="shared" si="13"/>
        <v>19346</v>
      </c>
      <c r="R53" s="2221">
        <f t="shared" si="13"/>
        <v>13369</v>
      </c>
      <c r="S53" s="2221">
        <f t="shared" si="13"/>
        <v>19441.845000000001</v>
      </c>
      <c r="T53" s="2221">
        <f t="shared" si="13"/>
        <v>12056.888997316435</v>
      </c>
      <c r="U53" s="2221">
        <f t="shared" si="13"/>
        <v>10396.526678289109</v>
      </c>
      <c r="V53" s="2221">
        <f t="shared" si="13"/>
        <v>9672.6798078578249</v>
      </c>
    </row>
    <row r="54" spans="1:22" ht="17.25" customHeight="1" x14ac:dyDescent="0.2">
      <c r="A54" s="1009"/>
      <c r="B54" s="1010"/>
      <c r="C54" s="1011" t="s">
        <v>8</v>
      </c>
      <c r="D54" s="2221" t="e">
        <f t="shared" ref="D54:N54" si="14">D50</f>
        <v>#REF!</v>
      </c>
      <c r="E54" s="2221" t="e">
        <f t="shared" si="14"/>
        <v>#REF!</v>
      </c>
      <c r="F54" s="2221" t="e">
        <f t="shared" si="14"/>
        <v>#REF!</v>
      </c>
      <c r="G54" s="2221" t="e">
        <f t="shared" si="14"/>
        <v>#REF!</v>
      </c>
      <c r="H54" s="2221" t="e">
        <f t="shared" si="14"/>
        <v>#REF!</v>
      </c>
      <c r="I54" s="2221" t="e">
        <f t="shared" si="14"/>
        <v>#REF!</v>
      </c>
      <c r="J54" s="2221" t="e">
        <f t="shared" si="14"/>
        <v>#REF!</v>
      </c>
      <c r="K54" s="2221">
        <f t="shared" si="14"/>
        <v>12095</v>
      </c>
      <c r="L54" s="2221">
        <f t="shared" si="14"/>
        <v>8943</v>
      </c>
      <c r="M54" s="2221">
        <f t="shared" si="14"/>
        <v>7986</v>
      </c>
      <c r="N54" s="2221">
        <f t="shared" si="14"/>
        <v>9474</v>
      </c>
      <c r="O54" s="2221">
        <f>O50</f>
        <v>13589</v>
      </c>
      <c r="P54" s="2221">
        <f>P50</f>
        <v>9651</v>
      </c>
      <c r="Q54" s="2221">
        <f>Q50</f>
        <v>8532</v>
      </c>
      <c r="R54" s="2221">
        <f>R50</f>
        <v>10715</v>
      </c>
      <c r="S54" s="2221">
        <f>S50</f>
        <v>7937.3289999999997</v>
      </c>
      <c r="T54" s="2221">
        <f t="shared" ref="T54:V54" si="15">T50</f>
        <v>6079.1076938935093</v>
      </c>
      <c r="U54" s="2221">
        <f t="shared" si="15"/>
        <v>7438.4552562456993</v>
      </c>
      <c r="V54" s="2221">
        <f t="shared" si="15"/>
        <v>7555.7925135552196</v>
      </c>
    </row>
    <row r="55" spans="1:22" ht="17.25" customHeight="1" thickBot="1" x14ac:dyDescent="0.25">
      <c r="A55" s="28"/>
      <c r="B55" s="981"/>
      <c r="C55" s="1013" t="s">
        <v>350</v>
      </c>
      <c r="D55" s="2222" t="e">
        <f t="shared" ref="D55:N55" si="16">SUM(D53:D54)</f>
        <v>#REF!</v>
      </c>
      <c r="E55" s="2222" t="e">
        <f t="shared" si="16"/>
        <v>#REF!</v>
      </c>
      <c r="F55" s="2222" t="e">
        <f t="shared" si="16"/>
        <v>#REF!</v>
      </c>
      <c r="G55" s="2222" t="e">
        <f t="shared" si="16"/>
        <v>#REF!</v>
      </c>
      <c r="H55" s="2222" t="e">
        <f t="shared" si="16"/>
        <v>#REF!</v>
      </c>
      <c r="I55" s="2222" t="e">
        <f t="shared" si="16"/>
        <v>#REF!</v>
      </c>
      <c r="J55" s="2222" t="e">
        <f t="shared" si="16"/>
        <v>#REF!</v>
      </c>
      <c r="K55" s="2222">
        <f t="shared" si="16"/>
        <v>22868.415000000001</v>
      </c>
      <c r="L55" s="2222">
        <f t="shared" si="16"/>
        <v>31624.402999999998</v>
      </c>
      <c r="M55" s="2222">
        <f t="shared" si="16"/>
        <v>28441</v>
      </c>
      <c r="N55" s="2222">
        <f t="shared" si="16"/>
        <v>34903.538</v>
      </c>
      <c r="O55" s="2222">
        <f>SUM(O53:O54)</f>
        <v>35221</v>
      </c>
      <c r="P55" s="2222">
        <f>SUM(P53:P54)</f>
        <v>30883</v>
      </c>
      <c r="Q55" s="2222">
        <f>SUM(Q53:Q54)</f>
        <v>27878</v>
      </c>
      <c r="R55" s="2222">
        <f>SUM(R53:R54)</f>
        <v>24084</v>
      </c>
      <c r="S55" s="2222">
        <f>SUM(S53:S54)</f>
        <v>27379.173999999999</v>
      </c>
      <c r="T55" s="2222">
        <f t="shared" ref="T55:V55" si="17">SUM(T53:T54)</f>
        <v>18135.996691209944</v>
      </c>
      <c r="U55" s="2222">
        <f t="shared" si="17"/>
        <v>17834.981934534808</v>
      </c>
      <c r="V55" s="2222">
        <f t="shared" si="17"/>
        <v>17228.472321413043</v>
      </c>
    </row>
    <row r="56" spans="1:22" x14ac:dyDescent="0.2">
      <c r="L56" s="3"/>
      <c r="M56" s="3"/>
      <c r="R56"/>
    </row>
  </sheetData>
  <printOptions horizontalCentered="1"/>
  <pageMargins left="0.5" right="0.5" top="0.75" bottom="0.75" header="0.5" footer="0.25"/>
  <pageSetup scale="50" orientation="landscape" r:id="rId1"/>
  <headerFooter alignWithMargins="0">
    <oddFooter>&amp;C&amp;1#&amp;"Calibri"&amp;12&amp;K008000Internal Use</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60">
    <pageSetUpPr fitToPage="1"/>
  </sheetPr>
  <dimension ref="A1:S45"/>
  <sheetViews>
    <sheetView zoomScale="75" zoomScaleNormal="75" workbookViewId="0">
      <selection activeCell="C67" sqref="C67:E67"/>
    </sheetView>
  </sheetViews>
  <sheetFormatPr defaultRowHeight="12.75" x14ac:dyDescent="0.2"/>
  <cols>
    <col min="1" max="1" width="6.28515625" customWidth="1"/>
    <col min="2" max="2" width="12.7109375" customWidth="1"/>
    <col min="3" max="3" width="60.7109375" customWidth="1"/>
    <col min="4" max="6" width="11.7109375" hidden="1" customWidth="1"/>
    <col min="7" max="7" width="11.5703125" hidden="1" customWidth="1"/>
    <col min="8" max="10" width="11.7109375" hidden="1" customWidth="1"/>
    <col min="11" max="17" width="11.7109375" customWidth="1"/>
    <col min="18" max="18" width="11.7109375" style="3" customWidth="1"/>
    <col min="19" max="19" width="11.7109375" customWidth="1"/>
  </cols>
  <sheetData>
    <row r="1" spans="1:19" ht="23.25" x14ac:dyDescent="0.35">
      <c r="C1" s="501"/>
    </row>
    <row r="2" spans="1:19" ht="21" customHeight="1" x14ac:dyDescent="0.3">
      <c r="A2" s="3"/>
      <c r="B2" s="3"/>
      <c r="C2" s="2474" t="s">
        <v>592</v>
      </c>
      <c r="D2" s="2474"/>
      <c r="E2" s="2474"/>
      <c r="F2" s="2474"/>
      <c r="G2" s="2474"/>
      <c r="H2" s="2474"/>
      <c r="I2" s="2474"/>
      <c r="J2" s="2474"/>
      <c r="K2" s="2474"/>
      <c r="L2" s="2474"/>
      <c r="M2" s="2474"/>
      <c r="N2" s="2474"/>
      <c r="O2" s="2474"/>
      <c r="P2" s="2474"/>
      <c r="Q2" s="2474"/>
      <c r="R2" s="2474"/>
      <c r="S2" s="2474"/>
    </row>
    <row r="3" spans="1:19" ht="24" customHeight="1" x14ac:dyDescent="0.3">
      <c r="A3" s="3"/>
      <c r="B3" s="2502"/>
      <c r="C3" s="2627" t="s">
        <v>588</v>
      </c>
      <c r="D3" s="2627"/>
      <c r="E3" s="2627"/>
      <c r="F3" s="2627"/>
      <c r="G3" s="2627"/>
      <c r="H3" s="2627"/>
      <c r="I3" s="2627"/>
      <c r="J3" s="2627"/>
      <c r="K3" s="2627"/>
      <c r="L3" s="2627"/>
      <c r="M3" s="2627"/>
      <c r="N3" s="2627"/>
      <c r="O3" s="2627"/>
      <c r="P3" s="2627"/>
      <c r="Q3" s="2627"/>
      <c r="R3" s="2627"/>
      <c r="S3" s="2627"/>
    </row>
    <row r="4" spans="1:19" ht="24" customHeight="1" thickBot="1" x14ac:dyDescent="0.35">
      <c r="A4" s="3"/>
      <c r="B4" s="2502"/>
      <c r="C4" s="213"/>
      <c r="D4" s="2599"/>
      <c r="E4" s="33"/>
      <c r="F4" s="33"/>
      <c r="G4" s="33"/>
      <c r="H4" s="33"/>
      <c r="I4" s="33"/>
      <c r="J4" s="33"/>
      <c r="K4" s="33"/>
      <c r="L4" s="33"/>
      <c r="M4" s="33"/>
      <c r="N4" s="33"/>
      <c r="O4" s="33"/>
      <c r="P4" s="33"/>
      <c r="Q4" s="33"/>
      <c r="R4" s="1023"/>
      <c r="S4" s="33"/>
    </row>
    <row r="5" spans="1:19" ht="24" customHeight="1" thickBot="1" x14ac:dyDescent="0.35">
      <c r="A5" s="3"/>
      <c r="B5" s="2502"/>
      <c r="C5" s="2600" t="s">
        <v>589</v>
      </c>
      <c r="D5" s="2601"/>
      <c r="E5" s="2601"/>
      <c r="F5" s="2601"/>
      <c r="G5" s="2601"/>
      <c r="H5" s="2601"/>
      <c r="I5" s="2601"/>
      <c r="J5" s="2601"/>
      <c r="K5" s="2601"/>
      <c r="L5" s="2601"/>
      <c r="M5" s="2601"/>
      <c r="N5" s="2601"/>
      <c r="O5" s="2601"/>
      <c r="P5" s="2602"/>
      <c r="Q5" s="2601"/>
      <c r="R5" s="2601"/>
      <c r="S5" s="2602"/>
    </row>
    <row r="6" spans="1:19" ht="14.2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row>
    <row r="7" spans="1:19" ht="14.25" customHeight="1" thickBot="1" x14ac:dyDescent="0.35">
      <c r="A7" s="15"/>
      <c r="B7" s="15"/>
      <c r="C7" s="213"/>
      <c r="D7" s="195" t="s">
        <v>186</v>
      </c>
      <c r="E7" s="195" t="s">
        <v>186</v>
      </c>
      <c r="F7" s="195" t="s">
        <v>186</v>
      </c>
      <c r="G7" s="195" t="s">
        <v>186</v>
      </c>
      <c r="H7" s="195" t="s">
        <v>186</v>
      </c>
      <c r="I7" s="195" t="str">
        <f>'CNG Table D1'!I7</f>
        <v>Actual</v>
      </c>
      <c r="J7" s="195" t="str">
        <f>'CNG Table D1'!J7</f>
        <v>Actual</v>
      </c>
      <c r="K7" s="195" t="str">
        <f>'CNG Table D1'!K7</f>
        <v>Actual</v>
      </c>
      <c r="L7" s="195" t="str">
        <f>'CNG Table D1'!L7</f>
        <v>Actual</v>
      </c>
      <c r="M7" s="195" t="str">
        <f>'CNG Table D1'!M7</f>
        <v>Actual</v>
      </c>
      <c r="N7" s="195" t="str">
        <f>'CNG Table D1'!N7</f>
        <v>Actual</v>
      </c>
      <c r="O7" s="195" t="str">
        <f>'CNG Table D1'!O7</f>
        <v>Actual</v>
      </c>
      <c r="P7" s="195" t="str">
        <f>'CNG Table D1'!P7</f>
        <v>Actual</v>
      </c>
      <c r="Q7" s="195" t="str">
        <f>'CNG Table D1'!Q7</f>
        <v>Actual</v>
      </c>
      <c r="R7" s="195" t="str">
        <f>'CNG Table D1'!R7</f>
        <v>Actual</v>
      </c>
      <c r="S7" s="195" t="str">
        <f>'CNG Table D1'!S7</f>
        <v>Actual</v>
      </c>
    </row>
    <row r="8" spans="1:19" ht="17.25" customHeight="1" thickBot="1" x14ac:dyDescent="0.3">
      <c r="A8" s="982"/>
      <c r="B8" s="982"/>
      <c r="C8" s="1026" t="s">
        <v>115</v>
      </c>
      <c r="D8" s="2604"/>
      <c r="E8" s="2604"/>
      <c r="F8" s="2604"/>
      <c r="G8" s="2604"/>
      <c r="H8" s="2604"/>
      <c r="I8" s="2604"/>
      <c r="J8" s="2604"/>
      <c r="K8" s="2206"/>
      <c r="L8" s="2206"/>
      <c r="M8" s="2206"/>
      <c r="N8" s="2206"/>
      <c r="O8" s="2206"/>
      <c r="P8" s="2206"/>
      <c r="Q8" s="2206"/>
      <c r="R8" s="2206"/>
      <c r="S8" s="2206"/>
    </row>
    <row r="9" spans="1:19" ht="17.25" customHeight="1" x14ac:dyDescent="0.2">
      <c r="A9" s="985" t="s">
        <v>347</v>
      </c>
      <c r="B9" s="982"/>
      <c r="C9" s="155" t="s">
        <v>222</v>
      </c>
      <c r="D9" s="2250">
        <f>'CNG Table D'!D9/'CNG Table D1'!D9</f>
        <v>10.09037748299165</v>
      </c>
      <c r="E9" s="2250">
        <f>'CNG Table D'!E9/'CNG Table D1'!E9</f>
        <v>6.4560756988139882</v>
      </c>
      <c r="F9" s="2250">
        <f>'CNG Table D'!F9/'CNG Table D1'!F9</f>
        <v>6.445835764403153</v>
      </c>
      <c r="G9" s="2250">
        <f>'CNG Table D'!G9/'CNG Table D1'!G9</f>
        <v>4.9096501670612698</v>
      </c>
      <c r="H9" s="2250">
        <f>'CNG Table D'!H9/'CNG Table D1'!H9</f>
        <v>5.3997245485694361</v>
      </c>
      <c r="I9" s="2250" t="e">
        <f>'CNG Table D'!#REF!/'CNG Table D1'!I9</f>
        <v>#REF!</v>
      </c>
      <c r="J9" s="2250" t="e">
        <f>'CNG Table D'!#REF!/'CNG Table D1'!J9</f>
        <v>#REF!</v>
      </c>
      <c r="K9" s="2250">
        <f>'CNG Table D'!I9/'CNG Table D1'!K9</f>
        <v>9.4641095718279775</v>
      </c>
      <c r="L9" s="2250">
        <f>'CNG Table D'!J9/'CNG Table D1'!L9</f>
        <v>6.8841607565011822</v>
      </c>
      <c r="M9" s="2250">
        <f>'CNG Table D'!K9/'CNG Table D1'!M9</f>
        <v>10.006651884700664</v>
      </c>
      <c r="N9" s="2250">
        <f>'CNG Table D'!L9/'CNG Table D1'!N9</f>
        <v>7.1649831649831652</v>
      </c>
      <c r="O9" s="2250">
        <f>'CNG Table D'!M9/'CNG Table D1'!O9</f>
        <v>11.219873150105709</v>
      </c>
      <c r="P9" s="2250">
        <f>'CNG Table D'!N9/'CNG Table D1'!P9</f>
        <v>11.283210407239819</v>
      </c>
      <c r="Q9" s="2250">
        <f>'CNG Table D'!O9/'CNG Table D1'!Q9</f>
        <v>0.93570189701897022</v>
      </c>
      <c r="R9" s="2250">
        <f>'CNG Table D'!P9/'CNG Table D1'!R9</f>
        <v>0.66382068965517249</v>
      </c>
      <c r="S9" s="2250">
        <f>'CNG Table D'!Q9/'CNG Table D1'!S9</f>
        <v>11.522418205109823</v>
      </c>
    </row>
    <row r="10" spans="1:19" ht="17.25" customHeight="1" x14ac:dyDescent="0.2">
      <c r="A10" s="985" t="s">
        <v>347</v>
      </c>
      <c r="B10" s="982"/>
      <c r="C10" s="155" t="s">
        <v>149</v>
      </c>
      <c r="D10" s="2250">
        <f>'CNG Table D'!D10/'CNG Table D1'!D10</f>
        <v>3.6742215632281292</v>
      </c>
      <c r="E10" s="2250">
        <f>'CNG Table D'!E10/'CNG Table D1'!E10</f>
        <v>7.4545708158248036</v>
      </c>
      <c r="F10" s="2250">
        <f>'CNG Table D'!F10/'CNG Table D1'!F10</f>
        <v>7.6129269740369141</v>
      </c>
      <c r="G10" s="2250">
        <f>'CNG Table D'!G10/'CNG Table D1'!G10</f>
        <v>7.6188902247701709</v>
      </c>
      <c r="H10" s="2250">
        <f>'CNG Table D'!H10/'CNG Table D1'!H10</f>
        <v>5.1283602954963046</v>
      </c>
      <c r="I10" s="2250" t="e">
        <f>'CNG Table D'!#REF!/'CNG Table D1'!I10</f>
        <v>#REF!</v>
      </c>
      <c r="J10" s="2628" t="e">
        <f>'CNG Table D'!#REF!/'CNG Table D1'!J10</f>
        <v>#REF!</v>
      </c>
      <c r="K10" s="2629">
        <f>'CNG Table D'!I10/'CNG Table D1'!K10</f>
        <v>4.9975186104218361</v>
      </c>
      <c r="L10" s="2251">
        <f>'CNG Table D'!J10/'CNG Table D1'!L10</f>
        <v>7.5518945634266883</v>
      </c>
      <c r="M10" s="2252">
        <f>'CNG Table D'!K10/'CNG Table D1'!M10</f>
        <v>6.8765432098765435</v>
      </c>
      <c r="N10" s="2252">
        <f>'CNG Table D'!L10/'CNG Table D1'!N10</f>
        <v>8.7733812949640289</v>
      </c>
      <c r="O10" s="2252">
        <f>'CNG Table D'!M10/'CNG Table D1'!O10</f>
        <v>9.6954732510288064</v>
      </c>
      <c r="P10" s="2252">
        <f>'CNG Table D'!N10/'CNG Table D1'!P10</f>
        <v>8.5472962962962953</v>
      </c>
      <c r="Q10" s="2252">
        <f>'CNG Table D'!O10/'CNG Table D1'!Q10</f>
        <v>8.4753794871794881</v>
      </c>
      <c r="R10" s="2252">
        <f>'CNG Table D'!P10/'CNG Table D1'!R10</f>
        <v>13.356203208556151</v>
      </c>
      <c r="S10" s="2252">
        <f>'CNG Table D'!Q10/'CNG Table D1'!S10</f>
        <v>22.319677032015139</v>
      </c>
    </row>
    <row r="11" spans="1:19" ht="17.25" customHeight="1" x14ac:dyDescent="0.2">
      <c r="A11" s="985" t="s">
        <v>347</v>
      </c>
      <c r="B11" s="982"/>
      <c r="C11" s="155" t="s">
        <v>595</v>
      </c>
      <c r="D11" s="2250"/>
      <c r="E11" s="2250"/>
      <c r="F11" s="2250"/>
      <c r="G11" s="2250"/>
      <c r="H11" s="2250"/>
      <c r="I11" s="2250" t="e">
        <f>'CNG Table D'!#REF!/'CNG Table D1'!I11</f>
        <v>#REF!</v>
      </c>
      <c r="J11" s="2628" t="e">
        <f>'CNG Table D'!#REF!/'CNG Table D1'!J11</f>
        <v>#REF!</v>
      </c>
      <c r="K11" s="2629">
        <f>'CNG Table D'!I11/'CNG Table D1'!K11</f>
        <v>17.199842643587729</v>
      </c>
      <c r="L11" s="2251">
        <f>'CNG Table D'!J11/'CNG Table D1'!L11</f>
        <v>6.0132278402769188</v>
      </c>
      <c r="M11" s="2252">
        <f>'CNG Table D'!K11/'CNG Table D1'!M11</f>
        <v>7.8181818181818183</v>
      </c>
      <c r="N11" s="2252">
        <f>'CNG Table D'!L11/'CNG Table D1'!N11</f>
        <v>7.2762645914396886</v>
      </c>
      <c r="O11" s="2252">
        <f>'CNG Table D'!M11/'CNG Table D1'!O11</f>
        <v>8.1209302325581394</v>
      </c>
      <c r="P11" s="2252">
        <f>'CNG Table D'!N11/'CNG Table D1'!P11</f>
        <v>7.6247918215613382</v>
      </c>
      <c r="Q11" s="2252">
        <f>'CNG Table D'!O11/'CNG Table D1'!Q11</f>
        <v>10.540872950819672</v>
      </c>
      <c r="R11" s="2252">
        <f>'CNG Table D'!P11/'CNG Table D1'!R11</f>
        <v>11.564965517241379</v>
      </c>
      <c r="S11" s="2252">
        <f>'CNG Table D'!Q11/'CNG Table D1'!S11</f>
        <v>14.832316592423226</v>
      </c>
    </row>
    <row r="12" spans="1:19" ht="17.25" customHeight="1" x14ac:dyDescent="0.2">
      <c r="A12" s="985" t="s">
        <v>347</v>
      </c>
      <c r="B12" s="981"/>
      <c r="C12" s="871" t="s">
        <v>227</v>
      </c>
      <c r="D12" s="2262">
        <v>0</v>
      </c>
      <c r="E12" s="2262">
        <v>0</v>
      </c>
      <c r="F12" s="2262">
        <v>0</v>
      </c>
      <c r="G12" s="2262">
        <f>'CNG Table D'!G12/'CNG Table D1'!G12</f>
        <v>6.4589871864284438</v>
      </c>
      <c r="H12" s="2262">
        <f>'CNG Table D'!H12/'CNG Table D1'!H12</f>
        <v>10.765923422274376</v>
      </c>
      <c r="I12" s="2262" t="e">
        <f>'CNG Table D'!#REF!/'CNG Table D1'!I12</f>
        <v>#REF!</v>
      </c>
      <c r="J12" s="2630" t="e">
        <f>'CNG Table D'!#REF!/'CNG Table D1'!J12</f>
        <v>#REF!</v>
      </c>
      <c r="K12" s="2631">
        <f>'CNG Table D'!I12/'CNG Table D1'!K12</f>
        <v>18.663226507332968</v>
      </c>
      <c r="L12" s="2253">
        <f>'CNG Table D'!J12/'CNG Table D1'!L12</f>
        <v>4.9777777777777779</v>
      </c>
      <c r="M12" s="2254">
        <f>'CNG Table D'!K12/'CNG Table D1'!M12</f>
        <v>11.469387755102041</v>
      </c>
      <c r="N12" s="2254">
        <f>'CNG Table D'!L12/'CNG Table D1'!N12</f>
        <v>7.395833333333333</v>
      </c>
      <c r="O12" s="2254">
        <f>'CNG Table D'!M12/'CNG Table D1'!O12</f>
        <v>4.4020618556701034</v>
      </c>
      <c r="P12" s="2254">
        <f>'CNG Table D'!N12/'CNG Table D1'!P12</f>
        <v>5.049989473684211</v>
      </c>
      <c r="Q12" s="2254">
        <f>'CNG Table D'!O12/'CNG Table D1'!Q12</f>
        <v>57.163594936708861</v>
      </c>
      <c r="R12" s="2254">
        <f>'CNG Table D'!P12/'CNG Table D1'!R12</f>
        <v>6.1097532467532467</v>
      </c>
      <c r="S12" s="2254">
        <f>'CNG Table D'!Q12/'CNG Table D1'!S12</f>
        <v>0.11654897961445942</v>
      </c>
    </row>
    <row r="13" spans="1:19" ht="17.25" customHeight="1" x14ac:dyDescent="0.2">
      <c r="A13" s="985"/>
      <c r="B13" s="981"/>
      <c r="C13" s="871" t="s">
        <v>529</v>
      </c>
      <c r="D13" s="2262">
        <v>0</v>
      </c>
      <c r="E13" s="2262">
        <v>0</v>
      </c>
      <c r="F13" s="2262">
        <v>0</v>
      </c>
      <c r="G13" s="2262"/>
      <c r="H13" s="2262"/>
      <c r="I13" s="2262"/>
      <c r="J13" s="2630"/>
      <c r="K13" s="2631"/>
      <c r="L13" s="2253"/>
      <c r="M13" s="2254"/>
      <c r="N13" s="2254">
        <f>'CNG Table D'!L13/'CNG Table D1'!N13</f>
        <v>1.853932584269663</v>
      </c>
      <c r="O13" s="2254">
        <f>'CNG Table D'!M13/'CNG Table D1'!O13</f>
        <v>0.5161290322580645</v>
      </c>
      <c r="P13" s="2254" t="str">
        <f>IFERROR('CNG Table D'!N13/'CNG Table D1'!P13,"NA")</f>
        <v>NA</v>
      </c>
      <c r="Q13" s="2254">
        <f>'CNG Table D'!O13/'CNG Table D1'!Q13</f>
        <v>0.30983333333333335</v>
      </c>
      <c r="R13" s="2254" t="e">
        <f>'CNG Table D'!P13/'CNG Table D1'!R13</f>
        <v>#DIV/0!</v>
      </c>
      <c r="S13" s="2254">
        <f>'CNG Table D'!Q13/'CNG Table D1'!S13</f>
        <v>0.5911798744047505</v>
      </c>
    </row>
    <row r="14" spans="1:19" ht="17.25" hidden="1" customHeight="1" thickBot="1" x14ac:dyDescent="0.25">
      <c r="A14" s="985" t="s">
        <v>347</v>
      </c>
      <c r="B14" s="982"/>
      <c r="C14" s="969" t="s">
        <v>110</v>
      </c>
      <c r="D14" s="2263">
        <v>0</v>
      </c>
      <c r="E14" s="2263">
        <v>0</v>
      </c>
      <c r="F14" s="2263">
        <f>'CNG Table D'!F14/'CNG Table D1'!F14</f>
        <v>7.4564323477579784</v>
      </c>
      <c r="G14" s="2263">
        <f>'CNG Table D'!G14/'CNG Table D1'!G14</f>
        <v>5.6322940996637101</v>
      </c>
      <c r="H14" s="2263">
        <f>'CNG Table D'!H14/'CNG Table D1'!H14</f>
        <v>5.067511505028123</v>
      </c>
      <c r="I14" s="2263" t="e">
        <f>'CNG Table D'!#REF!/'CNG Table D1'!I14</f>
        <v>#REF!</v>
      </c>
      <c r="J14" s="2632"/>
      <c r="K14" s="2633"/>
      <c r="L14" s="2255"/>
      <c r="M14" s="2256"/>
      <c r="N14" s="2256"/>
      <c r="O14" s="2256"/>
      <c r="P14" s="2256"/>
      <c r="Q14" s="2256"/>
      <c r="R14" s="2256"/>
      <c r="S14" s="2256"/>
    </row>
    <row r="15" spans="1:19" ht="17.25" customHeight="1" thickBot="1" x14ac:dyDescent="0.3">
      <c r="A15" s="985" t="s">
        <v>347</v>
      </c>
      <c r="B15" s="982"/>
      <c r="C15" s="233" t="s">
        <v>30</v>
      </c>
      <c r="D15" s="2634">
        <f>'CNG Table D'!D15/'CNG Table D1'!D15</f>
        <v>8.5266382158590321</v>
      </c>
      <c r="E15" s="2634">
        <f>'CNG Table D'!E15/'CNG Table D1'!E15</f>
        <v>6.9353189281470202</v>
      </c>
      <c r="F15" s="2634">
        <f>'CNG Table D'!F15/'CNG Table D1'!F15</f>
        <v>7.1661672505470317</v>
      </c>
      <c r="G15" s="2634">
        <f>'CNG Table D'!G15/'CNG Table D1'!G15</f>
        <v>5.876078469347406</v>
      </c>
      <c r="H15" s="2634">
        <f>'CNG Table D'!H15/'CNG Table D1'!H15</f>
        <v>5.6870407697598031</v>
      </c>
      <c r="I15" s="2634" t="e">
        <f>'CNG Table D'!#REF!/'CNG Table D1'!I15</f>
        <v>#REF!</v>
      </c>
      <c r="J15" s="2634" t="e">
        <f>'CNG Table D'!#REF!/'CNG Table D1'!J15</f>
        <v>#REF!</v>
      </c>
      <c r="K15" s="2634">
        <f>'CNG Table D'!I15/'CNG Table D1'!K15</f>
        <v>7.5234718613208678</v>
      </c>
      <c r="L15" s="2634">
        <f>'CNG Table D'!J15/'CNG Table D1'!L15</f>
        <v>7.0774843378414296</v>
      </c>
      <c r="M15" s="2634">
        <f>'CNG Table D'!K15/'CNG Table D1'!M15</f>
        <v>8.505825242718446</v>
      </c>
      <c r="N15" s="2634">
        <f>'CNG Table D'!L15/'CNG Table D1'!N15</f>
        <v>7.1841704718417043</v>
      </c>
      <c r="O15" s="2634">
        <f>'CNG Table D'!M15/'CNG Table D1'!O15</f>
        <v>9.0532110091743121</v>
      </c>
      <c r="P15" s="2634">
        <f>'CNG Table D'!N15/'CNG Table D1'!P15</f>
        <v>9.2974980430528369</v>
      </c>
      <c r="Q15" s="2634">
        <f>'CNG Table D'!O15/'CNG Table D1'!Q15</f>
        <v>9.2732594099694801</v>
      </c>
      <c r="R15" s="2634">
        <f>'CNG Table D'!P15/'CNG Table D1'!R15</f>
        <v>9.2020483619344766</v>
      </c>
      <c r="S15" s="2634">
        <f>'CNG Table D'!Q15/'CNG Table D1'!S15</f>
        <v>11.17315525374957</v>
      </c>
    </row>
    <row r="16" spans="1:19" ht="17.25" customHeight="1" thickBot="1" x14ac:dyDescent="0.3">
      <c r="A16" s="994" t="s">
        <v>347</v>
      </c>
      <c r="B16" s="981"/>
      <c r="C16" s="164"/>
      <c r="D16" s="2257"/>
      <c r="E16" s="2257"/>
      <c r="F16" s="2257"/>
      <c r="G16" s="2257"/>
      <c r="H16" s="2257"/>
      <c r="I16" s="2257"/>
      <c r="J16" s="2257"/>
      <c r="K16" s="2257"/>
      <c r="L16" s="2257"/>
      <c r="M16" s="2257"/>
      <c r="N16" s="2257"/>
      <c r="O16" s="2257"/>
      <c r="P16" s="2257"/>
      <c r="Q16" s="2257"/>
      <c r="R16" s="2257"/>
      <c r="S16" s="2257"/>
    </row>
    <row r="17" spans="1:19" ht="17.25" customHeight="1" thickBot="1" x14ac:dyDescent="0.3">
      <c r="A17" s="981"/>
      <c r="B17" s="981"/>
      <c r="C17" s="1026" t="s">
        <v>6</v>
      </c>
      <c r="D17" s="2604"/>
      <c r="E17" s="2604"/>
      <c r="F17" s="2604"/>
      <c r="G17" s="2604"/>
      <c r="H17" s="2604"/>
      <c r="I17" s="2604"/>
      <c r="J17" s="2604"/>
      <c r="K17" s="2206"/>
      <c r="L17" s="2206"/>
      <c r="M17" s="2206"/>
      <c r="N17" s="2206"/>
      <c r="O17" s="2206"/>
      <c r="P17" s="2206"/>
      <c r="Q17" s="2206"/>
      <c r="R17" s="2206"/>
      <c r="S17" s="2206"/>
    </row>
    <row r="18" spans="1:19" ht="17.25" customHeight="1" x14ac:dyDescent="0.2">
      <c r="A18" s="28"/>
      <c r="B18" s="981"/>
      <c r="C18" s="695" t="s">
        <v>112</v>
      </c>
      <c r="D18" s="2260">
        <v>0</v>
      </c>
      <c r="E18" s="2260">
        <v>0</v>
      </c>
      <c r="F18" s="2260">
        <f>'CNG Table D'!F18/'CNG Table D1'!F18</f>
        <v>10.008945343208243</v>
      </c>
      <c r="G18" s="2260">
        <f>'CNG Table D'!G18/'CNG Table D1'!G18</f>
        <v>6.4530558248596481</v>
      </c>
      <c r="H18" s="2260">
        <f>'CNG Table D'!H18/'CNG Table D1'!H18</f>
        <v>6.8339099835564943</v>
      </c>
      <c r="I18" s="2260" t="e">
        <f>'CNG Table D'!#REF!/'CNG Table D1'!I18</f>
        <v>#REF!</v>
      </c>
      <c r="J18" s="2260" t="e">
        <f>'CNG Table D'!#REF!/'CNG Table D1'!J18</f>
        <v>#REF!</v>
      </c>
      <c r="K18" s="2250">
        <f>'CNG Table D'!I18/'CNG Table D1'!K18</f>
        <v>2.9498746867167918</v>
      </c>
      <c r="L18" s="2250">
        <f>'CNG Table D'!J18/'CNG Table D1'!L18</f>
        <v>6.8795620437956204</v>
      </c>
      <c r="M18" s="2250">
        <f>'CNG Table D'!K18/'CNG Table D1'!M18</f>
        <v>4.49609375</v>
      </c>
      <c r="N18" s="2250">
        <f>'CNG Table D'!L18/'CNG Table D1'!N18</f>
        <v>5.2605459057071959</v>
      </c>
      <c r="O18" s="2250">
        <f>'CNG Table D'!M18/'CNG Table D1'!O18</f>
        <v>4.3503787878787881</v>
      </c>
      <c r="P18" s="2250">
        <f>'CNG Table D'!N18/'CNG Table D1'!P18</f>
        <v>9.853103626943005</v>
      </c>
      <c r="Q18" s="2250">
        <f>'CNG Table D'!O18/'CNG Table D1'!Q18</f>
        <v>6.6591784037558686</v>
      </c>
      <c r="R18" s="2250">
        <f>'CNG Table D'!P18/'CNG Table D1'!R18</f>
        <v>7.5930366300366297</v>
      </c>
      <c r="S18" s="2250">
        <f>'CNG Table D'!Q18/'CNG Table D1'!S18</f>
        <v>16.058683629036093</v>
      </c>
    </row>
    <row r="19" spans="1:19" ht="17.25" customHeight="1" thickBot="1" x14ac:dyDescent="0.25">
      <c r="A19" s="1003"/>
      <c r="B19" s="981"/>
      <c r="C19" s="2759" t="s">
        <v>116</v>
      </c>
      <c r="D19" s="2760">
        <v>0</v>
      </c>
      <c r="E19" s="2250">
        <v>0</v>
      </c>
      <c r="F19" s="2250">
        <f>'CNG Table D'!F19/'CNG Table D1'!F19</f>
        <v>3.0336461838144149</v>
      </c>
      <c r="G19" s="2250">
        <f>'CNG Table D'!G19/'CNG Table D1'!G19</f>
        <v>1.9549634467297008</v>
      </c>
      <c r="H19" s="2250">
        <f>'CNG Table D'!H19/'CNG Table D1'!H19</f>
        <v>2.6694523023343684</v>
      </c>
      <c r="I19" s="2250" t="e">
        <f>'CNG Table D'!#REF!/'CNG Table D1'!I19</f>
        <v>#REF!</v>
      </c>
      <c r="J19" s="2628" t="e">
        <f>'CNG Table D'!#REF!/'CNG Table D1'!J19</f>
        <v>#REF!</v>
      </c>
      <c r="K19" s="2628">
        <f>'CNG Table D'!I19/'CNG Table D1'!K19</f>
        <v>3.8114143920595533</v>
      </c>
      <c r="L19" s="2261">
        <f>'CNG Table D'!J19/'CNG Table D1'!L19</f>
        <v>3.0833333333333335</v>
      </c>
      <c r="M19" s="2760">
        <f>'CNG Table D'!K19/'CNG Table D1'!M19</f>
        <v>5.6650246305418719</v>
      </c>
      <c r="N19" s="2252">
        <f>'CNG Table D'!L19/'CNG Table D1'!N19</f>
        <v>3.8468468468468466</v>
      </c>
      <c r="O19" s="2252">
        <f>'CNG Table D'!M19/'CNG Table D1'!O19</f>
        <v>4.1889250814332248</v>
      </c>
      <c r="P19" s="2252">
        <f>'CNG Table D'!N19/'CNG Table D1'!P19</f>
        <v>1.6774590163934426</v>
      </c>
      <c r="Q19" s="2252">
        <f>'CNG Table D'!O19/'CNG Table D1'!Q19</f>
        <v>3.6185697674418607</v>
      </c>
      <c r="R19" s="2252">
        <f>'CNG Table D'!P19/'CNG Table D1'!R19</f>
        <v>7.2611517857142855</v>
      </c>
      <c r="S19" s="2252">
        <f>'CNG Table D'!Q19/'CNG Table D1'!S19</f>
        <v>6.3496864752130184</v>
      </c>
    </row>
    <row r="20" spans="1:19" ht="17.25" customHeight="1" x14ac:dyDescent="0.2">
      <c r="A20" s="1003" t="s">
        <v>348</v>
      </c>
      <c r="B20" s="981"/>
      <c r="C20" s="2196" t="s">
        <v>581</v>
      </c>
      <c r="D20" s="2635">
        <v>0</v>
      </c>
      <c r="E20" s="2635">
        <v>0</v>
      </c>
      <c r="F20" s="2635">
        <v>0</v>
      </c>
      <c r="G20" s="2635">
        <v>0</v>
      </c>
      <c r="H20" s="2261">
        <f>'CNG Table D'!H20/'CNG Table D1'!H20</f>
        <v>1.7056670658682636</v>
      </c>
      <c r="I20" s="2261" t="e">
        <f>'CNG Table D'!#REF!/'CNG Table D1'!I20</f>
        <v>#REF!</v>
      </c>
      <c r="J20" s="2761" t="e">
        <f>'CNG Table D'!#REF!/'CNG Table D1'!J20</f>
        <v>#REF!</v>
      </c>
      <c r="K20" s="2628">
        <f>'CNG Table D'!I20/'CNG Table D1'!K20</f>
        <v>0.98901098901098905</v>
      </c>
      <c r="L20" s="2250">
        <f>'CNG Table D'!J20/'CNG Table D1'!L20</f>
        <v>1.5714285714285714</v>
      </c>
      <c r="M20" s="2760">
        <f>'CNG Table D'!K20/'CNG Table D1'!M20</f>
        <v>0.5864661654135338</v>
      </c>
      <c r="N20" s="2252">
        <f>'CNG Table D'!L20/'CNG Table D1'!N20</f>
        <v>2.3283582089552239</v>
      </c>
      <c r="O20" s="2252">
        <f>'CNG Table D'!M20/'CNG Table D1'!O20</f>
        <v>3.0871794871794873</v>
      </c>
      <c r="P20" s="2252">
        <f>'CNG Table D'!N20/'CNG Table D1'!P20</f>
        <v>2.5806147959183674</v>
      </c>
      <c r="Q20" s="2252">
        <f>'CNG Table D'!O20/'CNG Table D1'!Q20</f>
        <v>1.5038022388059702</v>
      </c>
      <c r="R20" s="2252">
        <f>'CNG Table D'!P20/'CNG Table D1'!R20</f>
        <v>2.5994472049689441</v>
      </c>
      <c r="S20" s="2252">
        <f>'CNG Table D'!Q20/'CNG Table D1'!S20</f>
        <v>0.98308368920899991</v>
      </c>
    </row>
    <row r="21" spans="1:19" ht="17.25" customHeight="1" thickBot="1" x14ac:dyDescent="0.25">
      <c r="A21" s="1003" t="s">
        <v>348</v>
      </c>
      <c r="B21" s="981"/>
      <c r="C21" s="2762" t="s">
        <v>245</v>
      </c>
      <c r="D21" s="2673">
        <v>0</v>
      </c>
      <c r="E21" s="2673">
        <v>0</v>
      </c>
      <c r="F21" s="2673">
        <v>0</v>
      </c>
      <c r="G21" s="2673">
        <v>0</v>
      </c>
      <c r="H21" s="2673">
        <v>0</v>
      </c>
      <c r="I21" s="2673">
        <v>0</v>
      </c>
      <c r="J21" s="2673" t="e">
        <f>'CNG Table D'!#REF!/'CNG Table D1'!J21</f>
        <v>#REF!</v>
      </c>
      <c r="K21" s="2673">
        <f>'CNG Table D'!I21/'CNG Table D1'!K21</f>
        <v>6.337205802684645</v>
      </c>
      <c r="L21" s="2673">
        <f>'CNG Table D'!J21/'CNG Table D1'!L21</f>
        <v>13.808038808038809</v>
      </c>
      <c r="M21" s="2673">
        <f>'CNG Table D'!K21/'CNG Table D1'!M21</f>
        <v>4.8</v>
      </c>
      <c r="N21" s="2673">
        <f>'CNG Table D'!L21/'CNG Table D1'!N21</f>
        <v>12.1875</v>
      </c>
      <c r="O21" s="2673">
        <f>'CNG Table D'!M21/'CNG Table D1'!O21</f>
        <v>2.875</v>
      </c>
      <c r="P21" s="2673">
        <f>'CNG Table D'!N21/'CNG Table D1'!P21</f>
        <v>8.8309583333333332</v>
      </c>
      <c r="Q21" s="2673">
        <f>'CNG Table D'!O21/'CNG Table D1'!Q21</f>
        <v>4.9539803921568621</v>
      </c>
      <c r="R21" s="2673">
        <f>'CNG Table D'!P21/'CNG Table D1'!R21</f>
        <v>16.959428571428571</v>
      </c>
      <c r="S21" s="2673">
        <f>'CNG Table D'!Q21/'CNG Table D1'!S21</f>
        <v>2.1742679599183696</v>
      </c>
    </row>
    <row r="22" spans="1:19" ht="17.25" customHeight="1" thickBot="1" x14ac:dyDescent="0.3">
      <c r="A22" s="1003" t="s">
        <v>348</v>
      </c>
      <c r="B22" s="981"/>
      <c r="C22" s="26" t="s">
        <v>206</v>
      </c>
      <c r="D22" s="2636">
        <v>0</v>
      </c>
      <c r="E22" s="2636">
        <v>0</v>
      </c>
      <c r="F22" s="2636" t="e">
        <f>'CNG Table D'!F22/'CNG Table D1'!F22</f>
        <v>#REF!</v>
      </c>
      <c r="G22" s="2636" t="e">
        <f>'CNG Table D'!G22/'CNG Table D1'!G22</f>
        <v>#REF!</v>
      </c>
      <c r="H22" s="2636" t="e">
        <f>'CNG Table D'!H22/'CNG Table D1'!H22</f>
        <v>#REF!</v>
      </c>
      <c r="I22" s="2636" t="e">
        <f>'CNG Table D'!#REF!/'CNG Table D1'!I22</f>
        <v>#REF!</v>
      </c>
      <c r="J22" s="2636" t="e">
        <f>'CNG Table D'!#REF!/'CNG Table D1'!J22</f>
        <v>#REF!</v>
      </c>
      <c r="K22" s="2636">
        <f>'CNG Table D'!I22/'CNG Table D1'!K22</f>
        <v>3.2535903764308061</v>
      </c>
      <c r="L22" s="2636">
        <f>'CNG Table D'!J22/'CNG Table D1'!L22</f>
        <v>4.117289291850069</v>
      </c>
      <c r="M22" s="2636">
        <f>'CNG Table D'!K22/'CNG Table D1'!M22</f>
        <v>4.068037974683544</v>
      </c>
      <c r="N22" s="2636">
        <f>'CNG Table D'!L22/'CNG Table D1'!N22</f>
        <v>4.4916129032258061</v>
      </c>
      <c r="O22" s="2636">
        <f>'CNG Table D'!M22/'CNG Table D1'!O22</f>
        <v>4.0102040816326534</v>
      </c>
      <c r="P22" s="2636">
        <f>'CNG Table D'!N22/'CNG Table D1'!P22</f>
        <v>3.7079806949806953</v>
      </c>
      <c r="Q22" s="2636">
        <f>'CNG Table D'!O22/'CNG Table D1'!Q22</f>
        <v>3.7886586757990872</v>
      </c>
      <c r="R22" s="2636">
        <f>'CNG Table D'!P22/'CNG Table D1'!R22</f>
        <v>6.6540847457627121</v>
      </c>
      <c r="S22" s="2636">
        <f>'CNG Table D'!Q22/'CNG Table D1'!S22</f>
        <v>6.8660829781729547</v>
      </c>
    </row>
    <row r="23" spans="1:19" ht="14.25" customHeight="1" x14ac:dyDescent="0.25">
      <c r="A23" s="981"/>
      <c r="B23" s="981"/>
      <c r="C23" s="27"/>
      <c r="D23" s="2613"/>
      <c r="E23" s="2613"/>
      <c r="F23" s="2613"/>
      <c r="G23" s="2613"/>
      <c r="H23" s="2613"/>
      <c r="I23" s="2613"/>
      <c r="J23" s="2613"/>
      <c r="K23" s="2613"/>
      <c r="L23" s="2613"/>
      <c r="M23" s="2613"/>
      <c r="N23" s="2613"/>
      <c r="O23" s="2613"/>
      <c r="P23" s="2613"/>
      <c r="Q23" s="2613"/>
    </row>
    <row r="24" spans="1:19" ht="14.25" customHeight="1" x14ac:dyDescent="0.25">
      <c r="A24" s="28"/>
      <c r="B24" s="981"/>
      <c r="C24" s="27"/>
      <c r="D24" s="2599"/>
    </row>
    <row r="25" spans="1:19" ht="14.25" customHeight="1" x14ac:dyDescent="0.2">
      <c r="A25" s="1009"/>
      <c r="B25" s="1010"/>
      <c r="C25" s="1019"/>
      <c r="D25" s="2599"/>
    </row>
    <row r="26" spans="1:19" ht="14.25" customHeight="1" x14ac:dyDescent="0.2">
      <c r="A26" s="1009"/>
      <c r="B26" s="1010"/>
      <c r="C26" s="957"/>
      <c r="D26" s="2599"/>
    </row>
    <row r="27" spans="1:19" ht="14.25" customHeight="1" thickBot="1" x14ac:dyDescent="0.25">
      <c r="A27" s="28"/>
      <c r="B27" s="981"/>
      <c r="C27" s="1019"/>
      <c r="D27" s="2599"/>
    </row>
    <row r="28" spans="1:19" ht="21" customHeight="1" thickBot="1" x14ac:dyDescent="0.35">
      <c r="A28" s="3"/>
      <c r="B28" s="2502"/>
      <c r="C28" s="2600" t="s">
        <v>590</v>
      </c>
      <c r="D28" s="2601"/>
      <c r="E28" s="2601"/>
      <c r="F28" s="2601"/>
      <c r="G28" s="2601"/>
      <c r="H28" s="2601"/>
      <c r="I28" s="2601"/>
      <c r="J28" s="2601"/>
      <c r="K28" s="2601"/>
      <c r="L28" s="2601"/>
      <c r="M28" s="2601"/>
      <c r="N28" s="2601"/>
      <c r="O28" s="2601"/>
      <c r="P28" s="2602"/>
      <c r="Q28" s="2601"/>
      <c r="R28" s="2601"/>
      <c r="S28" s="2602"/>
    </row>
    <row r="29" spans="1:19" ht="14.25" customHeight="1" x14ac:dyDescent="0.3">
      <c r="A29" s="3"/>
      <c r="B29" s="2502"/>
      <c r="C29" s="949"/>
      <c r="D29" s="981">
        <v>2006</v>
      </c>
      <c r="E29" s="981">
        <v>2007</v>
      </c>
      <c r="F29" s="981">
        <v>2008</v>
      </c>
      <c r="G29" s="981">
        <v>2009</v>
      </c>
      <c r="H29" s="981">
        <v>2010</v>
      </c>
      <c r="I29" s="981">
        <v>2011</v>
      </c>
      <c r="J29" s="981">
        <v>2012</v>
      </c>
      <c r="K29" s="981">
        <v>2013</v>
      </c>
      <c r="L29" s="981">
        <v>2014</v>
      </c>
      <c r="M29" s="981">
        <v>2015</v>
      </c>
      <c r="N29" s="981">
        <v>2016</v>
      </c>
      <c r="O29" s="981">
        <v>2017</v>
      </c>
      <c r="P29" s="981">
        <v>2018</v>
      </c>
      <c r="Q29" s="981">
        <v>2019</v>
      </c>
      <c r="R29" s="981">
        <v>2020</v>
      </c>
      <c r="S29" s="981">
        <v>2021</v>
      </c>
    </row>
    <row r="30" spans="1:19" ht="14.25" customHeight="1" thickBot="1" x14ac:dyDescent="0.35">
      <c r="A30" s="15"/>
      <c r="B30" s="15"/>
      <c r="C30" s="213"/>
      <c r="D30" s="195" t="s">
        <v>186</v>
      </c>
      <c r="E30" s="195" t="s">
        <v>186</v>
      </c>
      <c r="F30" s="195" t="s">
        <v>186</v>
      </c>
      <c r="G30" s="195" t="s">
        <v>186</v>
      </c>
      <c r="H30" s="195" t="s">
        <v>186</v>
      </c>
      <c r="I30" s="195" t="str">
        <f t="shared" ref="I30:S30" si="0">I7</f>
        <v>Actual</v>
      </c>
      <c r="J30" s="195" t="str">
        <f t="shared" si="0"/>
        <v>Actual</v>
      </c>
      <c r="K30" s="195" t="str">
        <f t="shared" si="0"/>
        <v>Actual</v>
      </c>
      <c r="L30" s="195" t="str">
        <f t="shared" si="0"/>
        <v>Actual</v>
      </c>
      <c r="M30" s="195" t="str">
        <f t="shared" si="0"/>
        <v>Actual</v>
      </c>
      <c r="N30" s="195" t="str">
        <f t="shared" si="0"/>
        <v>Actual</v>
      </c>
      <c r="O30" s="195" t="str">
        <f t="shared" si="0"/>
        <v>Actual</v>
      </c>
      <c r="P30" s="195" t="str">
        <f t="shared" si="0"/>
        <v>Actual</v>
      </c>
      <c r="Q30" s="195" t="str">
        <f t="shared" si="0"/>
        <v>Actual</v>
      </c>
      <c r="R30" s="195" t="str">
        <f t="shared" si="0"/>
        <v>Actual</v>
      </c>
      <c r="S30" s="195" t="str">
        <f t="shared" si="0"/>
        <v>Actual</v>
      </c>
    </row>
    <row r="31" spans="1:19" ht="22.5" customHeight="1" thickBot="1" x14ac:dyDescent="0.3">
      <c r="A31" s="982"/>
      <c r="B31" s="982"/>
      <c r="C31" s="1026" t="s">
        <v>115</v>
      </c>
      <c r="D31" s="2604"/>
      <c r="E31" s="2604"/>
      <c r="F31" s="2604"/>
      <c r="G31" s="2604"/>
      <c r="H31" s="2604"/>
      <c r="I31" s="2604"/>
      <c r="J31" s="2604"/>
      <c r="K31" s="2206"/>
      <c r="L31" s="2206"/>
      <c r="M31" s="2206"/>
      <c r="N31" s="2206"/>
      <c r="O31" s="2206"/>
      <c r="P31" s="2206"/>
      <c r="Q31" s="2206"/>
      <c r="R31" s="2206"/>
      <c r="S31" s="2206"/>
    </row>
    <row r="32" spans="1:19" ht="17.25" customHeight="1" x14ac:dyDescent="0.2">
      <c r="A32" s="985" t="s">
        <v>347</v>
      </c>
      <c r="B32" s="982"/>
      <c r="C32" s="155" t="s">
        <v>222</v>
      </c>
      <c r="D32" s="2250">
        <f>'CNG Table D'!D9/'CNG Table D1'!D37</f>
        <v>0.49011561530529579</v>
      </c>
      <c r="E32" s="2250">
        <f>'CNG Table D'!E9/'CNG Table D1'!E37</f>
        <v>0.41717307212378341</v>
      </c>
      <c r="F32" s="2250">
        <f>'CNG Table D'!F9/'CNG Table D1'!F37</f>
        <v>0.48411558755584322</v>
      </c>
      <c r="G32" s="2250">
        <f>'CNG Table D'!G9/'CNG Table D1'!G37</f>
        <v>0.30808076385481947</v>
      </c>
      <c r="H32" s="2250">
        <f>'CNG Table D'!H9/'CNG Table D1'!H37</f>
        <v>0.39046944655365196</v>
      </c>
      <c r="I32" s="2250" t="e">
        <f>'CNG Table D'!#REF!/'CNG Table D1'!I37</f>
        <v>#REF!</v>
      </c>
      <c r="J32" s="2250" t="e">
        <f>'CNG Table D'!#REF!/'CNG Table D1'!J37</f>
        <v>#REF!</v>
      </c>
      <c r="K32" s="2250">
        <f>'CNG Table D'!I9/'CNG Table D1'!K37</f>
        <v>0.56067803970223329</v>
      </c>
      <c r="L32" s="2250">
        <f>'CNG Table D'!J9/'CNG Table D1'!L37</f>
        <v>0.35147857573928787</v>
      </c>
      <c r="M32" s="2250">
        <f>'CNG Table D'!K9/'CNG Table D1'!M37</f>
        <v>0.52113163972286369</v>
      </c>
      <c r="N32" s="2250">
        <f>'CNG Table D'!L9/'CNG Table D1'!N37</f>
        <v>0.3532890161481968</v>
      </c>
      <c r="O32" s="2250">
        <f>'CNG Table D'!M9/'CNG Table D1'!O37</f>
        <v>0.53889114541023553</v>
      </c>
      <c r="P32" s="2250">
        <f>'CNG Table D'!N9/'CNG Table D1'!P37</f>
        <v>0.54003021115322147</v>
      </c>
      <c r="Q32" s="2250">
        <f>'CNG Table D'!O9/'CNG Table D1'!Q37</f>
        <v>4.3348901443816701E-2</v>
      </c>
      <c r="R32" s="2250">
        <f>'CNG Table D'!P9/'CNG Table D1'!R37</f>
        <v>3.1404241435562807E-2</v>
      </c>
      <c r="S32" s="2250">
        <f>'CNG Table D'!Q9/'CNG Table D1'!S37</f>
        <v>0.58238425521503945</v>
      </c>
    </row>
    <row r="33" spans="1:19" ht="17.25" customHeight="1" x14ac:dyDescent="0.2">
      <c r="A33" s="985" t="s">
        <v>347</v>
      </c>
      <c r="B33" s="982"/>
      <c r="C33" s="155" t="s">
        <v>149</v>
      </c>
      <c r="D33" s="2250">
        <f>'CNG Table D'!D10/'CNG Table D1'!D38</f>
        <v>0.24362473607086174</v>
      </c>
      <c r="E33" s="2250">
        <f>'CNG Table D'!E10/'CNG Table D1'!E38</f>
        <v>0.47365412354344893</v>
      </c>
      <c r="F33" s="2250">
        <f>'CNG Table D'!F10/'CNG Table D1'!F38</f>
        <v>0.40352155843892235</v>
      </c>
      <c r="G33" s="2250">
        <f>'CNG Table D'!G10/'CNG Table D1'!G38</f>
        <v>0.36624204355876261</v>
      </c>
      <c r="H33" s="2250">
        <f>'CNG Table D'!H10/'CNG Table D1'!H38</f>
        <v>0.25258444647156891</v>
      </c>
      <c r="I33" s="2250" t="e">
        <f>'CNG Table D'!#REF!/'CNG Table D1'!I38</f>
        <v>#REF!</v>
      </c>
      <c r="J33" s="2250" t="e">
        <f>'CNG Table D'!#REF!/'CNG Table D1'!J38</f>
        <v>#REF!</v>
      </c>
      <c r="K33" s="2250">
        <f>'CNG Table D'!I10/'CNG Table D1'!K38</f>
        <v>0.26993700576330248</v>
      </c>
      <c r="L33" s="2250">
        <f>'CNG Table D'!J10/'CNG Table D1'!L38</f>
        <v>0.38095238095238093</v>
      </c>
      <c r="M33" s="2250">
        <f>'CNG Table D'!K10/'CNG Table D1'!M38</f>
        <v>0.33860182370820668</v>
      </c>
      <c r="N33" s="2250">
        <f>'CNG Table D'!L10/'CNG Table D1'!N38</f>
        <v>0.4315203404605254</v>
      </c>
      <c r="O33" s="2250">
        <f>'CNG Table D'!M10/'CNG Table D1'!O38</f>
        <v>0.47653721682847894</v>
      </c>
      <c r="P33" s="2250">
        <f>'CNG Table D'!N10/'CNG Table D1'!P38</f>
        <v>0.42276528509274097</v>
      </c>
      <c r="Q33" s="2250">
        <f>'CNG Table D'!O10/'CNG Table D1'!Q38</f>
        <v>0.43756923484246757</v>
      </c>
      <c r="R33" s="2250">
        <f>'CNG Table D'!P10/'CNG Table D1'!R38</f>
        <v>0.64772043568464732</v>
      </c>
      <c r="S33" s="2250">
        <f>'CNG Table D'!Q10/'CNG Table D1'!S38</f>
        <v>1.0439357132143183</v>
      </c>
    </row>
    <row r="34" spans="1:19" ht="17.25" customHeight="1" x14ac:dyDescent="0.2">
      <c r="A34" s="985" t="s">
        <v>347</v>
      </c>
      <c r="B34" s="982"/>
      <c r="C34" s="155" t="s">
        <v>595</v>
      </c>
      <c r="D34" s="2250"/>
      <c r="E34" s="2250"/>
      <c r="F34" s="2250"/>
      <c r="G34" s="2250"/>
      <c r="H34" s="2250"/>
      <c r="I34" s="2250"/>
      <c r="J34" s="2250"/>
      <c r="K34" s="2250">
        <f>'CNG Table D'!I11/'CNG Table D1'!K39</f>
        <v>0.86016132205390528</v>
      </c>
      <c r="L34" s="2250">
        <f>'CNG Table D'!J11/'CNG Table D1'!L39</f>
        <v>0.34085836518887325</v>
      </c>
      <c r="M34" s="2250">
        <f>'CNG Table D'!K11/'CNG Table D1'!M39</f>
        <v>0.42521631644004942</v>
      </c>
      <c r="N34" s="2250">
        <f>'CNG Table D'!L11/'CNG Table D1'!N39</f>
        <v>0.36563235725135973</v>
      </c>
      <c r="O34" s="2250">
        <f>'CNG Table D'!M11/'CNG Table D1'!O39</f>
        <v>0.40947467166979362</v>
      </c>
      <c r="P34" s="2250">
        <f>'CNG Table D'!N11/'CNG Table D1'!P39</f>
        <v>0.38202067424101321</v>
      </c>
      <c r="Q34" s="2250">
        <f>'CNG Table D'!O11/'CNG Table D1'!Q39</f>
        <v>0.52899485808309332</v>
      </c>
      <c r="R34" s="2250">
        <f>'CNG Table D'!P11/'CNG Table D1'!R39</f>
        <v>0.59425736434108534</v>
      </c>
      <c r="S34" s="2250">
        <f>'CNG Table D'!Q11/'CNG Table D1'!S39</f>
        <v>0.74394570056566856</v>
      </c>
    </row>
    <row r="35" spans="1:19" ht="17.25" customHeight="1" x14ac:dyDescent="0.2">
      <c r="A35" s="985" t="s">
        <v>347</v>
      </c>
      <c r="B35" s="981"/>
      <c r="C35" s="871" t="s">
        <v>227</v>
      </c>
      <c r="D35" s="2262">
        <v>0</v>
      </c>
      <c r="E35" s="2262">
        <v>0</v>
      </c>
      <c r="F35" s="2262">
        <v>0</v>
      </c>
      <c r="G35" s="2262">
        <f>'CNG Table D'!G12/'CNG Table D1'!G40</f>
        <v>0.25835911444271514</v>
      </c>
      <c r="H35" s="2262">
        <f>'CNG Table D'!H12/'CNG Table D1'!H40</f>
        <v>0.43063254290553649</v>
      </c>
      <c r="I35" s="2262" t="e">
        <f>'CNG Table D'!#REF!/'CNG Table D1'!I40</f>
        <v>#REF!</v>
      </c>
      <c r="J35" s="2262" t="e">
        <f>'CNG Table D'!#REF!/'CNG Table D1'!J40</f>
        <v>#REF!</v>
      </c>
      <c r="K35" s="2262">
        <f>'CNG Table D'!I12/'CNG Table D1'!K40</f>
        <v>0.82051343283582079</v>
      </c>
      <c r="L35" s="2262">
        <f>'CNG Table D'!J12/'CNG Table D1'!L40</f>
        <v>0.21559191530317612</v>
      </c>
      <c r="M35" s="2262">
        <f>'CNG Table D'!K12/'CNG Table D1'!M40</f>
        <v>0.50358422939068104</v>
      </c>
      <c r="N35" s="2262">
        <f>'CNG Table D'!L12/'CNG Table D1'!N40</f>
        <v>0.29779168590778438</v>
      </c>
      <c r="O35" s="2262">
        <f>'CNG Table D'!M12/'CNG Table D1'!O40</f>
        <v>0.17688483844241923</v>
      </c>
      <c r="P35" s="2262">
        <f>'CNG Table D'!N12/'CNG Table D1'!P40</f>
        <v>0.21218443166740381</v>
      </c>
      <c r="Q35" s="2262">
        <f>'CNG Table D'!O12/'CNG Table D1'!Q40</f>
        <v>1.7779228346456692</v>
      </c>
      <c r="R35" s="2262">
        <f>'CNG Table D'!P12/'CNG Table D1'!R40</f>
        <v>0.24337868598034146</v>
      </c>
      <c r="S35" s="2262">
        <f>'CNG Table D'!Q12/'CNG Table D1'!S40</f>
        <v>4.6619581510108183E-3</v>
      </c>
    </row>
    <row r="36" spans="1:19" ht="17.25" customHeight="1" x14ac:dyDescent="0.2">
      <c r="A36" s="985"/>
      <c r="B36" s="981"/>
      <c r="C36" s="871" t="s">
        <v>529</v>
      </c>
      <c r="D36" s="2262">
        <v>0</v>
      </c>
      <c r="E36" s="2262">
        <v>0</v>
      </c>
      <c r="F36" s="2262">
        <v>0</v>
      </c>
      <c r="G36" s="2262"/>
      <c r="H36" s="2262"/>
      <c r="I36" s="2262"/>
      <c r="J36" s="2262"/>
      <c r="K36" s="2262"/>
      <c r="L36" s="2262"/>
      <c r="M36" s="2262"/>
      <c r="N36" s="2262">
        <f>'CNG Table D'!L13/'CNG Table D1'!N41</f>
        <v>0.71123448754477536</v>
      </c>
      <c r="O36" s="2262">
        <f>'CNG Table D'!M13/'CNG Table D1'!O41</f>
        <v>0.19753086419753085</v>
      </c>
      <c r="P36" s="2262" t="str">
        <f>IFERROR('CNG Table D'!N13/'CNG Table D1'!P41,"NA")</f>
        <v>NA</v>
      </c>
      <c r="Q36" s="2262">
        <f>'CNG Table D'!O13/'CNG Table D1'!Q41</f>
        <v>0.14724752475247524</v>
      </c>
      <c r="R36" s="2262" t="str">
        <f>IFERROR('CNG Table D'!P13/'CNG Table D1'!R41,"NA")</f>
        <v>NA</v>
      </c>
      <c r="S36" s="2262">
        <f>'CNG Table D'!Q13/'CNG Table D1'!S41</f>
        <v>0.29559133919889957</v>
      </c>
    </row>
    <row r="37" spans="1:19" ht="17.25" customHeight="1" thickBot="1" x14ac:dyDescent="0.3">
      <c r="A37" s="985" t="s">
        <v>347</v>
      </c>
      <c r="B37" s="982"/>
      <c r="C37" s="233" t="s">
        <v>30</v>
      </c>
      <c r="D37" s="2634">
        <f>'CNG Table D'!D15/'CNG Table D1'!D43</f>
        <v>0.44303967239205655</v>
      </c>
      <c r="E37" s="2634">
        <f>'CNG Table D'!E15/'CNG Table D1'!E43</f>
        <v>0.44451935981153512</v>
      </c>
      <c r="F37" s="2634">
        <f>'CNG Table D'!F15/'CNG Table D1'!F43</f>
        <v>0.42667200166327679</v>
      </c>
      <c r="G37" s="2634">
        <f>'CNG Table D'!G15/'CNG Table D1'!G43</f>
        <v>0.31665264746740113</v>
      </c>
      <c r="H37" s="2634">
        <f>'CNG Table D'!H15/'CNG Table D1'!H43</f>
        <v>0.30540094030004783</v>
      </c>
      <c r="I37" s="2634" t="e">
        <f>'CNG Table D'!#REF!/'CNG Table D1'!I43</f>
        <v>#REF!</v>
      </c>
      <c r="J37" s="2634" t="e">
        <f>'CNG Table D'!#REF!/'CNG Table D1'!J43</f>
        <v>#REF!</v>
      </c>
      <c r="K37" s="2634">
        <f>'CNG Table D'!I15/'CNG Table D1'!K43</f>
        <v>0.40043328879468576</v>
      </c>
      <c r="L37" s="2634">
        <f>'CNG Table D'!J15/'CNG Table D1'!L43</f>
        <v>0.35453194848660818</v>
      </c>
      <c r="M37" s="2634">
        <f>'CNG Table D'!K15/'CNG Table D1'!M43</f>
        <v>0.42830603764360792</v>
      </c>
      <c r="N37" s="2634">
        <f>'CNG Table D'!L15/'CNG Table D1'!N43</f>
        <v>0.37122184445505851</v>
      </c>
      <c r="O37" s="2634">
        <f>'CNG Table D'!M15/'CNG Table D1'!O43</f>
        <v>0.4561760355029586</v>
      </c>
      <c r="P37" s="2634">
        <f>'CNG Table D'!N15/'CNG Table D1'!P43</f>
        <v>0.44753405237377542</v>
      </c>
      <c r="Q37" s="2634">
        <f>'CNG Table D'!O15/'CNG Table D1'!Q43</f>
        <v>0.47118856611185772</v>
      </c>
      <c r="R37" s="2634">
        <f>'CNG Table D'!P15/'CNG Table D1'!R43</f>
        <v>0.44120824295010846</v>
      </c>
      <c r="S37" s="2634">
        <f>'CNG Table D'!Q15/'CNG Table D1'!S43</f>
        <v>0.58158225209593017</v>
      </c>
    </row>
    <row r="38" spans="1:19" ht="17.25" customHeight="1" thickBot="1" x14ac:dyDescent="0.3">
      <c r="A38" s="994" t="s">
        <v>347</v>
      </c>
      <c r="B38" s="981"/>
      <c r="C38" s="164"/>
      <c r="D38" s="2257"/>
      <c r="E38" s="2257"/>
      <c r="F38" s="2257"/>
      <c r="G38" s="2257"/>
      <c r="H38" s="2257"/>
      <c r="I38" s="2257"/>
      <c r="J38" s="2257"/>
      <c r="K38" s="2257"/>
      <c r="L38" s="2257"/>
      <c r="M38" s="2257"/>
      <c r="N38" s="2257"/>
      <c r="O38" s="2257"/>
      <c r="P38" s="2257"/>
      <c r="Q38" s="2257"/>
      <c r="R38" s="2257"/>
      <c r="S38" s="2257"/>
    </row>
    <row r="39" spans="1:19" ht="17.25" customHeight="1" thickBot="1" x14ac:dyDescent="0.3">
      <c r="A39" s="981"/>
      <c r="B39" s="981"/>
      <c r="C39" s="1027" t="s">
        <v>6</v>
      </c>
      <c r="D39" s="2258"/>
      <c r="E39" s="2258"/>
      <c r="F39" s="2258"/>
      <c r="G39" s="2258"/>
      <c r="H39" s="2258"/>
      <c r="I39" s="2258"/>
      <c r="J39" s="2258"/>
      <c r="K39" s="2258"/>
      <c r="L39" s="2258"/>
      <c r="M39" s="2259"/>
      <c r="N39" s="2259"/>
      <c r="O39" s="2259"/>
      <c r="P39" s="2259"/>
      <c r="Q39" s="2259"/>
      <c r="R39" s="2259"/>
      <c r="S39" s="2259"/>
    </row>
    <row r="40" spans="1:19" ht="17.25" customHeight="1" thickBot="1" x14ac:dyDescent="0.25">
      <c r="A40" s="28"/>
      <c r="B40" s="981"/>
      <c r="C40" s="179" t="s">
        <v>112</v>
      </c>
      <c r="D40" s="2260">
        <v>0</v>
      </c>
      <c r="E40" s="2260">
        <v>0</v>
      </c>
      <c r="F40" s="2260">
        <f>'CNG Table D'!F18/'CNG Table D1'!F46</f>
        <v>0.67001861268986607</v>
      </c>
      <c r="G40" s="2260">
        <f>'CNG Table D'!G18/'CNG Table D1'!G46</f>
        <v>0.42372770233158591</v>
      </c>
      <c r="H40" s="2260">
        <f>'CNG Table D'!H18/'CNG Table D1'!H46</f>
        <v>0.46083257298691938</v>
      </c>
      <c r="I40" s="2260" t="e">
        <f>'CNG Table D'!#REF!/'CNG Table D1'!I46</f>
        <v>#REF!</v>
      </c>
      <c r="J40" s="2260" t="e">
        <f>'CNG Table D'!#REF!/'CNG Table D1'!J46</f>
        <v>#REF!</v>
      </c>
      <c r="K40" s="2260">
        <f>'CNG Table D'!I18/'CNG Table D1'!K46</f>
        <v>0.17646176911544229</v>
      </c>
      <c r="L40" s="2260">
        <f>'CNG Table D'!J18/'CNG Table D1'!L46</f>
        <v>0.44531065438223483</v>
      </c>
      <c r="M40" s="2260">
        <f>'CNG Table D'!K18/'CNG Table D1'!M46</f>
        <v>0.27828820116054159</v>
      </c>
      <c r="N40" s="2260">
        <f>'CNG Table D'!L18/'CNG Table D1'!N46</f>
        <v>0.34012514038183861</v>
      </c>
      <c r="O40" s="2260">
        <f>'CNG Table D'!M18/'CNG Table D1'!O46</f>
        <v>0.27296494355317885</v>
      </c>
      <c r="P40" s="2260">
        <f>'CNG Table D'!N18/'CNG Table D1'!P46</f>
        <v>0.64991421736158572</v>
      </c>
      <c r="Q40" s="2260">
        <f>'CNG Table D'!O18/'CNG Table D1'!Q46</f>
        <v>0.47185795076513637</v>
      </c>
      <c r="R40" s="2260">
        <f>'CNG Table D'!P18/'CNG Table D1'!R46</f>
        <v>0.47906147446267622</v>
      </c>
      <c r="S40" s="2260">
        <f>'CNG Table D'!Q18/'CNG Table D1'!S46</f>
        <v>1.0444849636452205</v>
      </c>
    </row>
    <row r="41" spans="1:19" ht="17.25" customHeight="1" x14ac:dyDescent="0.2">
      <c r="A41" s="1003"/>
      <c r="B41" s="981"/>
      <c r="C41" s="2195" t="s">
        <v>116</v>
      </c>
      <c r="D41" s="2635">
        <v>0</v>
      </c>
      <c r="E41" s="2260">
        <v>0</v>
      </c>
      <c r="F41" s="2260">
        <f>'CNG Table D'!F19/'CNG Table D1'!F47</f>
        <v>0.303391481448685</v>
      </c>
      <c r="G41" s="2260">
        <f>'CNG Table D'!G19/'CNG Table D1'!G47</f>
        <v>0.16878354528688871</v>
      </c>
      <c r="H41" s="2260">
        <f>'CNG Table D'!H19/'CNG Table D1'!H47</f>
        <v>0.22583645166020067</v>
      </c>
      <c r="I41" s="2260" t="e">
        <f>'CNG Table D'!#REF!/'CNG Table D1'!I47</f>
        <v>#REF!</v>
      </c>
      <c r="J41" s="2260" t="e">
        <f>'CNG Table D'!#REF!/'CNG Table D1'!J47</f>
        <v>#REF!</v>
      </c>
      <c r="K41" s="2260">
        <f>'CNG Table D'!I19/'CNG Table D1'!K47</f>
        <v>0.34004870489262784</v>
      </c>
      <c r="L41" s="2260">
        <f>'CNG Table D'!J19/'CNG Table D1'!L47</f>
        <v>0.29144289294665232</v>
      </c>
      <c r="M41" s="2260">
        <f>'CNG Table D'!K19/'CNG Table D1'!M47</f>
        <v>0.46445880452342486</v>
      </c>
      <c r="N41" s="2260">
        <f>'CNG Table D'!L19/'CNG Table D1'!N47</f>
        <v>0.36636636636636638</v>
      </c>
      <c r="O41" s="2260">
        <f>'CNG Table D'!M19/'CNG Table D1'!O47</f>
        <v>0.36317424456368258</v>
      </c>
      <c r="P41" s="2260">
        <f>'CNG Table D'!N19/'CNG Table D1'!P47</f>
        <v>0.16238381319428699</v>
      </c>
      <c r="Q41" s="2260">
        <f>'CNG Table D'!O19/'CNG Table D1'!Q47</f>
        <v>0.35484264538198401</v>
      </c>
      <c r="R41" s="2260">
        <f>'CNG Table D'!P19/'CNG Table D1'!R47</f>
        <v>0.71588820422535215</v>
      </c>
      <c r="S41" s="2260">
        <f>'CNG Table D'!Q19/'CNG Table D1'!S47</f>
        <v>0.42796806688106465</v>
      </c>
    </row>
    <row r="42" spans="1:19" ht="17.25" customHeight="1" x14ac:dyDescent="0.2">
      <c r="A42" s="1003" t="s">
        <v>348</v>
      </c>
      <c r="B42" s="981"/>
      <c r="C42" s="2196" t="s">
        <v>581</v>
      </c>
      <c r="D42" s="2637">
        <v>0</v>
      </c>
      <c r="E42" s="2261">
        <v>0</v>
      </c>
      <c r="F42" s="2261">
        <v>0</v>
      </c>
      <c r="G42" s="2261">
        <v>0</v>
      </c>
      <c r="H42" s="2261">
        <f>'CNG Table D'!H20/'CNG Table D1'!H48</f>
        <v>0.17056670658682635</v>
      </c>
      <c r="I42" s="2261" t="e">
        <f>'CNG Table D'!#REF!/'CNG Table D1'!I48</f>
        <v>#REF!</v>
      </c>
      <c r="J42" s="2261" t="e">
        <f>'CNG Table D'!#REF!/'CNG Table D1'!J48</f>
        <v>#REF!</v>
      </c>
      <c r="K42" s="2261">
        <f>'CNG Table D'!I20/'CNG Table D1'!K48</f>
        <v>0.19313304721030042</v>
      </c>
      <c r="L42" s="2261">
        <f>'CNG Table D'!J20/'CNG Table D1'!L48</f>
        <v>0.22647058823529412</v>
      </c>
      <c r="M42" s="2261">
        <f>'CNG Table D'!K20/'CNG Table D1'!M48</f>
        <v>8.7739032620922391E-2</v>
      </c>
      <c r="N42" s="2261">
        <f>'CNG Table D'!L20/'CNG Table D1'!N48</f>
        <v>0.4279835390946502</v>
      </c>
      <c r="O42" s="2261">
        <f>'CNG Table D'!M20/'CNG Table D1'!O48</f>
        <v>0.57829010566762729</v>
      </c>
      <c r="P42" s="2261">
        <f>'CNG Table D'!N20/'CNG Table D1'!P48</f>
        <v>0.49661315660284733</v>
      </c>
      <c r="Q42" s="2261">
        <f>'CNG Table D'!O20/'CNG Table D1'!Q48</f>
        <v>0.28502050919377653</v>
      </c>
      <c r="R42" s="2261">
        <f>'CNG Table D'!P20/'CNG Table D1'!R48</f>
        <v>0.49178730904817863</v>
      </c>
      <c r="S42" s="2261">
        <f>'CNG Table D'!Q20/'CNG Table D1'!S48</f>
        <v>0.17931687149980641</v>
      </c>
    </row>
    <row r="43" spans="1:19" ht="17.25" customHeight="1" thickBot="1" x14ac:dyDescent="0.25">
      <c r="A43" s="1003" t="s">
        <v>348</v>
      </c>
      <c r="B43" s="981"/>
      <c r="C43" s="930" t="s">
        <v>245</v>
      </c>
      <c r="D43" s="2638">
        <v>0</v>
      </c>
      <c r="E43" s="2638">
        <v>0</v>
      </c>
      <c r="F43" s="2638">
        <v>0</v>
      </c>
      <c r="G43" s="2638">
        <v>0</v>
      </c>
      <c r="H43" s="2638">
        <v>0</v>
      </c>
      <c r="I43" s="2638">
        <v>0</v>
      </c>
      <c r="J43" s="2638" t="e">
        <f>'CNG Table D'!#REF!/'CNG Table D1'!J49</f>
        <v>#REF!</v>
      </c>
      <c r="K43" s="2638">
        <f>'CNG Table D'!I21/'CNG Table D1'!K49</f>
        <v>0.47638009049773755</v>
      </c>
      <c r="L43" s="2638">
        <f>'CNG Table D'!J21/'CNG Table D1'!L49</f>
        <v>0.91820276497695852</v>
      </c>
      <c r="M43" s="2638">
        <f>'CNG Table D'!K21/'CNG Table D1'!M49</f>
        <v>0.3958762886597938</v>
      </c>
      <c r="N43" s="2638">
        <f>'CNG Table D'!L21/'CNG Table D1'!N49</f>
        <v>1.0773480662983426</v>
      </c>
      <c r="O43" s="2638">
        <f>'CNG Table D'!M21/'CNG Table D1'!O49</f>
        <v>0.23310810810810811</v>
      </c>
      <c r="P43" s="2638">
        <f>'CNG Table D'!N21/'CNG Table D1'!P49</f>
        <v>0.76513718411552356</v>
      </c>
      <c r="Q43" s="2638">
        <f>'CNG Table D'!O21/'CNG Table D1'!Q49</f>
        <v>0.41829966887417219</v>
      </c>
      <c r="R43" s="2638">
        <f>'CNG Table D'!P21/'CNG Table D1'!R49</f>
        <v>1.6042702702702702</v>
      </c>
      <c r="S43" s="2638">
        <f>'CNG Table D'!Q21/'CNG Table D1'!S49</f>
        <v>0.19005985095388711</v>
      </c>
    </row>
    <row r="44" spans="1:19" ht="17.25" customHeight="1" thickBot="1" x14ac:dyDescent="0.3">
      <c r="A44" s="1003" t="s">
        <v>348</v>
      </c>
      <c r="B44" s="981"/>
      <c r="C44" s="26" t="s">
        <v>206</v>
      </c>
      <c r="D44" s="2636">
        <v>0</v>
      </c>
      <c r="E44" s="2636">
        <v>0</v>
      </c>
      <c r="F44" s="2636" t="e">
        <f>'CNG Table D'!F22/'CNG Table D1'!F50</f>
        <v>#REF!</v>
      </c>
      <c r="G44" s="2636" t="e">
        <f>'CNG Table D'!G22/'CNG Table D1'!G50</f>
        <v>#REF!</v>
      </c>
      <c r="H44" s="2636" t="e">
        <f>'CNG Table D'!H22/'CNG Table D1'!H50</f>
        <v>#REF!</v>
      </c>
      <c r="I44" s="2636" t="e">
        <f>'CNG Table D'!#REF!/'CNG Table D1'!I50</f>
        <v>#REF!</v>
      </c>
      <c r="J44" s="2636" t="e">
        <f>'CNG Table D'!#REF!/'CNG Table D1'!J50</f>
        <v>#REF!</v>
      </c>
      <c r="K44" s="2636">
        <f>'CNG Table D'!I22/'CNG Table D1'!K50</f>
        <v>0.24915750310045473</v>
      </c>
      <c r="L44" s="2636">
        <f>'CNG Table D'!J22/'CNG Table D1'!L50</f>
        <v>0.36713071676171305</v>
      </c>
      <c r="M44" s="2636">
        <f>'CNG Table D'!K22/'CNG Table D1'!M50</f>
        <v>0.32193839218632608</v>
      </c>
      <c r="N44" s="2636">
        <f>'CNG Table D'!L22/'CNG Table D1'!N50</f>
        <v>0.36742664133417774</v>
      </c>
      <c r="O44" s="2636">
        <f>'CNG Table D'!M22/'CNG Table D1'!O50</f>
        <v>0.31812495400691737</v>
      </c>
      <c r="P44" s="2636">
        <f>'CNG Table D'!N22/'CNG Table D1'!P50</f>
        <v>0.39803833799606264</v>
      </c>
      <c r="Q44" s="2636">
        <f>'CNG Table D'!O22/'CNG Table D1'!Q50</f>
        <v>0.38899027191748714</v>
      </c>
      <c r="R44" s="2636">
        <f>'CNG Table D'!P22/'CNG Table D1'!R50</f>
        <v>0.51295137657489509</v>
      </c>
      <c r="S44" s="2636">
        <f>'CNG Table D'!Q22/'CNG Table D1'!S50</f>
        <v>0.63529179652248258</v>
      </c>
    </row>
    <row r="45" spans="1:19" x14ac:dyDescent="0.2">
      <c r="L45" s="3"/>
      <c r="M45" s="3"/>
      <c r="R45"/>
    </row>
  </sheetData>
  <printOptions horizontalCentered="1"/>
  <pageMargins left="0.5" right="0.5" top="0.75" bottom="0.75" header="0.5" footer="0.25"/>
  <pageSetup scale="59" orientation="landscape" r:id="rId1"/>
  <headerFooter alignWithMargins="0">
    <oddFooter>&amp;C&amp;1#&amp;"Calibri"&amp;12&amp;K008000Internal Use</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61">
    <pageSetUpPr fitToPage="1"/>
  </sheetPr>
  <dimension ref="A1:V28"/>
  <sheetViews>
    <sheetView topLeftCell="K1" zoomScale="75" workbookViewId="0">
      <selection activeCell="C67" sqref="C67:E67"/>
    </sheetView>
  </sheetViews>
  <sheetFormatPr defaultRowHeight="12.75" x14ac:dyDescent="0.2"/>
  <cols>
    <col min="1" max="1" width="6.28515625" customWidth="1"/>
    <col min="2" max="2" width="12.7109375" customWidth="1"/>
    <col min="3" max="3" width="60.7109375" customWidth="1"/>
    <col min="4" max="10" width="11.7109375" hidden="1" customWidth="1"/>
    <col min="11" max="17" width="11.7109375" customWidth="1"/>
    <col min="18" max="18" width="11.7109375" style="3" customWidth="1"/>
    <col min="19" max="19" width="11.7109375" customWidth="1"/>
    <col min="20" max="22" width="11.85546875" customWidth="1"/>
  </cols>
  <sheetData>
    <row r="1" spans="1:22" ht="23.25" x14ac:dyDescent="0.35">
      <c r="C1" s="501"/>
    </row>
    <row r="2" spans="1:22" ht="21" customHeight="1" x14ac:dyDescent="0.3">
      <c r="A2" s="3"/>
      <c r="B2" s="3"/>
      <c r="C2" s="2627" t="s">
        <v>435</v>
      </c>
      <c r="D2" s="2627"/>
      <c r="E2" s="2627"/>
      <c r="F2" s="2627"/>
      <c r="G2" s="2627"/>
      <c r="H2" s="2627"/>
      <c r="I2" s="2627"/>
      <c r="J2" s="2627"/>
      <c r="K2" s="2627"/>
      <c r="L2" s="2627"/>
      <c r="M2" s="2627"/>
      <c r="N2" s="2627"/>
      <c r="O2" s="2627"/>
      <c r="P2" s="2627"/>
      <c r="Q2" s="2474"/>
      <c r="R2" s="2474"/>
      <c r="S2" s="2474"/>
    </row>
    <row r="3" spans="1:22" ht="24" customHeight="1" x14ac:dyDescent="0.3">
      <c r="A3" s="3"/>
      <c r="B3" s="2502"/>
      <c r="C3" s="2627" t="s">
        <v>644</v>
      </c>
      <c r="D3" s="2627"/>
      <c r="E3" s="2627"/>
      <c r="F3" s="2627"/>
      <c r="G3" s="2627"/>
      <c r="H3" s="2627"/>
      <c r="I3" s="2627"/>
      <c r="J3" s="2627"/>
      <c r="K3" s="2627"/>
      <c r="L3" s="2627"/>
      <c r="M3" s="2627"/>
      <c r="N3" s="2627"/>
      <c r="O3" s="2627"/>
      <c r="P3" s="2627"/>
      <c r="Q3" s="2627"/>
      <c r="R3" s="2627"/>
      <c r="S3" s="2627"/>
    </row>
    <row r="4" spans="1:22" ht="24" customHeight="1" thickBot="1" x14ac:dyDescent="0.35">
      <c r="A4" s="3"/>
      <c r="B4" s="2502"/>
      <c r="C4" s="213"/>
      <c r="D4" s="2599"/>
      <c r="E4" s="33"/>
      <c r="F4" s="33"/>
      <c r="G4" s="33"/>
      <c r="H4" s="33"/>
      <c r="I4" s="33"/>
      <c r="J4" s="33"/>
      <c r="K4" s="33"/>
      <c r="L4" s="33"/>
      <c r="M4" s="33"/>
      <c r="N4" s="33"/>
      <c r="O4" s="33"/>
      <c r="P4" s="33"/>
      <c r="Q4" s="33"/>
      <c r="R4" s="1023"/>
      <c r="S4" s="33"/>
    </row>
    <row r="5" spans="1:22" ht="21" thickBot="1" x14ac:dyDescent="0.35">
      <c r="A5" s="3"/>
      <c r="B5" s="2502"/>
      <c r="C5" s="2600" t="s">
        <v>242</v>
      </c>
      <c r="D5" s="2601"/>
      <c r="E5" s="2601"/>
      <c r="F5" s="2601"/>
      <c r="G5" s="2601"/>
      <c r="H5" s="2601"/>
      <c r="I5" s="2601"/>
      <c r="J5" s="2601"/>
      <c r="K5" s="2601"/>
      <c r="L5" s="2601"/>
      <c r="M5" s="2601"/>
      <c r="N5" s="2601"/>
      <c r="O5" s="2601"/>
      <c r="P5" s="2602"/>
      <c r="Q5" s="2601"/>
      <c r="R5" s="2601"/>
      <c r="S5" s="2602"/>
      <c r="T5" s="2602"/>
      <c r="U5" s="2602"/>
      <c r="V5" s="2602"/>
    </row>
    <row r="6" spans="1:22" ht="16.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c r="T6" s="981">
        <v>2022</v>
      </c>
      <c r="U6" s="981">
        <v>2023</v>
      </c>
      <c r="V6" s="981">
        <v>2024</v>
      </c>
    </row>
    <row r="7" spans="1:22" ht="16.5" customHeight="1" thickBot="1" x14ac:dyDescent="0.35">
      <c r="A7" s="15"/>
      <c r="B7" s="15"/>
      <c r="C7" s="213"/>
      <c r="D7" s="195" t="s">
        <v>186</v>
      </c>
      <c r="E7" s="195" t="s">
        <v>186</v>
      </c>
      <c r="F7" s="195" t="s">
        <v>186</v>
      </c>
      <c r="G7" s="195" t="s">
        <v>186</v>
      </c>
      <c r="H7" s="195" t="s">
        <v>186</v>
      </c>
      <c r="I7" s="195" t="str">
        <f>'CNG Table D2'!I7</f>
        <v>Actual</v>
      </c>
      <c r="J7" s="195" t="str">
        <f>'CNG Table D2'!J7</f>
        <v>Actual</v>
      </c>
      <c r="K7" s="195" t="str">
        <f>'CNG Table D2'!K7</f>
        <v>Actual</v>
      </c>
      <c r="L7" s="195" t="str">
        <f>'CNG Table D2'!L7</f>
        <v>Actual</v>
      </c>
      <c r="M7" s="195" t="str">
        <f>'CNG Table D2'!M7</f>
        <v>Actual</v>
      </c>
      <c r="N7" s="195" t="str">
        <f>'CNG Table D2'!N7</f>
        <v>Actual</v>
      </c>
      <c r="O7" s="195" t="str">
        <f>'CNG Table D2'!O7</f>
        <v>Actual</v>
      </c>
      <c r="P7" s="195" t="str">
        <f>'CNG Table D2'!P7</f>
        <v>Actual</v>
      </c>
      <c r="Q7" s="195" t="str">
        <f>'CNG Table D2'!Q7</f>
        <v>Actual</v>
      </c>
      <c r="R7" s="195" t="str">
        <f>'CNG Table D2'!R7</f>
        <v>Actual</v>
      </c>
      <c r="S7" s="195" t="str">
        <f>'CNG Table D2'!S7</f>
        <v>Actual</v>
      </c>
      <c r="T7" s="195" t="str">
        <f>+S7</f>
        <v>Actual</v>
      </c>
      <c r="U7" s="195" t="str">
        <f>+T7</f>
        <v>Actual</v>
      </c>
      <c r="V7" s="195" t="str">
        <f>+U7</f>
        <v>Actual</v>
      </c>
    </row>
    <row r="8" spans="1:22" ht="16.5" customHeight="1" thickBot="1" x14ac:dyDescent="0.3">
      <c r="A8" s="982"/>
      <c r="B8" s="982"/>
      <c r="C8" s="1026" t="s">
        <v>115</v>
      </c>
      <c r="D8" s="2604"/>
      <c r="E8" s="2604"/>
      <c r="F8" s="2604"/>
      <c r="G8" s="2604"/>
      <c r="H8" s="2604"/>
      <c r="I8" s="2604"/>
      <c r="J8" s="2604"/>
      <c r="K8" s="2206"/>
      <c r="L8" s="2206"/>
      <c r="M8" s="2206"/>
      <c r="N8" s="2206"/>
      <c r="O8" s="2206"/>
      <c r="P8" s="2206"/>
      <c r="Q8" s="2206"/>
      <c r="R8" s="2206"/>
      <c r="S8" s="2206"/>
      <c r="T8" s="2206"/>
      <c r="U8" s="2206"/>
      <c r="V8" s="2206"/>
    </row>
    <row r="9" spans="1:22" ht="16.5" customHeight="1" x14ac:dyDescent="0.2">
      <c r="A9" s="985" t="s">
        <v>347</v>
      </c>
      <c r="B9" s="982"/>
      <c r="C9" s="155" t="s">
        <v>222</v>
      </c>
      <c r="D9" s="2210">
        <v>582</v>
      </c>
      <c r="E9" s="2210">
        <v>531</v>
      </c>
      <c r="F9" s="2210">
        <v>963</v>
      </c>
      <c r="G9" s="2210">
        <v>1492</v>
      </c>
      <c r="H9" s="2210">
        <v>1428</v>
      </c>
      <c r="I9" s="2210">
        <v>1720</v>
      </c>
      <c r="J9" s="2210">
        <v>1112</v>
      </c>
      <c r="K9" s="2210">
        <v>800</v>
      </c>
      <c r="L9" s="2210">
        <v>3766</v>
      </c>
      <c r="M9" s="2210">
        <v>4036</v>
      </c>
      <c r="N9" s="2210">
        <v>5720</v>
      </c>
      <c r="O9" s="2210">
        <v>1584</v>
      </c>
      <c r="P9" s="2210">
        <v>11563</v>
      </c>
      <c r="Q9" s="2210">
        <v>5785</v>
      </c>
      <c r="R9" s="2210">
        <v>1491</v>
      </c>
      <c r="S9" s="2210">
        <v>2589</v>
      </c>
      <c r="T9" s="2210">
        <v>1171.9123282131363</v>
      </c>
      <c r="U9" s="2210">
        <v>1646.4268910745693</v>
      </c>
      <c r="V9" s="2210">
        <v>1836.9845581136838</v>
      </c>
    </row>
    <row r="10" spans="1:22" ht="16.5" customHeight="1" x14ac:dyDescent="0.2">
      <c r="A10" s="985" t="s">
        <v>347</v>
      </c>
      <c r="B10" s="982"/>
      <c r="C10" s="155" t="s">
        <v>149</v>
      </c>
      <c r="D10" s="2210">
        <v>366</v>
      </c>
      <c r="E10" s="2210">
        <v>988</v>
      </c>
      <c r="F10" s="2210">
        <v>1918</v>
      </c>
      <c r="G10" s="2210">
        <v>1064</v>
      </c>
      <c r="H10" s="2210">
        <v>3251</v>
      </c>
      <c r="I10" s="2210">
        <v>1895</v>
      </c>
      <c r="J10" s="2615">
        <v>2709</v>
      </c>
      <c r="K10" s="2616">
        <f>3003+1540</f>
        <v>4543</v>
      </c>
      <c r="L10" s="2211">
        <f>3161+1711</f>
        <v>4872</v>
      </c>
      <c r="M10" s="2223">
        <f>1809+2148</f>
        <v>3957</v>
      </c>
      <c r="N10" s="2223">
        <v>2937</v>
      </c>
      <c r="O10" s="2223">
        <v>2251</v>
      </c>
      <c r="P10" s="2223">
        <v>2724</v>
      </c>
      <c r="Q10" s="2223">
        <v>2427</v>
      </c>
      <c r="R10" s="2223">
        <v>2035</v>
      </c>
      <c r="S10" s="2223">
        <v>1662</v>
      </c>
      <c r="T10" s="2223">
        <v>1653.286278674381</v>
      </c>
      <c r="U10" s="2223">
        <v>2133.3020696060089</v>
      </c>
      <c r="V10" s="2223">
        <v>2137.0069624964922</v>
      </c>
    </row>
    <row r="11" spans="1:22" ht="16.5" customHeight="1" x14ac:dyDescent="0.2">
      <c r="A11" s="985" t="s">
        <v>347</v>
      </c>
      <c r="B11" s="982"/>
      <c r="C11" s="155" t="s">
        <v>595</v>
      </c>
      <c r="D11" s="2210">
        <v>0</v>
      </c>
      <c r="E11" s="2210">
        <v>0</v>
      </c>
      <c r="F11" s="2210">
        <v>0</v>
      </c>
      <c r="G11" s="2210">
        <v>0</v>
      </c>
      <c r="H11" s="2210">
        <v>0</v>
      </c>
      <c r="I11" s="2210">
        <v>250</v>
      </c>
      <c r="J11" s="2210">
        <v>88</v>
      </c>
      <c r="K11" s="2210">
        <v>26</v>
      </c>
      <c r="L11" s="2210">
        <v>288</v>
      </c>
      <c r="M11" s="2210">
        <v>736</v>
      </c>
      <c r="N11" s="2223">
        <v>2922</v>
      </c>
      <c r="O11" s="2223">
        <v>2452</v>
      </c>
      <c r="P11" s="2223">
        <v>3272</v>
      </c>
      <c r="Q11" s="2223">
        <v>3938</v>
      </c>
      <c r="R11" s="2223">
        <v>4861</v>
      </c>
      <c r="S11" s="2223">
        <v>3529</v>
      </c>
      <c r="T11" s="2223">
        <v>1836.6803080405966</v>
      </c>
      <c r="U11" s="2223">
        <v>1494.9308038533457</v>
      </c>
      <c r="V11" s="2223">
        <v>1487.4328738110619</v>
      </c>
    </row>
    <row r="12" spans="1:22" ht="16.5" customHeight="1" x14ac:dyDescent="0.2">
      <c r="A12" s="985" t="s">
        <v>347</v>
      </c>
      <c r="B12" s="981"/>
      <c r="C12" s="871" t="s">
        <v>227</v>
      </c>
      <c r="D12" s="2227">
        <v>0</v>
      </c>
      <c r="E12" s="2227">
        <v>0</v>
      </c>
      <c r="F12" s="2227">
        <v>0</v>
      </c>
      <c r="G12" s="2227">
        <v>116</v>
      </c>
      <c r="H12" s="2227">
        <v>152</v>
      </c>
      <c r="I12" s="2227">
        <v>204</v>
      </c>
      <c r="J12" s="2617">
        <v>276</v>
      </c>
      <c r="K12" s="2618">
        <v>345</v>
      </c>
      <c r="L12" s="2212">
        <v>163</v>
      </c>
      <c r="M12" s="2224">
        <v>181</v>
      </c>
      <c r="N12" s="2224">
        <v>275</v>
      </c>
      <c r="O12" s="2224">
        <v>355</v>
      </c>
      <c r="P12" s="2224">
        <v>1005</v>
      </c>
      <c r="Q12" s="2224">
        <v>408</v>
      </c>
      <c r="R12" s="2224">
        <v>310</v>
      </c>
      <c r="S12" s="2224">
        <v>507</v>
      </c>
      <c r="T12" s="2224">
        <v>422</v>
      </c>
      <c r="U12" s="2224">
        <v>269</v>
      </c>
      <c r="V12" s="2224">
        <v>108</v>
      </c>
    </row>
    <row r="13" spans="1:22" ht="16.5" customHeight="1" x14ac:dyDescent="0.2">
      <c r="A13" s="985"/>
      <c r="B13" s="981"/>
      <c r="C13" s="871" t="s">
        <v>529</v>
      </c>
      <c r="D13" s="2639"/>
      <c r="E13" s="2639"/>
      <c r="F13" s="2639"/>
      <c r="G13" s="2227"/>
      <c r="H13" s="2227"/>
      <c r="I13" s="2227"/>
      <c r="J13" s="2617"/>
      <c r="K13" s="2618"/>
      <c r="L13" s="2212"/>
      <c r="M13" s="2224"/>
      <c r="N13" s="2224">
        <v>26243</v>
      </c>
      <c r="O13" s="2224">
        <v>26455</v>
      </c>
      <c r="P13" s="2224">
        <v>0</v>
      </c>
      <c r="Q13" s="2224">
        <v>14432</v>
      </c>
      <c r="R13" s="2224">
        <v>0</v>
      </c>
      <c r="S13" s="2224">
        <v>15800</v>
      </c>
      <c r="T13" s="2223">
        <v>15874</v>
      </c>
      <c r="U13" s="2223">
        <v>15080</v>
      </c>
      <c r="V13" s="2223">
        <v>14326</v>
      </c>
    </row>
    <row r="14" spans="1:22" ht="16.5" hidden="1" customHeight="1" thickBot="1" x14ac:dyDescent="0.25">
      <c r="A14" s="985" t="s">
        <v>347</v>
      </c>
      <c r="B14" s="982"/>
      <c r="C14" s="969" t="s">
        <v>110</v>
      </c>
      <c r="D14" s="2228">
        <v>0</v>
      </c>
      <c r="E14" s="2228">
        <v>0</v>
      </c>
      <c r="F14" s="2228">
        <v>84</v>
      </c>
      <c r="G14" s="2228">
        <v>269</v>
      </c>
      <c r="H14" s="2228">
        <v>193</v>
      </c>
      <c r="I14" s="2228"/>
      <c r="J14" s="2619"/>
      <c r="K14" s="2620"/>
      <c r="L14" s="2213"/>
      <c r="M14" s="2225"/>
      <c r="N14" s="2225">
        <v>0</v>
      </c>
      <c r="O14" s="2225">
        <v>0</v>
      </c>
      <c r="P14" s="2225">
        <v>0</v>
      </c>
      <c r="Q14" s="2225">
        <v>0</v>
      </c>
      <c r="R14" s="2225">
        <f>'2023 Summary Table B'!$K25</f>
        <v>0</v>
      </c>
      <c r="S14" s="2225">
        <f>'2024 Summary Table B'!$K25</f>
        <v>0</v>
      </c>
      <c r="T14" s="2225">
        <f>'2022 Summary Table B'!$M26</f>
        <v>0</v>
      </c>
      <c r="U14" s="2225">
        <f>'2023 Summary Table B'!$M26</f>
        <v>0</v>
      </c>
      <c r="V14" s="2225">
        <f>'2024 Summary Table B'!$M26</f>
        <v>0</v>
      </c>
    </row>
    <row r="15" spans="1:22" ht="16.5" customHeight="1" thickBot="1" x14ac:dyDescent="0.3">
      <c r="A15" s="985" t="s">
        <v>347</v>
      </c>
      <c r="B15" s="982"/>
      <c r="C15" s="233" t="s">
        <v>30</v>
      </c>
      <c r="D15" s="2621">
        <f t="shared" ref="D15:N15" si="0">SUM(D9:D14)</f>
        <v>948</v>
      </c>
      <c r="E15" s="2621">
        <f t="shared" si="0"/>
        <v>1519</v>
      </c>
      <c r="F15" s="2621">
        <f t="shared" si="0"/>
        <v>2965</v>
      </c>
      <c r="G15" s="2621">
        <f t="shared" si="0"/>
        <v>2941</v>
      </c>
      <c r="H15" s="2621">
        <f t="shared" si="0"/>
        <v>5024</v>
      </c>
      <c r="I15" s="2621">
        <f t="shared" si="0"/>
        <v>4069</v>
      </c>
      <c r="J15" s="2621">
        <f t="shared" si="0"/>
        <v>4185</v>
      </c>
      <c r="K15" s="2621">
        <f t="shared" si="0"/>
        <v>5714</v>
      </c>
      <c r="L15" s="2621">
        <f t="shared" si="0"/>
        <v>9089</v>
      </c>
      <c r="M15" s="2621">
        <f t="shared" si="0"/>
        <v>8910</v>
      </c>
      <c r="N15" s="2621">
        <f t="shared" si="0"/>
        <v>38097</v>
      </c>
      <c r="O15" s="2621">
        <f>SUM(O9:O14)</f>
        <v>33097</v>
      </c>
      <c r="P15" s="2621">
        <f>SUM(P9:P14)</f>
        <v>18564</v>
      </c>
      <c r="Q15" s="2621">
        <f>SUM(Q9:Q14)</f>
        <v>26990</v>
      </c>
      <c r="R15" s="2621">
        <f>SUM(R9:R14)</f>
        <v>8697</v>
      </c>
      <c r="S15" s="2621">
        <f>SUM(S9:S14)</f>
        <v>24087</v>
      </c>
      <c r="T15" s="2621">
        <f t="shared" ref="T15:V15" si="1">SUM(T9:T14)</f>
        <v>20957.878914928115</v>
      </c>
      <c r="U15" s="2621">
        <f t="shared" si="1"/>
        <v>20623.659764533924</v>
      </c>
      <c r="V15" s="2621">
        <f t="shared" si="1"/>
        <v>19895.424394421236</v>
      </c>
    </row>
    <row r="16" spans="1:22" ht="16.5" customHeight="1" thickBot="1" x14ac:dyDescent="0.3">
      <c r="A16" s="994" t="s">
        <v>347</v>
      </c>
      <c r="B16" s="981"/>
      <c r="C16" s="164"/>
      <c r="D16" s="2214"/>
      <c r="E16" s="2214"/>
      <c r="F16" s="2214"/>
      <c r="G16" s="2214"/>
      <c r="H16" s="2214"/>
      <c r="I16" s="2214"/>
      <c r="J16" s="2214"/>
      <c r="K16" s="2214"/>
      <c r="L16" s="2214"/>
      <c r="M16" s="2214"/>
      <c r="N16" s="2214"/>
      <c r="O16" s="2214"/>
      <c r="P16" s="2214"/>
      <c r="Q16" s="2214"/>
      <c r="R16" s="2214"/>
      <c r="S16" s="2214"/>
      <c r="T16" s="2214"/>
      <c r="U16" s="2214"/>
      <c r="V16" s="2214"/>
    </row>
    <row r="17" spans="1:22" ht="16.5" customHeight="1" thickBot="1" x14ac:dyDescent="0.3">
      <c r="A17" s="981"/>
      <c r="B17" s="981"/>
      <c r="C17" s="1026" t="s">
        <v>6</v>
      </c>
      <c r="D17" s="2604"/>
      <c r="E17" s="2604"/>
      <c r="F17" s="2604"/>
      <c r="G17" s="2604"/>
      <c r="H17" s="2604"/>
      <c r="I17" s="2604"/>
      <c r="J17" s="2604"/>
      <c r="K17" s="2206"/>
      <c r="L17" s="2206"/>
      <c r="M17" s="2206"/>
      <c r="N17" s="2206"/>
      <c r="O17" s="2206"/>
      <c r="P17" s="2206"/>
      <c r="Q17" s="2206"/>
      <c r="R17" s="2206"/>
      <c r="S17" s="2206"/>
      <c r="T17" s="2226"/>
      <c r="U17" s="2226"/>
      <c r="V17" s="2226"/>
    </row>
    <row r="18" spans="1:22" ht="16.5" customHeight="1" thickBot="1" x14ac:dyDescent="0.25">
      <c r="A18" s="28"/>
      <c r="B18" s="981"/>
      <c r="C18" s="1151" t="s">
        <v>112</v>
      </c>
      <c r="D18" s="2216">
        <v>0</v>
      </c>
      <c r="E18" s="2216">
        <v>0</v>
      </c>
      <c r="F18" s="2216">
        <v>9</v>
      </c>
      <c r="G18" s="2216">
        <v>26</v>
      </c>
      <c r="H18" s="2216">
        <v>33</v>
      </c>
      <c r="I18" s="2216">
        <v>46</v>
      </c>
      <c r="J18" s="2216">
        <v>93</v>
      </c>
      <c r="K18" s="2210">
        <v>125</v>
      </c>
      <c r="L18" s="2210">
        <v>97</v>
      </c>
      <c r="M18" s="2210">
        <v>54</v>
      </c>
      <c r="N18" s="2210">
        <v>125</v>
      </c>
      <c r="O18" s="2210">
        <v>163</v>
      </c>
      <c r="P18" s="2210">
        <v>118</v>
      </c>
      <c r="Q18" s="2210">
        <v>185</v>
      </c>
      <c r="R18" s="2210">
        <v>262</v>
      </c>
      <c r="S18" s="2210">
        <v>46</v>
      </c>
      <c r="T18" s="2216">
        <v>199.65055537731271</v>
      </c>
      <c r="U18" s="2216">
        <v>241.67384445934573</v>
      </c>
      <c r="V18" s="2216">
        <v>250.6840113390451</v>
      </c>
    </row>
    <row r="19" spans="1:22" ht="16.5" customHeight="1" x14ac:dyDescent="0.2">
      <c r="A19" s="1003"/>
      <c r="B19" s="981"/>
      <c r="C19" s="2759" t="s">
        <v>116</v>
      </c>
      <c r="D19" s="2622">
        <v>0</v>
      </c>
      <c r="E19" s="2216">
        <v>0</v>
      </c>
      <c r="F19" s="2216">
        <v>2</v>
      </c>
      <c r="G19" s="2216">
        <v>12</v>
      </c>
      <c r="H19" s="2216">
        <v>23</v>
      </c>
      <c r="I19" s="2216">
        <v>44</v>
      </c>
      <c r="J19" s="2216">
        <v>20</v>
      </c>
      <c r="K19" s="2217">
        <v>24</v>
      </c>
      <c r="L19" s="2217">
        <v>31</v>
      </c>
      <c r="M19" s="2217">
        <v>22</v>
      </c>
      <c r="N19" s="2224">
        <v>38</v>
      </c>
      <c r="O19" s="2224">
        <v>32</v>
      </c>
      <c r="P19" s="2224">
        <v>49</v>
      </c>
      <c r="Q19" s="2224">
        <v>39</v>
      </c>
      <c r="R19" s="2224">
        <v>23</v>
      </c>
      <c r="S19" s="2224">
        <v>32</v>
      </c>
      <c r="T19" s="2210">
        <v>68.632522011167538</v>
      </c>
      <c r="U19" s="2210">
        <v>83.078584069214941</v>
      </c>
      <c r="V19" s="2210">
        <v>86.175948238959336</v>
      </c>
    </row>
    <row r="20" spans="1:22" ht="16.5" customHeight="1" x14ac:dyDescent="0.2">
      <c r="A20" s="1003" t="s">
        <v>348</v>
      </c>
      <c r="B20" s="981"/>
      <c r="C20" s="2196" t="s">
        <v>581</v>
      </c>
      <c r="D20" s="2277">
        <v>0</v>
      </c>
      <c r="E20" s="2217">
        <v>0</v>
      </c>
      <c r="F20" s="2217">
        <v>0</v>
      </c>
      <c r="G20" s="2217">
        <v>0</v>
      </c>
      <c r="H20" s="2217">
        <v>1</v>
      </c>
      <c r="I20" s="2217">
        <v>3</v>
      </c>
      <c r="J20" s="2217">
        <v>9</v>
      </c>
      <c r="K20" s="2217">
        <v>8</v>
      </c>
      <c r="L20" s="2217">
        <v>19</v>
      </c>
      <c r="M20" s="2217">
        <v>26</v>
      </c>
      <c r="N20" s="2224">
        <v>12</v>
      </c>
      <c r="O20" s="2224">
        <v>26</v>
      </c>
      <c r="P20" s="2224">
        <v>36</v>
      </c>
      <c r="Q20" s="2224">
        <v>47</v>
      </c>
      <c r="R20" s="2224">
        <v>22</v>
      </c>
      <c r="S20" s="2224">
        <v>18</v>
      </c>
      <c r="T20" s="2217">
        <v>10.186089332888368</v>
      </c>
      <c r="U20" s="2217">
        <v>12.330100281630372</v>
      </c>
      <c r="V20" s="2217">
        <v>12.789795295087263</v>
      </c>
    </row>
    <row r="21" spans="1:22" ht="16.5" customHeight="1" thickBot="1" x14ac:dyDescent="0.25">
      <c r="A21" s="1003" t="s">
        <v>348</v>
      </c>
      <c r="B21" s="981"/>
      <c r="C21" s="2762" t="s">
        <v>245</v>
      </c>
      <c r="D21" s="2279">
        <v>0</v>
      </c>
      <c r="E21" s="2279">
        <v>0</v>
      </c>
      <c r="F21" s="2279">
        <v>0</v>
      </c>
      <c r="G21" s="2279">
        <v>0</v>
      </c>
      <c r="H21" s="2279">
        <v>0</v>
      </c>
      <c r="I21" s="2279">
        <v>0</v>
      </c>
      <c r="J21" s="2279">
        <v>9</v>
      </c>
      <c r="K21" s="2279">
        <v>20</v>
      </c>
      <c r="L21" s="2279">
        <v>24</v>
      </c>
      <c r="M21" s="2279">
        <v>31</v>
      </c>
      <c r="N21" s="2279">
        <v>26</v>
      </c>
      <c r="O21" s="2279">
        <v>28</v>
      </c>
      <c r="P21" s="2279">
        <v>22</v>
      </c>
      <c r="Q21" s="2279">
        <v>54</v>
      </c>
      <c r="R21" s="2279">
        <v>24</v>
      </c>
      <c r="S21" s="2279">
        <v>60</v>
      </c>
      <c r="T21" s="2218">
        <v>133.37995615384617</v>
      </c>
      <c r="U21" s="2218">
        <v>146.33283050977798</v>
      </c>
      <c r="V21" s="2218">
        <v>149.11004195771821</v>
      </c>
    </row>
    <row r="22" spans="1:22" ht="16.5" customHeight="1" thickBot="1" x14ac:dyDescent="0.3">
      <c r="A22" s="1003" t="s">
        <v>348</v>
      </c>
      <c r="B22" s="981"/>
      <c r="C22" s="26" t="s">
        <v>206</v>
      </c>
      <c r="D22" s="2624" t="e">
        <f>#REF!+#REF!+D21</f>
        <v>#REF!</v>
      </c>
      <c r="E22" s="2624" t="e">
        <f>#REF!+#REF!+E21</f>
        <v>#REF!</v>
      </c>
      <c r="F22" s="2624" t="e">
        <f>#REF!+#REF!+F21</f>
        <v>#REF!</v>
      </c>
      <c r="G22" s="2624" t="e">
        <f>#REF!+#REF!+G21</f>
        <v>#REF!</v>
      </c>
      <c r="H22" s="2624" t="e">
        <f>#REF!+#REF!+H21</f>
        <v>#REF!</v>
      </c>
      <c r="I22" s="2624" t="e">
        <f>#REF!+#REF!+I21</f>
        <v>#REF!</v>
      </c>
      <c r="J22" s="2624" t="e">
        <f>#REF!+#REF!+J21</f>
        <v>#REF!</v>
      </c>
      <c r="K22" s="2624">
        <f>SUM(K18:K21)</f>
        <v>177</v>
      </c>
      <c r="L22" s="2624">
        <f t="shared" ref="L22:S22" si="2">SUM(L18:L21)</f>
        <v>171</v>
      </c>
      <c r="M22" s="2624">
        <f t="shared" si="2"/>
        <v>133</v>
      </c>
      <c r="N22" s="2624">
        <f t="shared" si="2"/>
        <v>201</v>
      </c>
      <c r="O22" s="2624">
        <f t="shared" si="2"/>
        <v>249</v>
      </c>
      <c r="P22" s="2624">
        <f t="shared" si="2"/>
        <v>225</v>
      </c>
      <c r="Q22" s="2624">
        <f t="shared" si="2"/>
        <v>325</v>
      </c>
      <c r="R22" s="2624">
        <f t="shared" si="2"/>
        <v>331</v>
      </c>
      <c r="S22" s="2624">
        <f t="shared" si="2"/>
        <v>156</v>
      </c>
      <c r="T22" s="2624">
        <f t="shared" ref="T22:V22" si="3">SUM(T18:T21)</f>
        <v>411.84912287521479</v>
      </c>
      <c r="U22" s="2624">
        <f t="shared" si="3"/>
        <v>483.41535931996907</v>
      </c>
      <c r="V22" s="2624">
        <f t="shared" si="3"/>
        <v>498.75979683080993</v>
      </c>
    </row>
    <row r="23" spans="1:22" s="3" customFormat="1" ht="16.5" customHeight="1" thickBot="1" x14ac:dyDescent="0.3">
      <c r="A23" s="981"/>
      <c r="B23" s="981"/>
      <c r="C23" s="1017"/>
      <c r="D23" s="2625"/>
      <c r="E23" s="2625"/>
      <c r="F23" s="2625"/>
      <c r="G23" s="2625"/>
      <c r="H23" s="2625"/>
      <c r="I23" s="2625"/>
      <c r="J23" s="2625"/>
      <c r="K23" s="2625"/>
      <c r="L23" s="2625"/>
      <c r="M23" s="2625"/>
      <c r="N23" s="2625"/>
      <c r="O23" s="2625"/>
      <c r="P23" s="2625"/>
      <c r="Q23" s="2625"/>
      <c r="R23" s="2625"/>
      <c r="S23" s="2625"/>
      <c r="T23" s="2625"/>
      <c r="U23" s="2625"/>
      <c r="V23" s="2625"/>
    </row>
    <row r="24" spans="1:22" ht="16.5" customHeight="1" x14ac:dyDescent="0.2">
      <c r="A24" s="28"/>
      <c r="B24" s="981"/>
      <c r="C24" s="2626" t="s">
        <v>349</v>
      </c>
      <c r="D24" s="2220"/>
      <c r="E24" s="2220"/>
      <c r="F24" s="2220"/>
      <c r="G24" s="2220"/>
      <c r="H24" s="2220"/>
      <c r="I24" s="2220"/>
      <c r="J24" s="2220"/>
      <c r="K24" s="2220"/>
      <c r="L24" s="2220"/>
      <c r="M24" s="2220"/>
      <c r="N24" s="2220"/>
      <c r="O24" s="2220"/>
      <c r="P24" s="2220"/>
      <c r="Q24" s="2220"/>
      <c r="R24" s="2220"/>
      <c r="S24" s="2220"/>
      <c r="T24" s="2220"/>
      <c r="U24" s="2220"/>
      <c r="V24" s="2220"/>
    </row>
    <row r="25" spans="1:22" ht="16.5" customHeight="1" x14ac:dyDescent="0.2">
      <c r="A25" s="1009"/>
      <c r="B25" s="1010"/>
      <c r="C25" s="1011" t="s">
        <v>7</v>
      </c>
      <c r="D25" s="2221">
        <f t="shared" ref="D25:V25" si="4">D15</f>
        <v>948</v>
      </c>
      <c r="E25" s="2221">
        <f t="shared" si="4"/>
        <v>1519</v>
      </c>
      <c r="F25" s="2221">
        <f t="shared" si="4"/>
        <v>2965</v>
      </c>
      <c r="G25" s="2221">
        <f t="shared" si="4"/>
        <v>2941</v>
      </c>
      <c r="H25" s="2221">
        <f t="shared" si="4"/>
        <v>5024</v>
      </c>
      <c r="I25" s="2221">
        <f t="shared" si="4"/>
        <v>4069</v>
      </c>
      <c r="J25" s="2221">
        <f t="shared" si="4"/>
        <v>4185</v>
      </c>
      <c r="K25" s="2221">
        <f t="shared" si="4"/>
        <v>5714</v>
      </c>
      <c r="L25" s="2221">
        <f t="shared" si="4"/>
        <v>9089</v>
      </c>
      <c r="M25" s="2221">
        <f t="shared" si="4"/>
        <v>8910</v>
      </c>
      <c r="N25" s="2221">
        <f t="shared" si="4"/>
        <v>38097</v>
      </c>
      <c r="O25" s="2221">
        <f t="shared" si="4"/>
        <v>33097</v>
      </c>
      <c r="P25" s="2221">
        <f t="shared" si="4"/>
        <v>18564</v>
      </c>
      <c r="Q25" s="2221">
        <f t="shared" si="4"/>
        <v>26990</v>
      </c>
      <c r="R25" s="2221">
        <f t="shared" si="4"/>
        <v>8697</v>
      </c>
      <c r="S25" s="2221">
        <f t="shared" si="4"/>
        <v>24087</v>
      </c>
      <c r="T25" s="2221">
        <f t="shared" si="4"/>
        <v>20957.878914928115</v>
      </c>
      <c r="U25" s="2221">
        <f t="shared" si="4"/>
        <v>20623.659764533924</v>
      </c>
      <c r="V25" s="2221">
        <f t="shared" si="4"/>
        <v>19895.424394421236</v>
      </c>
    </row>
    <row r="26" spans="1:22" ht="16.5" customHeight="1" x14ac:dyDescent="0.2">
      <c r="A26" s="1009"/>
      <c r="B26" s="1010"/>
      <c r="C26" s="1011" t="s">
        <v>8</v>
      </c>
      <c r="D26" s="2221" t="e">
        <f t="shared" ref="D26:N26" si="5">D22</f>
        <v>#REF!</v>
      </c>
      <c r="E26" s="2221" t="e">
        <f t="shared" si="5"/>
        <v>#REF!</v>
      </c>
      <c r="F26" s="2221" t="e">
        <f t="shared" si="5"/>
        <v>#REF!</v>
      </c>
      <c r="G26" s="2221" t="e">
        <f t="shared" si="5"/>
        <v>#REF!</v>
      </c>
      <c r="H26" s="2221" t="e">
        <f t="shared" si="5"/>
        <v>#REF!</v>
      </c>
      <c r="I26" s="2221" t="e">
        <f t="shared" si="5"/>
        <v>#REF!</v>
      </c>
      <c r="J26" s="2221" t="e">
        <f t="shared" si="5"/>
        <v>#REF!</v>
      </c>
      <c r="K26" s="2221">
        <f t="shared" si="5"/>
        <v>177</v>
      </c>
      <c r="L26" s="2221">
        <f t="shared" si="5"/>
        <v>171</v>
      </c>
      <c r="M26" s="2221">
        <f t="shared" si="5"/>
        <v>133</v>
      </c>
      <c r="N26" s="2221">
        <f t="shared" si="5"/>
        <v>201</v>
      </c>
      <c r="O26" s="2221">
        <f>O22</f>
        <v>249</v>
      </c>
      <c r="P26" s="2221">
        <f>P22</f>
        <v>225</v>
      </c>
      <c r="Q26" s="2221">
        <f>Q22</f>
        <v>325</v>
      </c>
      <c r="R26" s="2221">
        <f>R22</f>
        <v>331</v>
      </c>
      <c r="S26" s="2221">
        <f>S22</f>
        <v>156</v>
      </c>
      <c r="T26" s="2221">
        <f t="shared" ref="T26:V26" si="6">T22</f>
        <v>411.84912287521479</v>
      </c>
      <c r="U26" s="2221">
        <f t="shared" si="6"/>
        <v>483.41535931996907</v>
      </c>
      <c r="V26" s="2221">
        <f t="shared" si="6"/>
        <v>498.75979683080993</v>
      </c>
    </row>
    <row r="27" spans="1:22" ht="16.5" customHeight="1" thickBot="1" x14ac:dyDescent="0.25">
      <c r="A27" s="28"/>
      <c r="B27" s="981"/>
      <c r="C27" s="1013" t="s">
        <v>350</v>
      </c>
      <c r="D27" s="2222" t="e">
        <f t="shared" ref="D27:N27" si="7">SUM(D25:D26)</f>
        <v>#REF!</v>
      </c>
      <c r="E27" s="2222" t="e">
        <f t="shared" si="7"/>
        <v>#REF!</v>
      </c>
      <c r="F27" s="2222" t="e">
        <f t="shared" si="7"/>
        <v>#REF!</v>
      </c>
      <c r="G27" s="2222" t="e">
        <f t="shared" si="7"/>
        <v>#REF!</v>
      </c>
      <c r="H27" s="2222" t="e">
        <f t="shared" si="7"/>
        <v>#REF!</v>
      </c>
      <c r="I27" s="2222" t="e">
        <f t="shared" si="7"/>
        <v>#REF!</v>
      </c>
      <c r="J27" s="2222" t="e">
        <f t="shared" si="7"/>
        <v>#REF!</v>
      </c>
      <c r="K27" s="2222">
        <f t="shared" si="7"/>
        <v>5891</v>
      </c>
      <c r="L27" s="2222">
        <f t="shared" si="7"/>
        <v>9260</v>
      </c>
      <c r="M27" s="2222">
        <f t="shared" si="7"/>
        <v>9043</v>
      </c>
      <c r="N27" s="2222">
        <f t="shared" si="7"/>
        <v>38298</v>
      </c>
      <c r="O27" s="2222">
        <f>SUM(O25:O26)</f>
        <v>33346</v>
      </c>
      <c r="P27" s="2222">
        <f>SUM(P25:P26)</f>
        <v>18789</v>
      </c>
      <c r="Q27" s="2222">
        <f>SUM(Q25:Q26)</f>
        <v>27315</v>
      </c>
      <c r="R27" s="2222">
        <f>SUM(R25:R26)</f>
        <v>9028</v>
      </c>
      <c r="S27" s="2222">
        <f>SUM(S25:S26)</f>
        <v>24243</v>
      </c>
      <c r="T27" s="2222">
        <f t="shared" ref="T27:V27" si="8">SUM(T25:T26)</f>
        <v>21369.728037803328</v>
      </c>
      <c r="U27" s="2222">
        <f t="shared" si="8"/>
        <v>21107.075123853894</v>
      </c>
      <c r="V27" s="2222">
        <f t="shared" si="8"/>
        <v>20394.184191252047</v>
      </c>
    </row>
    <row r="28" spans="1:22" x14ac:dyDescent="0.2">
      <c r="L28" s="3"/>
      <c r="M28" s="3"/>
      <c r="R28"/>
    </row>
  </sheetData>
  <printOptions horizontalCentered="1"/>
  <pageMargins left="0.5" right="0.5" top="0.75" bottom="0.75" header="0.5" footer="0.25"/>
  <pageSetup scale="66" orientation="landscape" r:id="rId1"/>
  <headerFooter alignWithMargins="0">
    <oddFooter>&amp;C&amp;1#&amp;"Calibri"&amp;12&amp;K008000Internal Use</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62">
    <pageSetUpPr fitToPage="1"/>
  </sheetPr>
  <dimension ref="A1:U62"/>
  <sheetViews>
    <sheetView topLeftCell="A31" zoomScaleNormal="100" workbookViewId="0">
      <selection activeCell="T60" sqref="T60"/>
    </sheetView>
  </sheetViews>
  <sheetFormatPr defaultRowHeight="12.75" x14ac:dyDescent="0.2"/>
  <cols>
    <col min="1" max="1" width="6.28515625" customWidth="1"/>
    <col min="2" max="2" width="12.7109375" customWidth="1"/>
    <col min="3" max="3" width="60.7109375" customWidth="1"/>
    <col min="4" max="9" width="11.7109375" hidden="1" customWidth="1"/>
    <col min="10" max="16" width="11.7109375" customWidth="1"/>
    <col min="17" max="17" width="11.7109375" style="3" customWidth="1"/>
    <col min="18" max="21" width="11.7109375" customWidth="1"/>
  </cols>
  <sheetData>
    <row r="1" spans="1:21" ht="23.25" x14ac:dyDescent="0.35">
      <c r="C1" s="501"/>
    </row>
    <row r="2" spans="1:21" ht="21" customHeight="1" x14ac:dyDescent="0.3">
      <c r="A2" s="3"/>
      <c r="B2" s="3"/>
      <c r="C2" s="2474" t="s">
        <v>345</v>
      </c>
      <c r="D2" s="2474"/>
      <c r="E2" s="2474"/>
      <c r="F2" s="2474"/>
      <c r="G2" s="2474"/>
      <c r="H2" s="2474"/>
      <c r="I2" s="2474"/>
      <c r="J2" s="2474"/>
      <c r="K2" s="2474"/>
      <c r="L2" s="2474"/>
      <c r="M2" s="2474"/>
      <c r="N2" s="2474"/>
      <c r="O2" s="2474"/>
      <c r="P2" s="2474"/>
      <c r="Q2" s="2474"/>
      <c r="R2" s="2474"/>
      <c r="S2" s="2474"/>
      <c r="T2" s="2474"/>
      <c r="U2" s="2474"/>
    </row>
    <row r="3" spans="1:21" ht="24" customHeight="1" x14ac:dyDescent="0.3">
      <c r="A3" s="3"/>
      <c r="B3" s="2502"/>
      <c r="C3" s="2627" t="s">
        <v>669</v>
      </c>
      <c r="D3" s="2627"/>
      <c r="E3" s="2627"/>
      <c r="F3" s="2627"/>
      <c r="G3" s="2627"/>
      <c r="H3" s="2627"/>
      <c r="I3" s="2627"/>
      <c r="J3" s="2627"/>
      <c r="K3" s="2627"/>
      <c r="L3" s="2627"/>
      <c r="M3" s="2627"/>
      <c r="N3" s="2627"/>
      <c r="O3" s="2627"/>
      <c r="P3" s="2627"/>
      <c r="Q3" s="2627"/>
      <c r="R3" s="2627"/>
      <c r="S3" s="2627"/>
      <c r="T3" s="2627"/>
      <c r="U3" s="2627"/>
    </row>
    <row r="4" spans="1:21" ht="24" customHeight="1" thickBot="1" x14ac:dyDescent="0.35">
      <c r="A4" s="3"/>
      <c r="B4" s="2502"/>
      <c r="C4" s="213"/>
      <c r="D4" s="2599"/>
      <c r="E4" s="33"/>
      <c r="F4" s="33"/>
      <c r="G4" s="33"/>
      <c r="H4" s="33"/>
      <c r="I4" s="33"/>
      <c r="J4" s="33"/>
      <c r="K4" s="33"/>
      <c r="L4" s="33"/>
      <c r="M4" s="33"/>
      <c r="N4" s="33"/>
      <c r="O4" s="33"/>
      <c r="P4" s="33"/>
      <c r="Q4" s="1023"/>
      <c r="R4" s="33"/>
    </row>
    <row r="5" spans="1:21" ht="24" customHeight="1" thickBot="1" x14ac:dyDescent="0.35">
      <c r="A5" s="3"/>
      <c r="B5" s="2502"/>
      <c r="C5" s="2600" t="s">
        <v>346</v>
      </c>
      <c r="D5" s="2601"/>
      <c r="E5" s="2601"/>
      <c r="F5" s="2601"/>
      <c r="G5" s="2601"/>
      <c r="H5" s="2601"/>
      <c r="I5" s="2601"/>
      <c r="J5" s="2601"/>
      <c r="K5" s="2601"/>
      <c r="L5" s="2601"/>
      <c r="M5" s="2601"/>
      <c r="N5" s="2601"/>
      <c r="O5" s="2601"/>
      <c r="P5" s="2601"/>
      <c r="Q5" s="2602"/>
      <c r="R5" s="2602"/>
      <c r="S5" s="2602"/>
      <c r="T5" s="2602"/>
      <c r="U5" s="2602"/>
    </row>
    <row r="6" spans="1:21" ht="14.25" customHeight="1" x14ac:dyDescent="0.3">
      <c r="A6" s="3"/>
      <c r="B6" s="2502"/>
      <c r="C6" s="949"/>
      <c r="D6" s="981">
        <v>2006</v>
      </c>
      <c r="E6" s="981">
        <v>2007</v>
      </c>
      <c r="F6" s="981">
        <v>2008</v>
      </c>
      <c r="G6" s="981">
        <v>2009</v>
      </c>
      <c r="H6" s="981">
        <v>2010</v>
      </c>
      <c r="I6" s="981">
        <v>2011</v>
      </c>
      <c r="J6" s="981">
        <v>2013</v>
      </c>
      <c r="K6" s="981">
        <v>2014</v>
      </c>
      <c r="L6" s="981">
        <v>2015</v>
      </c>
      <c r="M6" s="981">
        <v>2016</v>
      </c>
      <c r="N6" s="981">
        <v>2017</v>
      </c>
      <c r="O6" s="981">
        <v>2018</v>
      </c>
      <c r="P6" s="981">
        <v>2019</v>
      </c>
      <c r="Q6" s="981">
        <v>2020</v>
      </c>
      <c r="R6" s="981">
        <v>2021</v>
      </c>
      <c r="S6" s="981">
        <v>2022</v>
      </c>
      <c r="T6" s="981">
        <v>2023</v>
      </c>
      <c r="U6" s="981">
        <v>2024</v>
      </c>
    </row>
    <row r="7" spans="1:21" ht="14.25" customHeight="1" thickBot="1" x14ac:dyDescent="0.35">
      <c r="A7" s="15"/>
      <c r="B7" s="15"/>
      <c r="C7" s="213"/>
      <c r="D7" s="195" t="s">
        <v>186</v>
      </c>
      <c r="E7" s="195" t="s">
        <v>186</v>
      </c>
      <c r="F7" s="195" t="s">
        <v>186</v>
      </c>
      <c r="G7" s="195" t="s">
        <v>186</v>
      </c>
      <c r="H7" s="195" t="s">
        <v>186</v>
      </c>
      <c r="I7" s="195" t="s">
        <v>186</v>
      </c>
      <c r="J7" s="195" t="s">
        <v>186</v>
      </c>
      <c r="K7" s="195" t="s">
        <v>186</v>
      </c>
      <c r="L7" s="195" t="s">
        <v>186</v>
      </c>
      <c r="M7" s="195" t="s">
        <v>186</v>
      </c>
      <c r="N7" s="195" t="s">
        <v>186</v>
      </c>
      <c r="O7" s="195" t="s">
        <v>186</v>
      </c>
      <c r="P7" s="195" t="s">
        <v>186</v>
      </c>
      <c r="Q7" s="195" t="s">
        <v>186</v>
      </c>
      <c r="R7" s="195" t="s">
        <v>186</v>
      </c>
      <c r="S7" s="195" t="s">
        <v>188</v>
      </c>
      <c r="T7" s="195" t="s">
        <v>188</v>
      </c>
      <c r="U7" s="195" t="s">
        <v>188</v>
      </c>
    </row>
    <row r="8" spans="1:21" ht="17.25" customHeight="1" thickBot="1" x14ac:dyDescent="0.25">
      <c r="A8" s="982"/>
      <c r="B8" s="982"/>
      <c r="C8" s="2640" t="s">
        <v>115</v>
      </c>
      <c r="D8" s="2641"/>
      <c r="E8" s="2641"/>
      <c r="F8" s="2641"/>
      <c r="G8" s="2641"/>
      <c r="H8" s="2641"/>
      <c r="I8" s="2641"/>
      <c r="J8" s="2229"/>
      <c r="K8" s="2229"/>
      <c r="L8" s="2229"/>
      <c r="M8" s="2229"/>
      <c r="N8" s="2229"/>
      <c r="O8" s="2229"/>
      <c r="P8" s="2229"/>
      <c r="Q8" s="2229"/>
      <c r="R8" s="2229"/>
      <c r="S8" s="2229"/>
      <c r="T8" s="2229"/>
      <c r="U8" s="2229"/>
    </row>
    <row r="9" spans="1:21" ht="17.25" customHeight="1" x14ac:dyDescent="0.2">
      <c r="A9" s="985" t="s">
        <v>347</v>
      </c>
      <c r="B9" s="982"/>
      <c r="C9" s="2316" t="s">
        <v>222</v>
      </c>
      <c r="D9" s="1851">
        <v>250.84200000000001</v>
      </c>
      <c r="E9" s="1851">
        <v>343.94299999999998</v>
      </c>
      <c r="F9" s="1851">
        <v>492.05200000000002</v>
      </c>
      <c r="G9" s="1851">
        <v>1349.8743200000001</v>
      </c>
      <c r="H9" s="1851">
        <v>947.53314</v>
      </c>
      <c r="I9" s="1851">
        <v>2055.68615</v>
      </c>
      <c r="J9" s="1851">
        <v>3816</v>
      </c>
      <c r="K9" s="1851">
        <v>3541</v>
      </c>
      <c r="L9" s="1851">
        <v>1898</v>
      </c>
      <c r="M9" s="1851">
        <v>2731</v>
      </c>
      <c r="N9" s="1851">
        <v>2804</v>
      </c>
      <c r="O9" s="1851">
        <v>3217.0320000000002</v>
      </c>
      <c r="P9" s="1851">
        <v>3049.9960000000001</v>
      </c>
      <c r="Q9" s="1851">
        <v>1680.548</v>
      </c>
      <c r="R9" s="1851">
        <f>+'SCG Table A'!E16/1000</f>
        <v>3088.0349999999999</v>
      </c>
      <c r="S9" s="1851">
        <f>'SCG Table A'!G16/1000</f>
        <v>2663.4294900000004</v>
      </c>
      <c r="T9" s="1851">
        <f>'SCG Table A'!J16/1000</f>
        <v>3876.8448191903494</v>
      </c>
      <c r="U9" s="1851">
        <f>'SCG Table A'!M16/1000</f>
        <v>4058.3154133377484</v>
      </c>
    </row>
    <row r="10" spans="1:21" ht="17.25" customHeight="1" x14ac:dyDescent="0.2">
      <c r="A10" s="985" t="s">
        <v>347</v>
      </c>
      <c r="B10" s="982"/>
      <c r="C10" s="2313" t="s">
        <v>149</v>
      </c>
      <c r="D10" s="1838">
        <v>41.506999999999998</v>
      </c>
      <c r="E10" s="1838">
        <v>192.77699999999999</v>
      </c>
      <c r="F10" s="1838">
        <v>670.44006000000002</v>
      </c>
      <c r="G10" s="1838">
        <v>540.28769</v>
      </c>
      <c r="H10" s="1838">
        <v>1296.1501699999997</v>
      </c>
      <c r="I10" s="1838">
        <v>1401.78764</v>
      </c>
      <c r="J10" s="1838">
        <v>1666</v>
      </c>
      <c r="K10" s="1838">
        <v>3344</v>
      </c>
      <c r="L10" s="1838">
        <v>3029</v>
      </c>
      <c r="M10" s="1838">
        <v>1477</v>
      </c>
      <c r="N10" s="1838">
        <v>1648</v>
      </c>
      <c r="O10" s="1838">
        <v>1425.0260000000001</v>
      </c>
      <c r="P10" s="1851">
        <v>1857.8384099999998</v>
      </c>
      <c r="Q10" s="1838">
        <v>2556.2089999999998</v>
      </c>
      <c r="R10" s="1838">
        <f>+'SCG Table A'!E14/1000</f>
        <v>3888.6619999999998</v>
      </c>
      <c r="S10" s="1838">
        <f>('SCG Table A'!G14)/1000</f>
        <v>1994.6810564015104</v>
      </c>
      <c r="T10" s="1838">
        <f>('SCG Table A'!J14)/1000</f>
        <v>3018.6668668640887</v>
      </c>
      <c r="U10" s="1838">
        <f>('SCG Table A'!M14)/1000</f>
        <v>3116.2666701221615</v>
      </c>
    </row>
    <row r="11" spans="1:21" ht="17.25" customHeight="1" x14ac:dyDescent="0.2">
      <c r="A11" s="985" t="s">
        <v>347</v>
      </c>
      <c r="B11" s="982"/>
      <c r="C11" s="2313" t="s">
        <v>595</v>
      </c>
      <c r="D11" s="1838">
        <v>0</v>
      </c>
      <c r="E11" s="1838">
        <v>0</v>
      </c>
      <c r="F11" s="1838">
        <v>0</v>
      </c>
      <c r="G11" s="1838">
        <v>0</v>
      </c>
      <c r="H11" s="1838">
        <v>0</v>
      </c>
      <c r="I11" s="1838">
        <v>0</v>
      </c>
      <c r="J11" s="1838">
        <v>38.552</v>
      </c>
      <c r="K11" s="1838">
        <v>265.90899999999999</v>
      </c>
      <c r="L11" s="1838">
        <v>585</v>
      </c>
      <c r="M11" s="1838">
        <v>1675</v>
      </c>
      <c r="N11" s="1838">
        <v>1497</v>
      </c>
      <c r="O11" s="1838">
        <v>2811.8</v>
      </c>
      <c r="P11" s="1851">
        <v>3493.1082199999996</v>
      </c>
      <c r="Q11" s="1838">
        <v>3256.694</v>
      </c>
      <c r="R11" s="1838">
        <f>+'SCG Table A'!E15/1000</f>
        <v>3675.77</v>
      </c>
      <c r="S11" s="1838">
        <f>('SCG Table A'!G15)/1000</f>
        <v>1412.1377400000001</v>
      </c>
      <c r="T11" s="1838">
        <f>('SCG Table A'!J15)/1000</f>
        <v>1174.703231</v>
      </c>
      <c r="U11" s="1838">
        <f>('SCG Table A'!M15)/1000</f>
        <v>1174.703231</v>
      </c>
    </row>
    <row r="12" spans="1:21" ht="17.25" customHeight="1" x14ac:dyDescent="0.2">
      <c r="A12" s="985" t="s">
        <v>347</v>
      </c>
      <c r="B12" s="981"/>
      <c r="C12" s="2314" t="s">
        <v>227</v>
      </c>
      <c r="D12" s="1842">
        <v>0</v>
      </c>
      <c r="E12" s="1842">
        <v>0</v>
      </c>
      <c r="F12" s="1842">
        <v>0</v>
      </c>
      <c r="G12" s="1842">
        <v>187.91134999999997</v>
      </c>
      <c r="H12" s="1842">
        <v>94.333539999999999</v>
      </c>
      <c r="I12" s="1842">
        <v>364.58321000000001</v>
      </c>
      <c r="J12" s="1851">
        <v>595.73199999999997</v>
      </c>
      <c r="K12" s="1851">
        <v>281.06200000000001</v>
      </c>
      <c r="L12" s="1851">
        <v>453</v>
      </c>
      <c r="M12" s="1851">
        <v>623</v>
      </c>
      <c r="N12" s="1851">
        <v>392</v>
      </c>
      <c r="O12" s="1851">
        <v>-255.56399999999999</v>
      </c>
      <c r="P12" s="1851">
        <v>498.505</v>
      </c>
      <c r="Q12" s="1851">
        <v>463.33300000000003</v>
      </c>
      <c r="R12" s="1851">
        <f>+'SCG Table A'!E13/1000</f>
        <v>6.016</v>
      </c>
      <c r="S12" s="1851">
        <f>'SCG Table A'!G13/1000</f>
        <v>533.01777992057623</v>
      </c>
      <c r="T12" s="1851">
        <f>'SCG Table A'!J13/1000</f>
        <v>325.47662145017154</v>
      </c>
      <c r="U12" s="1851">
        <f>'SCG Table A'!M13/1000</f>
        <v>130.1906485800686</v>
      </c>
    </row>
    <row r="13" spans="1:21" ht="17.25" customHeight="1" x14ac:dyDescent="0.2">
      <c r="A13" s="985" t="s">
        <v>347</v>
      </c>
      <c r="B13" s="982"/>
      <c r="C13" s="2313" t="s">
        <v>529</v>
      </c>
      <c r="D13" s="1838">
        <v>0</v>
      </c>
      <c r="E13" s="1838">
        <v>0</v>
      </c>
      <c r="F13" s="1838">
        <v>0</v>
      </c>
      <c r="G13" s="1838">
        <v>0</v>
      </c>
      <c r="H13" s="1838">
        <v>0</v>
      </c>
      <c r="I13" s="1838">
        <v>0</v>
      </c>
      <c r="J13" s="1838">
        <v>0</v>
      </c>
      <c r="K13" s="1838">
        <v>114</v>
      </c>
      <c r="L13" s="1838">
        <v>-37</v>
      </c>
      <c r="M13" s="1838">
        <v>7</v>
      </c>
      <c r="N13" s="1838">
        <v>0</v>
      </c>
      <c r="O13" s="1838">
        <v>125.944</v>
      </c>
      <c r="P13" s="1851">
        <v>29.770109999999999</v>
      </c>
      <c r="Q13" s="1838">
        <v>151.126</v>
      </c>
      <c r="R13" s="1838">
        <f>+'SCG Table A'!E17/1000</f>
        <v>145.113</v>
      </c>
      <c r="S13" s="1838">
        <f>'SCG Table A'!G17/1000</f>
        <v>118.18709494220393</v>
      </c>
      <c r="T13" s="1838">
        <f>'SCG Table A'!J17/1000</f>
        <v>198.71980308169995</v>
      </c>
      <c r="U13" s="1838">
        <f>'SCG Table A'!M17/1000</f>
        <v>223.74665157129061</v>
      </c>
    </row>
    <row r="14" spans="1:21" ht="17.25" hidden="1" customHeight="1" x14ac:dyDescent="0.2">
      <c r="A14" s="985" t="s">
        <v>347</v>
      </c>
      <c r="B14" s="982"/>
      <c r="C14" s="2309" t="s">
        <v>110</v>
      </c>
      <c r="D14" s="1846">
        <v>0</v>
      </c>
      <c r="E14" s="1846">
        <v>0</v>
      </c>
      <c r="F14" s="1846">
        <v>48.437899999999992</v>
      </c>
      <c r="G14" s="1846">
        <v>91.002510000000001</v>
      </c>
      <c r="H14" s="1846">
        <v>73.228480000000005</v>
      </c>
      <c r="I14" s="1846">
        <v>40.095439999999996</v>
      </c>
      <c r="J14" s="2274">
        <v>0</v>
      </c>
      <c r="K14" s="2274">
        <v>0</v>
      </c>
      <c r="L14" s="2274">
        <v>0</v>
      </c>
      <c r="M14" s="2274">
        <v>0</v>
      </c>
      <c r="N14" s="2274">
        <v>0</v>
      </c>
      <c r="O14" s="2274">
        <v>-1</v>
      </c>
      <c r="P14" s="2274">
        <v>0</v>
      </c>
      <c r="Q14" s="2274">
        <v>0</v>
      </c>
      <c r="R14" s="2274">
        <v>0</v>
      </c>
      <c r="S14" s="2274">
        <v>1</v>
      </c>
      <c r="T14" s="2274">
        <v>2</v>
      </c>
      <c r="U14" s="2274">
        <v>3</v>
      </c>
    </row>
    <row r="15" spans="1:21" ht="17.25" customHeight="1" thickBot="1" x14ac:dyDescent="0.25">
      <c r="A15" s="985" t="s">
        <v>347</v>
      </c>
      <c r="B15" s="982"/>
      <c r="C15" s="2605" t="s">
        <v>30</v>
      </c>
      <c r="D15" s="2606">
        <f t="shared" ref="D15:I15" si="0">SUM(D9:D14)</f>
        <v>292.34899999999999</v>
      </c>
      <c r="E15" s="2606">
        <f t="shared" si="0"/>
        <v>536.72</v>
      </c>
      <c r="F15" s="2606">
        <f t="shared" si="0"/>
        <v>1210.9299599999999</v>
      </c>
      <c r="G15" s="2606">
        <f t="shared" si="0"/>
        <v>2169.0758699999997</v>
      </c>
      <c r="H15" s="2606">
        <f t="shared" si="0"/>
        <v>2411.2453299999997</v>
      </c>
      <c r="I15" s="2606">
        <f t="shared" si="0"/>
        <v>3862.1524399999998</v>
      </c>
      <c r="J15" s="2606">
        <v>6116.2839999999997</v>
      </c>
      <c r="K15" s="2606">
        <v>7545.9709999999995</v>
      </c>
      <c r="L15" s="2606">
        <v>5928</v>
      </c>
      <c r="M15" s="2606">
        <v>6513</v>
      </c>
      <c r="N15" s="2606">
        <v>6341</v>
      </c>
      <c r="O15" s="2606">
        <v>7323.2380000000003</v>
      </c>
      <c r="P15" s="2606">
        <v>8929.2177399999982</v>
      </c>
      <c r="Q15" s="2606">
        <v>8107.9099999999989</v>
      </c>
      <c r="R15" s="2606">
        <f>SUM(R9:R14)</f>
        <v>10803.596</v>
      </c>
      <c r="S15" s="2606">
        <f>SUM(S9:S14)</f>
        <v>6722.4531612642904</v>
      </c>
      <c r="T15" s="2606">
        <f>SUM(T9:T14)</f>
        <v>8596.4113415863103</v>
      </c>
      <c r="U15" s="2606">
        <f>SUM(U9:U14)</f>
        <v>8706.2226146112698</v>
      </c>
    </row>
    <row r="16" spans="1:21" ht="17.25" customHeight="1" thickBot="1" x14ac:dyDescent="0.25">
      <c r="A16" s="994" t="s">
        <v>347</v>
      </c>
      <c r="B16" s="981"/>
      <c r="C16" s="2607"/>
      <c r="D16" s="523"/>
      <c r="E16" s="523"/>
      <c r="F16" s="523"/>
      <c r="G16" s="523"/>
      <c r="H16" s="523"/>
      <c r="I16" s="523"/>
      <c r="J16" s="523"/>
      <c r="K16" s="523"/>
      <c r="L16" s="523"/>
      <c r="M16" s="523"/>
      <c r="N16" s="523"/>
      <c r="O16" s="523"/>
      <c r="P16" s="523"/>
      <c r="Q16" s="523"/>
      <c r="R16" s="523"/>
      <c r="S16" s="523"/>
      <c r="T16" s="523"/>
      <c r="U16" s="523"/>
    </row>
    <row r="17" spans="1:21" ht="17.25" customHeight="1" thickBot="1" x14ac:dyDescent="0.25">
      <c r="A17" s="981"/>
      <c r="B17" s="981"/>
      <c r="C17" s="2640" t="s">
        <v>6</v>
      </c>
      <c r="D17" s="2641"/>
      <c r="E17" s="2641"/>
      <c r="F17" s="2641"/>
      <c r="G17" s="2641"/>
      <c r="H17" s="2641"/>
      <c r="I17" s="2641"/>
      <c r="J17" s="2229"/>
      <c r="K17" s="2230"/>
      <c r="L17" s="2230"/>
      <c r="M17" s="2230"/>
      <c r="N17" s="2230"/>
      <c r="O17" s="2230"/>
      <c r="P17" s="2230"/>
      <c r="Q17" s="2230"/>
      <c r="R17" s="2230"/>
      <c r="S17" s="2230"/>
      <c r="T17" s="2230"/>
      <c r="U17" s="2230"/>
    </row>
    <row r="18" spans="1:21" ht="17.25" customHeight="1" x14ac:dyDescent="0.2">
      <c r="A18" s="28"/>
      <c r="B18" s="981"/>
      <c r="C18" s="2682" t="s">
        <v>112</v>
      </c>
      <c r="D18" s="1850">
        <v>0</v>
      </c>
      <c r="E18" s="1850">
        <v>0</v>
      </c>
      <c r="F18" s="1850">
        <v>656.84299999999996</v>
      </c>
      <c r="G18" s="1850">
        <v>605.73869000000002</v>
      </c>
      <c r="H18" s="1850">
        <v>623.53782999999999</v>
      </c>
      <c r="I18" s="1850">
        <v>1090.0725299999999</v>
      </c>
      <c r="J18" s="1850">
        <v>697</v>
      </c>
      <c r="K18" s="1850">
        <v>1483</v>
      </c>
      <c r="L18" s="1850">
        <v>941</v>
      </c>
      <c r="M18" s="1850">
        <v>1247</v>
      </c>
      <c r="N18" s="1850">
        <v>956</v>
      </c>
      <c r="O18" s="1850">
        <v>759.88800000000003</v>
      </c>
      <c r="P18" s="1850">
        <v>1225.9770000000001</v>
      </c>
      <c r="Q18" s="1850">
        <v>2156.8130000000001</v>
      </c>
      <c r="R18" s="1850">
        <f>'SCG Table A'!E20/1000</f>
        <v>2906.6080000000002</v>
      </c>
      <c r="S18" s="1850">
        <f>'SCG Table A'!G20/1000</f>
        <v>1200.8806669574003</v>
      </c>
      <c r="T18" s="1850">
        <f>'SCG Table A'!J20/1000</f>
        <v>1627.0604171873481</v>
      </c>
      <c r="U18" s="1850">
        <f>'SCG Table A'!M20/1000</f>
        <v>1647.3159130596025</v>
      </c>
    </row>
    <row r="19" spans="1:21" ht="17.25" customHeight="1" x14ac:dyDescent="0.2">
      <c r="A19" s="1003"/>
      <c r="B19" s="981"/>
      <c r="C19" s="2680" t="s">
        <v>116</v>
      </c>
      <c r="D19" s="2681">
        <v>0</v>
      </c>
      <c r="E19" s="1838">
        <v>0</v>
      </c>
      <c r="F19" s="1838">
        <v>60.33</v>
      </c>
      <c r="G19" s="1838">
        <v>185.37402</v>
      </c>
      <c r="H19" s="1838">
        <v>84.32199</v>
      </c>
      <c r="I19" s="1838">
        <v>1036.9177999999999</v>
      </c>
      <c r="J19" s="1838">
        <v>835</v>
      </c>
      <c r="K19" s="1838">
        <v>808</v>
      </c>
      <c r="L19" s="1838">
        <v>1247</v>
      </c>
      <c r="M19" s="1838">
        <v>911</v>
      </c>
      <c r="N19" s="1838">
        <v>1446</v>
      </c>
      <c r="O19" s="1838">
        <v>1208.221</v>
      </c>
      <c r="P19" s="1838">
        <v>733.60400000000004</v>
      </c>
      <c r="Q19" s="1838">
        <v>2032.9860000000001</v>
      </c>
      <c r="R19" s="1838">
        <f>'SCG Table A'!E21/1000</f>
        <v>750.90499999999997</v>
      </c>
      <c r="S19" s="1838">
        <f>'SCG Table A'!G21/1000</f>
        <v>822.94561635614104</v>
      </c>
      <c r="T19" s="1838">
        <f>'SCG Table A'!J21/1000</f>
        <v>1072.738488655554</v>
      </c>
      <c r="U19" s="1838">
        <f>'SCG Table A'!M21/1000</f>
        <v>1086.0254190404162</v>
      </c>
    </row>
    <row r="20" spans="1:21" ht="17.25" customHeight="1" x14ac:dyDescent="0.2">
      <c r="A20" s="1003" t="s">
        <v>348</v>
      </c>
      <c r="B20" s="981"/>
      <c r="C20" s="2311" t="s">
        <v>581</v>
      </c>
      <c r="D20" s="2194">
        <v>0</v>
      </c>
      <c r="E20" s="1851">
        <v>0</v>
      </c>
      <c r="F20" s="1851">
        <v>9.2829999999999995</v>
      </c>
      <c r="G20" s="1851">
        <v>2.9573100000000001</v>
      </c>
      <c r="H20" s="1851">
        <v>8.389149999999999</v>
      </c>
      <c r="I20" s="1851">
        <v>250.81011000000001</v>
      </c>
      <c r="J20" s="1851">
        <v>-20</v>
      </c>
      <c r="K20" s="1851">
        <v>46.493000000000002</v>
      </c>
      <c r="L20" s="1851">
        <v>134</v>
      </c>
      <c r="M20" s="1851">
        <v>69</v>
      </c>
      <c r="N20" s="1851">
        <v>118</v>
      </c>
      <c r="O20" s="1851">
        <v>130.46100000000001</v>
      </c>
      <c r="P20" s="1851">
        <v>197.33099999999999</v>
      </c>
      <c r="Q20" s="1851">
        <v>228.959</v>
      </c>
      <c r="R20" s="1851">
        <f>'SCG Table A'!E22/1000</f>
        <v>249.02199999999999</v>
      </c>
      <c r="S20" s="1851">
        <f>'SCG Table A'!G22/1000</f>
        <v>369.55835938470898</v>
      </c>
      <c r="T20" s="1851">
        <f>'SCG Table A'!J22/1000</f>
        <v>481.97115184258001</v>
      </c>
      <c r="U20" s="1851">
        <f>'SCG Table A'!M22/1000</f>
        <v>487.9169483069154</v>
      </c>
    </row>
    <row r="21" spans="1:21" ht="17.25" customHeight="1" thickBot="1" x14ac:dyDescent="0.25">
      <c r="A21" s="1003" t="s">
        <v>348</v>
      </c>
      <c r="B21" s="981"/>
      <c r="C21" s="2679" t="s">
        <v>245</v>
      </c>
      <c r="D21" s="2193">
        <v>0</v>
      </c>
      <c r="E21" s="2193">
        <v>0</v>
      </c>
      <c r="F21" s="2193">
        <v>0</v>
      </c>
      <c r="G21" s="2193">
        <v>0</v>
      </c>
      <c r="H21" s="2193">
        <v>0</v>
      </c>
      <c r="I21" s="2193">
        <v>0</v>
      </c>
      <c r="J21" s="2193">
        <v>92</v>
      </c>
      <c r="K21" s="2193">
        <v>113</v>
      </c>
      <c r="L21" s="2193">
        <v>99</v>
      </c>
      <c r="M21" s="2193">
        <v>241</v>
      </c>
      <c r="N21" s="2193">
        <v>157</v>
      </c>
      <c r="O21" s="2193">
        <v>72.863</v>
      </c>
      <c r="P21" s="2193">
        <v>216.506</v>
      </c>
      <c r="Q21" s="2193">
        <v>237.72200000000001</v>
      </c>
      <c r="R21" s="2193">
        <f>'SCG Table A'!E23/1000</f>
        <v>428.44499999999999</v>
      </c>
      <c r="S21" s="2193">
        <f>'SCG Table A'!G23/1000</f>
        <v>314.29636999999997</v>
      </c>
      <c r="T21" s="2193">
        <f>'SCG Table A'!J23/1000</f>
        <v>296.67067067276918</v>
      </c>
      <c r="U21" s="2193">
        <f>'SCG Table A'!M23/1000</f>
        <v>299.60197893783055</v>
      </c>
    </row>
    <row r="22" spans="1:21" ht="17.25" customHeight="1" thickBot="1" x14ac:dyDescent="0.25">
      <c r="A22" s="1003" t="s">
        <v>348</v>
      </c>
      <c r="B22" s="981"/>
      <c r="C22" s="2610" t="s">
        <v>206</v>
      </c>
      <c r="D22" s="2611" t="e">
        <f>#REF!+#REF!+D21</f>
        <v>#REF!</v>
      </c>
      <c r="E22" s="2611" t="e">
        <f>#REF!+#REF!+E21</f>
        <v>#REF!</v>
      </c>
      <c r="F22" s="2611" t="e">
        <f>#REF!+#REF!+F21</f>
        <v>#REF!</v>
      </c>
      <c r="G22" s="2611" t="e">
        <f>#REF!+#REF!+G21</f>
        <v>#REF!</v>
      </c>
      <c r="H22" s="2611" t="e">
        <f>#REF!+#REF!+H21</f>
        <v>#REF!</v>
      </c>
      <c r="I22" s="2611" t="e">
        <f>#REF!+#REF!+I21</f>
        <v>#REF!</v>
      </c>
      <c r="J22" s="2611">
        <v>1604</v>
      </c>
      <c r="K22" s="2611">
        <v>2450.4929999999999</v>
      </c>
      <c r="L22" s="2611">
        <v>2421</v>
      </c>
      <c r="M22" s="2611">
        <v>2468</v>
      </c>
      <c r="N22" s="2611">
        <v>2677</v>
      </c>
      <c r="O22" s="2611">
        <v>2171.433</v>
      </c>
      <c r="P22" s="2611">
        <v>2373.4180000000001</v>
      </c>
      <c r="Q22" s="2611">
        <v>4656.4799999999996</v>
      </c>
      <c r="R22" s="2611">
        <f>SUM(R18:R21)</f>
        <v>4334.9799999999996</v>
      </c>
      <c r="S22" s="2611">
        <f>SUM(S18:S21)</f>
        <v>2707.6810126982505</v>
      </c>
      <c r="T22" s="2611">
        <f t="shared" ref="T22:U22" si="1">SUM(T18:T21)</f>
        <v>3478.4407283582514</v>
      </c>
      <c r="U22" s="2611">
        <f t="shared" si="1"/>
        <v>3520.8602593447649</v>
      </c>
    </row>
    <row r="23" spans="1:21" ht="17.25" customHeight="1" thickBot="1" x14ac:dyDescent="0.25">
      <c r="A23" s="1003"/>
      <c r="B23" s="981"/>
      <c r="C23" s="2609"/>
      <c r="D23" s="2763"/>
      <c r="E23" s="2763"/>
      <c r="F23" s="2763"/>
      <c r="G23" s="2763"/>
      <c r="H23" s="2763"/>
      <c r="I23" s="2763"/>
      <c r="J23" s="2763"/>
      <c r="K23" s="2763"/>
      <c r="L23" s="2763"/>
      <c r="M23" s="2763"/>
      <c r="N23" s="2763"/>
      <c r="O23" s="2763"/>
      <c r="P23" s="2763"/>
      <c r="Q23" s="2763"/>
      <c r="R23" s="2763"/>
      <c r="S23" s="2763"/>
      <c r="T23" s="2763"/>
      <c r="U23" s="2763"/>
    </row>
    <row r="24" spans="1:21" ht="17.25" customHeight="1" thickBot="1" x14ac:dyDescent="0.25">
      <c r="A24" s="1003"/>
      <c r="B24" s="981"/>
      <c r="C24" s="2640" t="s">
        <v>737</v>
      </c>
      <c r="D24" s="2641"/>
      <c r="E24" s="2641"/>
      <c r="F24" s="2641"/>
      <c r="G24" s="2641"/>
      <c r="H24" s="2641"/>
      <c r="I24" s="2641"/>
      <c r="J24" s="2229"/>
      <c r="K24" s="2230"/>
      <c r="L24" s="2230"/>
      <c r="M24" s="2230"/>
      <c r="N24" s="2230"/>
      <c r="O24" s="2230"/>
      <c r="P24" s="2230"/>
      <c r="Q24" s="2230"/>
      <c r="R24" s="2230"/>
      <c r="S24" s="2230"/>
      <c r="T24" s="2230"/>
      <c r="U24" s="2230"/>
    </row>
    <row r="25" spans="1:21" ht="17.25" customHeight="1" x14ac:dyDescent="0.2">
      <c r="A25" s="1003"/>
      <c r="B25" s="981"/>
      <c r="C25" s="2682" t="s">
        <v>739</v>
      </c>
      <c r="D25" s="1850"/>
      <c r="E25" s="1850"/>
      <c r="F25" s="1850"/>
      <c r="G25" s="1850"/>
      <c r="H25" s="1850"/>
      <c r="I25" s="1850"/>
      <c r="J25" s="1850"/>
      <c r="K25" s="1850"/>
      <c r="L25" s="1850"/>
      <c r="M25" s="1850"/>
      <c r="N25" s="1850"/>
      <c r="O25" s="1850"/>
      <c r="P25" s="1850"/>
      <c r="Q25" s="1850"/>
      <c r="R25" s="1850"/>
      <c r="S25" s="1850">
        <f>'SCG Table A'!G26/1000</f>
        <v>198.35149999999999</v>
      </c>
      <c r="T25" s="1850">
        <f>'SCG Table A'!J26/1000</f>
        <v>206.53399999999999</v>
      </c>
      <c r="U25" s="1850">
        <f>'SCG Table A'!M26/1000</f>
        <v>214.7165</v>
      </c>
    </row>
    <row r="26" spans="1:21" ht="17.25" customHeight="1" thickBot="1" x14ac:dyDescent="0.25">
      <c r="A26" s="1003"/>
      <c r="B26" s="981"/>
      <c r="C26" s="2680" t="s">
        <v>738</v>
      </c>
      <c r="D26" s="2681"/>
      <c r="E26" s="1838"/>
      <c r="F26" s="1838"/>
      <c r="G26" s="1838"/>
      <c r="H26" s="1838"/>
      <c r="I26" s="1838"/>
      <c r="J26" s="1838"/>
      <c r="K26" s="1838"/>
      <c r="L26" s="1838"/>
      <c r="M26" s="1838"/>
      <c r="N26" s="1838"/>
      <c r="O26" s="1838"/>
      <c r="P26" s="1838"/>
      <c r="Q26" s="1838"/>
      <c r="R26" s="1838"/>
      <c r="S26" s="1838">
        <f>'SCG Table A'!G27/1000</f>
        <v>183.17599999999999</v>
      </c>
      <c r="T26" s="1838">
        <f>'SCG Table A'!J27/1000</f>
        <v>200.25976</v>
      </c>
      <c r="U26" s="1838">
        <f>'SCG Table A'!M27/1000</f>
        <v>204.98103279999998</v>
      </c>
    </row>
    <row r="27" spans="1:21" ht="17.25" customHeight="1" thickBot="1" x14ac:dyDescent="0.25">
      <c r="A27" s="1003"/>
      <c r="B27" s="981"/>
      <c r="C27" s="2610" t="s">
        <v>758</v>
      </c>
      <c r="D27" s="2611"/>
      <c r="E27" s="2611"/>
      <c r="F27" s="2611"/>
      <c r="G27" s="2611"/>
      <c r="H27" s="2611"/>
      <c r="I27" s="2611"/>
      <c r="J27" s="2611"/>
      <c r="K27" s="2611"/>
      <c r="L27" s="2611"/>
      <c r="M27" s="2611"/>
      <c r="N27" s="2611"/>
      <c r="O27" s="2611"/>
      <c r="P27" s="2611"/>
      <c r="Q27" s="2611"/>
      <c r="R27" s="2611"/>
      <c r="S27" s="2611">
        <f>SUM(S25:S26)</f>
        <v>381.52749999999997</v>
      </c>
      <c r="T27" s="2611">
        <f t="shared" ref="T27:U27" si="2">SUM(T25:T26)</f>
        <v>406.79376000000002</v>
      </c>
      <c r="U27" s="2611">
        <f t="shared" si="2"/>
        <v>419.69753279999998</v>
      </c>
    </row>
    <row r="28" spans="1:21" ht="17.25" customHeight="1" thickBot="1" x14ac:dyDescent="0.25">
      <c r="A28" s="1003"/>
      <c r="B28" s="981"/>
      <c r="C28" s="2764"/>
      <c r="D28" s="2765"/>
      <c r="E28" s="2765"/>
      <c r="F28" s="2765"/>
      <c r="G28" s="2765"/>
      <c r="H28" s="2765"/>
      <c r="I28" s="2765"/>
      <c r="J28" s="2765"/>
      <c r="K28" s="2765"/>
      <c r="L28" s="2765"/>
      <c r="M28" s="2765"/>
      <c r="N28" s="2765"/>
      <c r="O28" s="2765"/>
      <c r="P28" s="2765"/>
      <c r="Q28" s="2765"/>
      <c r="R28" s="2765"/>
      <c r="S28" s="2765"/>
      <c r="T28" s="2765"/>
      <c r="U28" s="2765"/>
    </row>
    <row r="29" spans="1:21" ht="17.25" customHeight="1" thickBot="1" x14ac:dyDescent="0.25">
      <c r="A29" s="981"/>
      <c r="B29" s="981"/>
      <c r="C29" s="2640" t="s">
        <v>645</v>
      </c>
      <c r="D29" s="2641"/>
      <c r="E29" s="2641"/>
      <c r="F29" s="2641"/>
      <c r="G29" s="2641"/>
      <c r="H29" s="2641"/>
      <c r="I29" s="2641"/>
      <c r="J29" s="2230"/>
      <c r="K29" s="2230"/>
      <c r="L29" s="2230"/>
      <c r="M29" s="2230"/>
      <c r="N29" s="2230"/>
      <c r="O29" s="2230"/>
      <c r="P29" s="2230"/>
      <c r="Q29" s="2230"/>
      <c r="R29" s="2230"/>
      <c r="S29" s="2230"/>
      <c r="T29" s="2230"/>
      <c r="U29" s="2230"/>
    </row>
    <row r="30" spans="1:21" ht="17.25" customHeight="1" x14ac:dyDescent="0.2">
      <c r="A30" s="1009"/>
      <c r="B30" s="1010"/>
      <c r="C30" s="2844" t="s">
        <v>763</v>
      </c>
      <c r="D30" s="2599"/>
      <c r="E30" s="37"/>
      <c r="F30" s="37"/>
      <c r="G30" s="1851">
        <v>0</v>
      </c>
      <c r="H30" s="1851">
        <v>0</v>
      </c>
      <c r="I30" s="1851">
        <v>0</v>
      </c>
      <c r="J30" s="1851">
        <v>0</v>
      </c>
      <c r="K30" s="1851">
        <v>0</v>
      </c>
      <c r="L30" s="1851">
        <v>0</v>
      </c>
      <c r="M30" s="1851">
        <v>35</v>
      </c>
      <c r="N30" s="1851">
        <v>68</v>
      </c>
      <c r="O30" s="1851">
        <v>25.890999999999998</v>
      </c>
      <c r="P30" s="1851">
        <v>30.515000000000001</v>
      </c>
      <c r="Q30" s="1851">
        <v>31.404330000000002</v>
      </c>
      <c r="R30" s="1851">
        <f>'SCG Table A'!E30/1000</f>
        <v>22.829000000000001</v>
      </c>
      <c r="S30" s="1851">
        <f>'SCG Table A'!G32/1000</f>
        <v>80.000011098237152</v>
      </c>
      <c r="T30" s="1851">
        <f>'SCG Table A'!J32/1000</f>
        <v>79.99999109823716</v>
      </c>
      <c r="U30" s="1851">
        <f>'SCG Table A'!M32/1000</f>
        <v>79.99999109823716</v>
      </c>
    </row>
    <row r="31" spans="1:21" ht="17.25" customHeight="1" x14ac:dyDescent="0.2">
      <c r="A31" s="28"/>
      <c r="B31" s="981"/>
      <c r="C31" s="2844" t="s">
        <v>764</v>
      </c>
      <c r="D31" s="2489"/>
      <c r="E31" s="2843"/>
      <c r="F31" s="2843"/>
      <c r="G31" s="1851">
        <v>0</v>
      </c>
      <c r="H31" s="1851">
        <v>0</v>
      </c>
      <c r="I31" s="1851">
        <v>0</v>
      </c>
      <c r="J31" s="1851">
        <v>0</v>
      </c>
      <c r="K31" s="1851">
        <v>0</v>
      </c>
      <c r="L31" s="1851">
        <v>0</v>
      </c>
      <c r="M31" s="1851">
        <v>30</v>
      </c>
      <c r="N31" s="1851">
        <v>16</v>
      </c>
      <c r="O31" s="1851">
        <v>12.836</v>
      </c>
      <c r="P31" s="1851">
        <v>16.111000000000001</v>
      </c>
      <c r="Q31" s="1851">
        <v>25.846630000000001</v>
      </c>
      <c r="R31" s="1851">
        <f>'SCG Table A'!E31/1000</f>
        <v>15.433999999999999</v>
      </c>
      <c r="S31" s="1851">
        <f>'SCG Table A'!G33/1000</f>
        <v>49.999721162583199</v>
      </c>
      <c r="T31" s="1851">
        <f>'SCG Table A'!J33/1000</f>
        <v>50.000001162583196</v>
      </c>
      <c r="U31" s="1851">
        <f>'SCG Table A'!M33/1000</f>
        <v>50.000001162583196</v>
      </c>
    </row>
    <row r="32" spans="1:21" ht="17.25" customHeight="1" x14ac:dyDescent="0.2">
      <c r="A32" s="28"/>
      <c r="B32" s="981"/>
      <c r="C32" s="2845" t="s">
        <v>765</v>
      </c>
      <c r="D32" s="2599"/>
      <c r="E32" s="37"/>
      <c r="F32" s="2315"/>
      <c r="G32" s="1838">
        <v>0</v>
      </c>
      <c r="H32" s="1838">
        <v>0</v>
      </c>
      <c r="I32" s="1838">
        <v>0</v>
      </c>
      <c r="J32" s="1838">
        <v>0</v>
      </c>
      <c r="K32" s="1838">
        <v>0</v>
      </c>
      <c r="L32" s="1838">
        <v>0</v>
      </c>
      <c r="M32" s="1838">
        <v>218</v>
      </c>
      <c r="N32" s="1838">
        <v>210</v>
      </c>
      <c r="O32" s="1838">
        <v>68.326999999999998</v>
      </c>
      <c r="P32" s="1838">
        <v>70.658000000000001</v>
      </c>
      <c r="Q32" s="1838">
        <v>64.541790000000006</v>
      </c>
      <c r="R32" s="1838">
        <f>'SCG Table A'!E32/1000</f>
        <v>17.227</v>
      </c>
      <c r="S32" s="1838">
        <f>'SCG Table A'!G30/1000</f>
        <v>76.667177780464513</v>
      </c>
      <c r="T32" s="1838">
        <f>'SCG Table A'!J30/1000</f>
        <v>76.666667780464508</v>
      </c>
      <c r="U32" s="1838">
        <f>'SCG Table A'!M30/1000</f>
        <v>76.666667780464508</v>
      </c>
    </row>
    <row r="33" spans="1:21" ht="17.25" customHeight="1" x14ac:dyDescent="0.2">
      <c r="A33" s="1009"/>
      <c r="B33" s="1010"/>
      <c r="C33" s="2844" t="s">
        <v>766</v>
      </c>
      <c r="D33" s="2599"/>
      <c r="E33" s="37"/>
      <c r="F33" s="37"/>
      <c r="G33" s="1851">
        <v>0</v>
      </c>
      <c r="H33" s="1851">
        <v>0</v>
      </c>
      <c r="I33" s="1851">
        <v>0</v>
      </c>
      <c r="J33" s="1851">
        <v>0</v>
      </c>
      <c r="K33" s="1851">
        <v>0</v>
      </c>
      <c r="L33" s="1851">
        <v>0</v>
      </c>
      <c r="M33" s="1851">
        <v>67</v>
      </c>
      <c r="N33" s="1851">
        <v>17</v>
      </c>
      <c r="O33" s="1851">
        <v>4.8070000000000004</v>
      </c>
      <c r="P33" s="1851">
        <v>0</v>
      </c>
      <c r="Q33" s="1851">
        <v>0</v>
      </c>
      <c r="R33" s="1851">
        <f>'SCG Table A'!E33/1000</f>
        <v>0</v>
      </c>
      <c r="S33" s="1851">
        <f>'SCG Table A'!G31/1000</f>
        <v>82.666660000000007</v>
      </c>
      <c r="T33" s="1851">
        <f>'SCG Table A'!J31/1000</f>
        <v>82.666660000000007</v>
      </c>
      <c r="U33" s="1851">
        <f>'SCG Table A'!M31/1000</f>
        <v>82.666660000000007</v>
      </c>
    </row>
    <row r="34" spans="1:21" ht="17.25" customHeight="1" x14ac:dyDescent="0.2">
      <c r="C34" s="2311" t="s">
        <v>646</v>
      </c>
      <c r="D34" s="37"/>
      <c r="E34" s="37"/>
      <c r="F34" s="37"/>
      <c r="G34" s="1851">
        <v>0</v>
      </c>
      <c r="H34" s="1851">
        <v>0</v>
      </c>
      <c r="I34" s="1851">
        <v>0</v>
      </c>
      <c r="J34" s="1851">
        <v>0</v>
      </c>
      <c r="K34" s="1851">
        <v>166.95099999999999</v>
      </c>
      <c r="L34" s="1851">
        <v>100</v>
      </c>
      <c r="M34" s="1851">
        <v>0</v>
      </c>
      <c r="N34" s="1851">
        <v>0</v>
      </c>
      <c r="O34" s="1851">
        <v>0</v>
      </c>
      <c r="P34" s="1851">
        <v>0</v>
      </c>
      <c r="Q34" s="1851">
        <v>0</v>
      </c>
      <c r="R34" s="1851">
        <v>0</v>
      </c>
      <c r="S34" s="1851">
        <v>0</v>
      </c>
      <c r="T34" s="1851">
        <v>0</v>
      </c>
      <c r="U34" s="1851">
        <v>0</v>
      </c>
    </row>
    <row r="35" spans="1:21" ht="17.25" customHeight="1" x14ac:dyDescent="0.2">
      <c r="C35" s="2311" t="s">
        <v>647</v>
      </c>
      <c r="D35" s="37"/>
      <c r="E35" s="37"/>
      <c r="F35" s="37"/>
      <c r="G35" s="1851">
        <v>0</v>
      </c>
      <c r="H35" s="1851">
        <v>0</v>
      </c>
      <c r="I35" s="1851">
        <v>0</v>
      </c>
      <c r="J35" s="1851">
        <v>0</v>
      </c>
      <c r="K35" s="1851">
        <v>25.79</v>
      </c>
      <c r="L35" s="1851">
        <v>70</v>
      </c>
      <c r="M35" s="1851">
        <v>0</v>
      </c>
      <c r="N35" s="1851">
        <v>0</v>
      </c>
      <c r="O35" s="1851">
        <v>0</v>
      </c>
      <c r="P35" s="1851">
        <v>0</v>
      </c>
      <c r="Q35" s="1851">
        <v>0</v>
      </c>
      <c r="R35" s="1851">
        <v>0</v>
      </c>
      <c r="S35" s="1851">
        <v>0</v>
      </c>
      <c r="T35" s="1851">
        <v>0</v>
      </c>
      <c r="U35" s="1851">
        <v>0</v>
      </c>
    </row>
    <row r="36" spans="1:21" ht="17.25" customHeight="1" thickBot="1" x14ac:dyDescent="0.25">
      <c r="C36" s="2312" t="s">
        <v>648</v>
      </c>
      <c r="D36" s="37"/>
      <c r="E36" s="37"/>
      <c r="F36" s="37"/>
      <c r="G36" s="2274">
        <v>0</v>
      </c>
      <c r="H36" s="2274">
        <v>0</v>
      </c>
      <c r="I36" s="2274">
        <v>0</v>
      </c>
      <c r="J36" s="2274">
        <v>21.789000000000001</v>
      </c>
      <c r="K36" s="2274">
        <v>47.128999999999998</v>
      </c>
      <c r="L36" s="2274">
        <v>68</v>
      </c>
      <c r="M36" s="2274">
        <v>0</v>
      </c>
      <c r="N36" s="2274">
        <v>0</v>
      </c>
      <c r="O36" s="2274">
        <v>0</v>
      </c>
      <c r="P36" s="2274">
        <v>0</v>
      </c>
      <c r="Q36" s="2274">
        <v>0</v>
      </c>
      <c r="R36" s="2274">
        <v>0</v>
      </c>
      <c r="S36" s="2274">
        <v>0</v>
      </c>
      <c r="T36" s="2274">
        <v>0</v>
      </c>
      <c r="U36" s="2274">
        <v>0</v>
      </c>
    </row>
    <row r="37" spans="1:21" ht="17.25" customHeight="1" thickBot="1" x14ac:dyDescent="0.25">
      <c r="C37" s="2610" t="s">
        <v>649</v>
      </c>
      <c r="D37" s="2611"/>
      <c r="E37" s="2611"/>
      <c r="F37" s="2611"/>
      <c r="G37" s="2611">
        <f>SUM(G32:G36)</f>
        <v>0</v>
      </c>
      <c r="H37" s="2611">
        <f>SUM(H32:H36)</f>
        <v>0</v>
      </c>
      <c r="I37" s="2611">
        <f>SUM(I32:I36)</f>
        <v>0</v>
      </c>
      <c r="J37" s="2611">
        <v>21.789000000000001</v>
      </c>
      <c r="K37" s="2611">
        <v>239.86999999999998</v>
      </c>
      <c r="L37" s="2611">
        <v>238</v>
      </c>
      <c r="M37" s="2611">
        <v>350</v>
      </c>
      <c r="N37" s="2611">
        <v>311</v>
      </c>
      <c r="O37" s="2611">
        <v>111.861</v>
      </c>
      <c r="P37" s="2611">
        <v>117.28400000000001</v>
      </c>
      <c r="Q37" s="2611">
        <v>121.79275</v>
      </c>
      <c r="R37" s="2611">
        <f>SUM(R30:R36)</f>
        <v>55.489999999999995</v>
      </c>
      <c r="S37" s="2611">
        <f t="shared" ref="S37:U37" si="3">SUM(S30:S36)</f>
        <v>289.33357004128482</v>
      </c>
      <c r="T37" s="2611">
        <f t="shared" si="3"/>
        <v>289.33332004128488</v>
      </c>
      <c r="U37" s="2611">
        <f t="shared" si="3"/>
        <v>289.33332004128488</v>
      </c>
    </row>
    <row r="38" spans="1:21" ht="17.25" customHeight="1" thickBot="1" x14ac:dyDescent="0.25">
      <c r="C38" s="2612" t="s">
        <v>650</v>
      </c>
      <c r="D38" s="37"/>
      <c r="E38" s="37"/>
      <c r="F38" s="37"/>
      <c r="G38" s="2208"/>
      <c r="H38" s="2208"/>
      <c r="I38" s="2208"/>
      <c r="J38" s="2208"/>
      <c r="K38" s="2208"/>
      <c r="L38" s="2208"/>
      <c r="M38" s="2208"/>
      <c r="N38" s="2208"/>
      <c r="O38" s="2208"/>
      <c r="P38" s="2208"/>
      <c r="Q38" s="2208"/>
      <c r="R38" s="2208"/>
      <c r="S38" s="2208"/>
      <c r="T38" s="2208"/>
      <c r="U38" s="2208"/>
    </row>
    <row r="39" spans="1:21" ht="17.25" customHeight="1" x14ac:dyDescent="0.2">
      <c r="C39" s="2310" t="s">
        <v>651</v>
      </c>
      <c r="D39" s="37"/>
      <c r="E39" s="37"/>
      <c r="F39" s="37"/>
      <c r="G39" s="1850">
        <v>48.216999999999999</v>
      </c>
      <c r="H39" s="1850">
        <v>52.783999999999999</v>
      </c>
      <c r="I39" s="1850">
        <v>58.097999999999999</v>
      </c>
      <c r="J39" s="1850">
        <v>78.896000000000001</v>
      </c>
      <c r="K39" s="1850">
        <v>86.914999999999992</v>
      </c>
      <c r="L39" s="1850">
        <v>86</v>
      </c>
      <c r="M39" s="1850">
        <v>77</v>
      </c>
      <c r="N39" s="1850">
        <v>103</v>
      </c>
      <c r="O39" s="1850">
        <v>7.6379999999999999</v>
      </c>
      <c r="P39" s="1850">
        <v>81.757000000000005</v>
      </c>
      <c r="Q39" s="1850">
        <v>61.74879</v>
      </c>
      <c r="R39" s="1850">
        <f>'SCG Table A'!E36/1000</f>
        <v>0</v>
      </c>
      <c r="S39" s="1850">
        <f>'SCG Table A'!G36/1000</f>
        <v>86.292000000000002</v>
      </c>
      <c r="T39" s="1850">
        <f>'SCG Table A'!J36/1000</f>
        <v>86.292000000000002</v>
      </c>
      <c r="U39" s="1850">
        <f>'SCG Table A'!M36/1000</f>
        <v>86.292000000000002</v>
      </c>
    </row>
    <row r="40" spans="1:21" ht="17.25" customHeight="1" x14ac:dyDescent="0.2">
      <c r="C40" s="2311" t="s">
        <v>652</v>
      </c>
      <c r="D40" s="37"/>
      <c r="E40" s="37"/>
      <c r="F40" s="37"/>
      <c r="G40" s="1851">
        <v>0</v>
      </c>
      <c r="H40" s="1851">
        <v>0</v>
      </c>
      <c r="I40" s="1851">
        <v>0</v>
      </c>
      <c r="J40" s="1851">
        <v>0</v>
      </c>
      <c r="K40" s="1851">
        <v>0</v>
      </c>
      <c r="L40" s="1851">
        <v>0</v>
      </c>
      <c r="M40" s="1851">
        <v>0</v>
      </c>
      <c r="N40" s="1851">
        <v>0</v>
      </c>
      <c r="O40" s="1851">
        <v>0</v>
      </c>
      <c r="P40" s="1851">
        <v>0</v>
      </c>
      <c r="Q40" s="1851">
        <v>0</v>
      </c>
      <c r="R40" s="1851">
        <f>'SCG Table A'!E37/1000</f>
        <v>0</v>
      </c>
      <c r="S40" s="1851">
        <f>'SCG Table A'!G37/1000</f>
        <v>75</v>
      </c>
      <c r="T40" s="1851">
        <f>'SCG Table A'!J37/1000</f>
        <v>75</v>
      </c>
      <c r="U40" s="1851">
        <f>'SCG Table A'!M37/1000</f>
        <v>75</v>
      </c>
    </row>
    <row r="41" spans="1:21" ht="17.25" customHeight="1" x14ac:dyDescent="0.2">
      <c r="C41" s="2311" t="s">
        <v>653</v>
      </c>
      <c r="D41" s="37"/>
      <c r="E41" s="37"/>
      <c r="F41" s="37"/>
      <c r="G41" s="1851">
        <v>0</v>
      </c>
      <c r="H41" s="1851">
        <v>0</v>
      </c>
      <c r="I41" s="1851">
        <v>0</v>
      </c>
      <c r="J41" s="1851">
        <v>85.8</v>
      </c>
      <c r="K41" s="1851">
        <v>0</v>
      </c>
      <c r="L41" s="1851">
        <v>0</v>
      </c>
      <c r="M41" s="1851">
        <v>8</v>
      </c>
      <c r="N41" s="1851">
        <v>17</v>
      </c>
      <c r="O41" s="1851">
        <v>58.530999999999999</v>
      </c>
      <c r="P41" s="1851">
        <v>37.917999999999999</v>
      </c>
      <c r="Q41" s="1851">
        <v>20.162790000000005</v>
      </c>
      <c r="R41" s="1851">
        <f>'SCG Table A'!E38/1000</f>
        <v>84.072999999999993</v>
      </c>
      <c r="S41" s="1851">
        <f>'SCG Table A'!G38/1000</f>
        <v>50</v>
      </c>
      <c r="T41" s="1851">
        <f>'SCG Table A'!J38/1000</f>
        <v>50</v>
      </c>
      <c r="U41" s="1851">
        <f>'SCG Table A'!M38/1000</f>
        <v>50</v>
      </c>
    </row>
    <row r="42" spans="1:21" ht="17.25" customHeight="1" x14ac:dyDescent="0.2">
      <c r="C42" s="2311" t="s">
        <v>654</v>
      </c>
      <c r="D42" s="37"/>
      <c r="E42" s="37"/>
      <c r="F42" s="37"/>
      <c r="G42" s="1851">
        <v>0</v>
      </c>
      <c r="H42" s="1851">
        <v>0</v>
      </c>
      <c r="I42" s="1851">
        <v>0</v>
      </c>
      <c r="J42" s="1851">
        <v>0</v>
      </c>
      <c r="K42" s="1851">
        <v>37.332000000000001</v>
      </c>
      <c r="L42" s="1851">
        <v>41.332999999999998</v>
      </c>
      <c r="M42" s="1851">
        <v>0</v>
      </c>
      <c r="N42" s="1851">
        <v>0</v>
      </c>
      <c r="O42" s="1851">
        <v>0</v>
      </c>
      <c r="P42" s="1851">
        <v>0</v>
      </c>
      <c r="Q42" s="1851">
        <v>0</v>
      </c>
      <c r="R42" s="1851">
        <v>0</v>
      </c>
      <c r="S42" s="1851">
        <v>0</v>
      </c>
      <c r="T42" s="1851">
        <v>0</v>
      </c>
      <c r="U42" s="1851">
        <v>0</v>
      </c>
    </row>
    <row r="43" spans="1:21" ht="17.25" customHeight="1" thickBot="1" x14ac:dyDescent="0.25">
      <c r="C43" s="2311" t="s">
        <v>655</v>
      </c>
      <c r="D43" s="37"/>
      <c r="E43" s="37"/>
      <c r="F43" s="37"/>
      <c r="G43" s="1851">
        <v>0</v>
      </c>
      <c r="H43" s="1851">
        <v>0</v>
      </c>
      <c r="I43" s="1851">
        <v>0</v>
      </c>
      <c r="J43" s="1851">
        <v>0</v>
      </c>
      <c r="K43" s="1851">
        <v>5.9180000000000001</v>
      </c>
      <c r="L43" s="1851">
        <v>3</v>
      </c>
      <c r="M43" s="1851">
        <v>0</v>
      </c>
      <c r="N43" s="1851">
        <v>0</v>
      </c>
      <c r="O43" s="1851">
        <v>0</v>
      </c>
      <c r="P43" s="1851">
        <v>0</v>
      </c>
      <c r="Q43" s="1851">
        <v>0</v>
      </c>
      <c r="R43" s="1851">
        <v>0</v>
      </c>
      <c r="S43" s="1851">
        <v>0</v>
      </c>
      <c r="T43" s="1851">
        <v>0</v>
      </c>
      <c r="U43" s="1851">
        <v>0</v>
      </c>
    </row>
    <row r="44" spans="1:21" ht="17.25" hidden="1" customHeight="1" thickBot="1" x14ac:dyDescent="0.25">
      <c r="C44" s="2311" t="s">
        <v>656</v>
      </c>
      <c r="D44" s="37"/>
      <c r="E44" s="37"/>
      <c r="F44" s="37"/>
      <c r="G44" s="1851">
        <v>0</v>
      </c>
      <c r="H44" s="1851">
        <v>0</v>
      </c>
      <c r="I44" s="1851">
        <v>0</v>
      </c>
      <c r="J44" s="1851">
        <v>4.6369999999999996</v>
      </c>
      <c r="K44" s="1851">
        <v>0</v>
      </c>
      <c r="L44" s="1851">
        <v>0</v>
      </c>
      <c r="M44" s="1851">
        <v>0</v>
      </c>
      <c r="N44" s="1851">
        <v>0</v>
      </c>
      <c r="O44" s="1851">
        <v>0</v>
      </c>
      <c r="P44" s="1851">
        <v>0</v>
      </c>
      <c r="Q44" s="1851">
        <v>0</v>
      </c>
      <c r="R44" s="1851">
        <v>0</v>
      </c>
      <c r="S44" s="1851">
        <v>0</v>
      </c>
      <c r="T44" s="1851">
        <v>0</v>
      </c>
      <c r="U44" s="1851">
        <v>0</v>
      </c>
    </row>
    <row r="45" spans="1:21" ht="17.25" hidden="1" customHeight="1" thickBot="1" x14ac:dyDescent="0.25">
      <c r="C45" s="2311" t="s">
        <v>657</v>
      </c>
      <c r="D45" s="37"/>
      <c r="E45" s="37"/>
      <c r="F45" s="37"/>
      <c r="G45" s="1851">
        <v>0</v>
      </c>
      <c r="H45" s="1851">
        <v>0</v>
      </c>
      <c r="I45" s="1851">
        <v>0</v>
      </c>
      <c r="J45" s="1851">
        <v>0</v>
      </c>
      <c r="K45" s="1851">
        <v>0</v>
      </c>
      <c r="L45" s="1851">
        <v>0</v>
      </c>
      <c r="M45" s="1851">
        <v>0</v>
      </c>
      <c r="N45" s="1851">
        <v>0</v>
      </c>
      <c r="O45" s="1851">
        <v>0</v>
      </c>
      <c r="P45" s="1851">
        <v>0</v>
      </c>
      <c r="Q45" s="1851">
        <v>0</v>
      </c>
      <c r="R45" s="1851">
        <v>0</v>
      </c>
      <c r="S45" s="1851">
        <v>0</v>
      </c>
      <c r="T45" s="1851">
        <v>0</v>
      </c>
      <c r="U45" s="1851">
        <v>0</v>
      </c>
    </row>
    <row r="46" spans="1:21" ht="17.25" hidden="1" customHeight="1" thickBot="1" x14ac:dyDescent="0.25">
      <c r="C46" s="2311" t="s">
        <v>658</v>
      </c>
      <c r="D46" s="37"/>
      <c r="E46" s="37"/>
      <c r="F46" s="37"/>
      <c r="G46" s="1851">
        <v>0</v>
      </c>
      <c r="H46" s="1851">
        <v>0</v>
      </c>
      <c r="I46" s="1851">
        <v>0</v>
      </c>
      <c r="J46" s="1851">
        <v>0</v>
      </c>
      <c r="K46" s="1851">
        <v>0</v>
      </c>
      <c r="L46" s="1851">
        <v>0</v>
      </c>
      <c r="M46" s="1851">
        <v>0</v>
      </c>
      <c r="N46" s="1851">
        <v>0</v>
      </c>
      <c r="O46" s="1851">
        <v>0</v>
      </c>
      <c r="P46" s="1851">
        <v>0</v>
      </c>
      <c r="Q46" s="1851">
        <v>0</v>
      </c>
      <c r="R46" s="1851">
        <v>0</v>
      </c>
      <c r="S46" s="1851">
        <v>0</v>
      </c>
      <c r="T46" s="1851">
        <v>0</v>
      </c>
      <c r="U46" s="1851">
        <v>0</v>
      </c>
    </row>
    <row r="47" spans="1:21" ht="17.25" hidden="1" customHeight="1" thickBot="1" x14ac:dyDescent="0.25">
      <c r="C47" s="2312" t="s">
        <v>659</v>
      </c>
      <c r="D47" s="37"/>
      <c r="E47" s="37"/>
      <c r="F47" s="37"/>
      <c r="G47" s="2274">
        <v>0</v>
      </c>
      <c r="H47" s="2274">
        <v>0</v>
      </c>
      <c r="I47" s="2274">
        <v>0</v>
      </c>
      <c r="J47" s="2274">
        <v>0</v>
      </c>
      <c r="K47" s="2274">
        <v>0</v>
      </c>
      <c r="L47" s="2274">
        <v>0</v>
      </c>
      <c r="M47" s="2274">
        <v>0</v>
      </c>
      <c r="N47" s="2274">
        <v>0</v>
      </c>
      <c r="O47" s="2274">
        <v>0</v>
      </c>
      <c r="P47" s="2274">
        <v>0</v>
      </c>
      <c r="Q47" s="2274">
        <v>0</v>
      </c>
      <c r="R47" s="2274">
        <v>0</v>
      </c>
      <c r="S47" s="2274">
        <v>0</v>
      </c>
      <c r="T47" s="2274">
        <v>0</v>
      </c>
      <c r="U47" s="2274">
        <v>0</v>
      </c>
    </row>
    <row r="48" spans="1:21" ht="17.25" customHeight="1" thickBot="1" x14ac:dyDescent="0.25">
      <c r="C48" s="2610" t="s">
        <v>660</v>
      </c>
      <c r="D48" s="2611"/>
      <c r="E48" s="2611"/>
      <c r="F48" s="2611"/>
      <c r="G48" s="2611">
        <f>SUM(G39:G47)</f>
        <v>48.216999999999999</v>
      </c>
      <c r="H48" s="2611">
        <f>SUM(H39:H47)</f>
        <v>52.783999999999999</v>
      </c>
      <c r="I48" s="2611">
        <f>SUM(I39:I47)</f>
        <v>58.097999999999999</v>
      </c>
      <c r="J48" s="2611">
        <v>169.333</v>
      </c>
      <c r="K48" s="2611">
        <v>130.16499999999999</v>
      </c>
      <c r="L48" s="2611">
        <v>130.333</v>
      </c>
      <c r="M48" s="2611">
        <v>85</v>
      </c>
      <c r="N48" s="2611">
        <v>120</v>
      </c>
      <c r="O48" s="2611">
        <v>66.168999999999997</v>
      </c>
      <c r="P48" s="2611">
        <v>119.67500000000001</v>
      </c>
      <c r="Q48" s="2611">
        <v>81.911580000000001</v>
      </c>
      <c r="R48" s="2611">
        <f>SUM(R39:R47)</f>
        <v>84.072999999999993</v>
      </c>
      <c r="S48" s="2611">
        <f>SUM(S39:S47)</f>
        <v>211.292</v>
      </c>
      <c r="T48" s="2611">
        <f>SUM(T39:T47)</f>
        <v>211.292</v>
      </c>
      <c r="U48" s="2611">
        <f>SUM(U39:U47)</f>
        <v>211.292</v>
      </c>
    </row>
    <row r="49" spans="3:21" ht="17.25" customHeight="1" thickBot="1" x14ac:dyDescent="0.25">
      <c r="C49" s="2612" t="s">
        <v>661</v>
      </c>
      <c r="D49" s="37"/>
      <c r="E49" s="37"/>
      <c r="F49" s="37"/>
      <c r="G49" s="2208"/>
      <c r="H49" s="2208"/>
      <c r="I49" s="2208"/>
      <c r="J49" s="2208"/>
      <c r="K49" s="2208"/>
      <c r="L49" s="2208"/>
      <c r="M49" s="2208"/>
      <c r="N49" s="2208"/>
      <c r="O49" s="2208"/>
      <c r="P49" s="2208"/>
      <c r="Q49" s="2208"/>
      <c r="R49" s="2208"/>
      <c r="S49" s="2208"/>
      <c r="T49" s="2208"/>
      <c r="U49" s="2208"/>
    </row>
    <row r="50" spans="3:21" ht="17.25" customHeight="1" x14ac:dyDescent="0.2">
      <c r="C50" s="2310" t="s">
        <v>662</v>
      </c>
      <c r="D50" s="37"/>
      <c r="E50" s="37"/>
      <c r="F50" s="37"/>
      <c r="G50" s="1850">
        <v>0</v>
      </c>
      <c r="H50" s="1850">
        <v>0</v>
      </c>
      <c r="I50" s="1850">
        <v>0</v>
      </c>
      <c r="J50" s="1850">
        <v>88.900999999999996</v>
      </c>
      <c r="K50" s="1850">
        <v>126.96599999999999</v>
      </c>
      <c r="L50" s="1850">
        <v>170</v>
      </c>
      <c r="M50" s="1850">
        <v>130</v>
      </c>
      <c r="N50" s="1850">
        <v>172</v>
      </c>
      <c r="O50" s="1850">
        <v>143.273</v>
      </c>
      <c r="P50" s="1850">
        <v>119.72945</v>
      </c>
      <c r="Q50" s="1850">
        <v>80.627610000000004</v>
      </c>
      <c r="R50" s="1850">
        <f>'SCG Table A'!E41/1000</f>
        <v>109.316</v>
      </c>
      <c r="S50" s="1850">
        <f>'SCG Table A'!G41/1000</f>
        <v>188.00700000000001</v>
      </c>
      <c r="T50" s="1850">
        <f>'SCG Table A'!J41/1000</f>
        <v>188.00700000000001</v>
      </c>
      <c r="U50" s="1850">
        <f>'SCG Table A'!M41/1000</f>
        <v>188.00700000000001</v>
      </c>
    </row>
    <row r="51" spans="3:21" ht="17.25" customHeight="1" x14ac:dyDescent="0.2">
      <c r="C51" s="2311" t="s">
        <v>663</v>
      </c>
      <c r="D51" s="37"/>
      <c r="E51" s="37"/>
      <c r="F51" s="37"/>
      <c r="G51" s="1851">
        <v>0</v>
      </c>
      <c r="H51" s="1851">
        <v>0</v>
      </c>
      <c r="I51" s="1851">
        <v>0</v>
      </c>
      <c r="J51" s="1851">
        <v>0</v>
      </c>
      <c r="K51" s="1851">
        <v>96.997</v>
      </c>
      <c r="L51" s="1851">
        <v>85</v>
      </c>
      <c r="M51" s="1851">
        <v>109</v>
      </c>
      <c r="N51" s="1851">
        <v>73</v>
      </c>
      <c r="O51" s="1851">
        <v>29.9</v>
      </c>
      <c r="P51" s="1851">
        <v>18.17286</v>
      </c>
      <c r="Q51" s="1851">
        <v>9.3120999999999992</v>
      </c>
      <c r="R51" s="1851">
        <f>'SCG Table A'!E42/1000</f>
        <v>70.801000000000002</v>
      </c>
      <c r="S51" s="1851">
        <f>'SCG Table A'!G42/1000</f>
        <v>40.1</v>
      </c>
      <c r="T51" s="1851">
        <f>'SCG Table A'!J42/1000</f>
        <v>40.1</v>
      </c>
      <c r="U51" s="1851">
        <f>'SCG Table A'!M42/1000</f>
        <v>40.1</v>
      </c>
    </row>
    <row r="52" spans="3:21" ht="17.25" customHeight="1" x14ac:dyDescent="0.2">
      <c r="C52" s="2311" t="s">
        <v>548</v>
      </c>
      <c r="D52" s="37"/>
      <c r="E52" s="37"/>
      <c r="F52" s="37"/>
      <c r="G52" s="1851">
        <v>47.18</v>
      </c>
      <c r="H52" s="1851">
        <v>20.763999999999999</v>
      </c>
      <c r="I52" s="1851">
        <v>32.735999999999997</v>
      </c>
      <c r="J52" s="1851">
        <v>151.01900000000001</v>
      </c>
      <c r="K52" s="1851">
        <v>99.442999999999998</v>
      </c>
      <c r="L52" s="1851">
        <v>102</v>
      </c>
      <c r="M52" s="1851">
        <v>141</v>
      </c>
      <c r="N52" s="1851">
        <v>169</v>
      </c>
      <c r="O52" s="1851">
        <v>98.427999999999997</v>
      </c>
      <c r="P52" s="1851">
        <v>106.49449</v>
      </c>
      <c r="Q52" s="1851">
        <v>114.34339999999997</v>
      </c>
      <c r="R52" s="1851">
        <f>'SCG Table A'!E43/1000</f>
        <v>90.0334</v>
      </c>
      <c r="S52" s="1851">
        <f>'SCG Table A'!G43/1000</f>
        <v>63.502000000000002</v>
      </c>
      <c r="T52" s="1851">
        <f>'SCG Table A'!J43/1000</f>
        <v>63.502000000000002</v>
      </c>
      <c r="U52" s="1851">
        <f>'SCG Table A'!M43/1000</f>
        <v>63.502000000000002</v>
      </c>
    </row>
    <row r="53" spans="3:21" ht="17.25" customHeight="1" x14ac:dyDescent="0.2">
      <c r="C53" s="2311" t="s">
        <v>639</v>
      </c>
      <c r="D53" s="37"/>
      <c r="E53" s="37"/>
      <c r="F53" s="37"/>
      <c r="G53" s="1851">
        <v>15.978</v>
      </c>
      <c r="H53" s="1851">
        <v>45.055</v>
      </c>
      <c r="I53" s="1851">
        <v>14.496</v>
      </c>
      <c r="J53" s="1851">
        <v>23.911999999999999</v>
      </c>
      <c r="K53" s="1851">
        <v>141.05500000000001</v>
      </c>
      <c r="L53" s="1851">
        <v>161</v>
      </c>
      <c r="M53" s="1851">
        <v>200</v>
      </c>
      <c r="N53" s="1851">
        <v>200</v>
      </c>
      <c r="O53" s="1851">
        <v>217.523</v>
      </c>
      <c r="P53" s="1851">
        <v>217.524</v>
      </c>
      <c r="Q53" s="1851">
        <v>200.83485999999996</v>
      </c>
      <c r="R53" s="1851">
        <f>'SCG Table A'!E44/1000</f>
        <v>200.00039999999998</v>
      </c>
      <c r="S53" s="1851">
        <f>'SCG Table A'!G44/1000</f>
        <v>300</v>
      </c>
      <c r="T53" s="1851">
        <f>'SCG Table A'!J44/1000</f>
        <v>300</v>
      </c>
      <c r="U53" s="1851">
        <f>'SCG Table A'!M44/1000</f>
        <v>300</v>
      </c>
    </row>
    <row r="54" spans="3:21" ht="17.25" customHeight="1" x14ac:dyDescent="0.2">
      <c r="C54" s="2311" t="s">
        <v>640</v>
      </c>
      <c r="D54" s="37"/>
      <c r="E54" s="37"/>
      <c r="F54" s="37"/>
      <c r="G54" s="1851">
        <v>0</v>
      </c>
      <c r="H54" s="1851">
        <v>0</v>
      </c>
      <c r="I54" s="1851">
        <v>0</v>
      </c>
      <c r="J54" s="1851">
        <v>0</v>
      </c>
      <c r="K54" s="1851">
        <v>25.515999999999998</v>
      </c>
      <c r="L54" s="1851">
        <v>26</v>
      </c>
      <c r="M54" s="1851">
        <v>20</v>
      </c>
      <c r="N54" s="1851">
        <v>20</v>
      </c>
      <c r="O54" s="1851">
        <v>18.667000000000002</v>
      </c>
      <c r="P54" s="1851">
        <v>18.667000000000012</v>
      </c>
      <c r="Q54" s="1851">
        <v>21.865359999999992</v>
      </c>
      <c r="R54" s="1851">
        <f>'SCG Table A'!E45/1000</f>
        <v>21.931000000000001</v>
      </c>
      <c r="S54" s="1851">
        <f>'SCG Table A'!G45/1000</f>
        <v>29.606999999999999</v>
      </c>
      <c r="T54" s="1851">
        <f>'SCG Table A'!J45/1000</f>
        <v>29.606999999999999</v>
      </c>
      <c r="U54" s="1851">
        <f>'SCG Table A'!M45/1000</f>
        <v>29.606999999999999</v>
      </c>
    </row>
    <row r="55" spans="3:21" ht="17.25" customHeight="1" x14ac:dyDescent="0.2">
      <c r="C55" s="2311" t="s">
        <v>664</v>
      </c>
      <c r="D55" s="37"/>
      <c r="E55" s="37"/>
      <c r="F55" s="37"/>
      <c r="G55" s="1851">
        <v>48.216000000000001</v>
      </c>
      <c r="H55" s="1851">
        <v>25.439</v>
      </c>
      <c r="I55" s="1851">
        <v>31.146000000000001</v>
      </c>
      <c r="J55" s="1851">
        <v>14.291</v>
      </c>
      <c r="K55" s="1851">
        <v>101.057</v>
      </c>
      <c r="L55" s="1851">
        <v>210</v>
      </c>
      <c r="M55" s="1851">
        <v>109</v>
      </c>
      <c r="N55" s="1851">
        <v>106</v>
      </c>
      <c r="O55" s="1851">
        <v>140.18199999999999</v>
      </c>
      <c r="P55" s="1851">
        <v>127.84933000000002</v>
      </c>
      <c r="Q55" s="1851">
        <v>78.797070000000005</v>
      </c>
      <c r="R55" s="1851">
        <f>'SCG Table A'!E46/1000</f>
        <v>328.13099999999997</v>
      </c>
      <c r="S55" s="1851">
        <f>'SCG Table A'!G46/1000</f>
        <v>609.47299999999996</v>
      </c>
      <c r="T55" s="1851">
        <f>'SCG Table A'!J46/1000</f>
        <v>332.47300000000001</v>
      </c>
      <c r="U55" s="1851">
        <f>'SCG Table A'!M46/1000</f>
        <v>310.47300000000001</v>
      </c>
    </row>
    <row r="56" spans="3:21" ht="17.25" customHeight="1" x14ac:dyDescent="0.2">
      <c r="C56" s="2311" t="s">
        <v>641</v>
      </c>
      <c r="D56" s="37"/>
      <c r="E56" s="37"/>
      <c r="F56" s="37"/>
      <c r="G56" s="1851">
        <v>16.762</v>
      </c>
      <c r="H56" s="1851">
        <v>8.1370000000000005</v>
      </c>
      <c r="I56" s="1851">
        <v>12.285</v>
      </c>
      <c r="J56" s="1851">
        <v>43.372999999999998</v>
      </c>
      <c r="K56" s="1851">
        <v>24.402000000000001</v>
      </c>
      <c r="L56" s="1851">
        <v>15</v>
      </c>
      <c r="M56" s="1851">
        <v>43</v>
      </c>
      <c r="N56" s="1851">
        <v>43</v>
      </c>
      <c r="O56" s="1851">
        <v>31.893000000000001</v>
      </c>
      <c r="P56" s="1851">
        <v>30.846499999999999</v>
      </c>
      <c r="Q56" s="1851">
        <v>43.333080000000002</v>
      </c>
      <c r="R56" s="1851">
        <f>'SCG Table A'!E47/1000</f>
        <v>93.290999999999997</v>
      </c>
      <c r="S56" s="1851">
        <f>'SCG Table A'!G47/1000</f>
        <v>53.332999999999998</v>
      </c>
      <c r="T56" s="1851">
        <f>'SCG Table A'!J47/1000</f>
        <v>53.332999999999998</v>
      </c>
      <c r="U56" s="1851">
        <f>'SCG Table A'!M47/1000</f>
        <v>53.332999999999998</v>
      </c>
    </row>
    <row r="57" spans="3:21" ht="17.25" customHeight="1" x14ac:dyDescent="0.2">
      <c r="C57" s="2311" t="s">
        <v>642</v>
      </c>
      <c r="D57" s="37"/>
      <c r="E57" s="37"/>
      <c r="F57" s="37"/>
      <c r="G57" s="1851">
        <v>0</v>
      </c>
      <c r="H57" s="1851">
        <v>0</v>
      </c>
      <c r="I57" s="1851">
        <v>0</v>
      </c>
      <c r="J57" s="1851">
        <v>0</v>
      </c>
      <c r="K57" s="1851">
        <v>0</v>
      </c>
      <c r="L57" s="1851">
        <v>0</v>
      </c>
      <c r="M57" s="1851">
        <v>0</v>
      </c>
      <c r="N57" s="1851">
        <v>10</v>
      </c>
      <c r="O57" s="1851">
        <v>4.2</v>
      </c>
      <c r="P57" s="1851">
        <v>10.000120000000001</v>
      </c>
      <c r="Q57" s="1851">
        <v>1.5974099999999998</v>
      </c>
      <c r="R57" s="1851">
        <f>'SCG Table A'!E48/1000</f>
        <v>10</v>
      </c>
      <c r="S57" s="1851">
        <f>'SCG Table A'!G48/1000</f>
        <v>10</v>
      </c>
      <c r="T57" s="1851">
        <f>'SCG Table A'!J48/1000</f>
        <v>10</v>
      </c>
      <c r="U57" s="1851">
        <f>'SCG Table A'!M48/1000</f>
        <v>10</v>
      </c>
    </row>
    <row r="58" spans="3:21" ht="17.25" customHeight="1" thickBot="1" x14ac:dyDescent="0.25">
      <c r="C58" s="2311" t="s">
        <v>643</v>
      </c>
      <c r="D58" s="37"/>
      <c r="E58" s="37"/>
      <c r="F58" s="37"/>
      <c r="G58" s="2274">
        <v>0</v>
      </c>
      <c r="H58" s="2274">
        <v>0</v>
      </c>
      <c r="I58" s="2274">
        <v>0</v>
      </c>
      <c r="J58" s="2274">
        <v>655.17200000000003</v>
      </c>
      <c r="K58" s="2274">
        <v>694.34699999999998</v>
      </c>
      <c r="L58" s="2274">
        <v>596</v>
      </c>
      <c r="M58" s="2274">
        <v>687</v>
      </c>
      <c r="N58" s="2274">
        <v>435</v>
      </c>
      <c r="O58" s="2274">
        <v>709.03099999999995</v>
      </c>
      <c r="P58" s="2274">
        <v>900.58085000000005</v>
      </c>
      <c r="Q58" s="2274">
        <v>629.89033000000006</v>
      </c>
      <c r="R58" s="2274">
        <f>'SCG Table A'!E49/1000</f>
        <v>696.82</v>
      </c>
      <c r="S58" s="2274">
        <f ca="1">'SCG Table A'!G49/1000</f>
        <v>575.61846208575525</v>
      </c>
      <c r="T58" s="2274">
        <f ca="1">'SCG Table A'!J49/1000</f>
        <v>695.21765749929227</v>
      </c>
      <c r="U58" s="2274">
        <f ca="1">'SCG Table A'!M49/1000</f>
        <v>702.32438649843959</v>
      </c>
    </row>
    <row r="59" spans="3:21" ht="17.25" customHeight="1" thickBot="1" x14ac:dyDescent="0.25">
      <c r="C59" s="2610" t="s">
        <v>665</v>
      </c>
      <c r="D59" s="2611"/>
      <c r="E59" s="2611"/>
      <c r="F59" s="2611"/>
      <c r="G59" s="2611">
        <f t="shared" ref="G59:S59" si="4">SUM(G50:G58)</f>
        <v>128.136</v>
      </c>
      <c r="H59" s="2611">
        <f t="shared" si="4"/>
        <v>99.39500000000001</v>
      </c>
      <c r="I59" s="2611">
        <f t="shared" si="4"/>
        <v>90.662999999999997</v>
      </c>
      <c r="J59" s="2611">
        <f t="shared" si="4"/>
        <v>976.66800000000001</v>
      </c>
      <c r="K59" s="2611">
        <f t="shared" si="4"/>
        <v>1309.7829999999999</v>
      </c>
      <c r="L59" s="2611">
        <f t="shared" si="4"/>
        <v>1365</v>
      </c>
      <c r="M59" s="2611">
        <f t="shared" si="4"/>
        <v>1439</v>
      </c>
      <c r="N59" s="2611">
        <f t="shared" si="4"/>
        <v>1228</v>
      </c>
      <c r="O59" s="2611">
        <f t="shared" si="4"/>
        <v>1393.0970000000002</v>
      </c>
      <c r="P59" s="2611">
        <f t="shared" si="4"/>
        <v>1549.8646000000001</v>
      </c>
      <c r="Q59" s="2611">
        <f t="shared" si="4"/>
        <v>1180.60122</v>
      </c>
      <c r="R59" s="2611">
        <f t="shared" si="4"/>
        <v>1620.3238000000001</v>
      </c>
      <c r="S59" s="2611">
        <f t="shared" ca="1" si="4"/>
        <v>1869.6404620857552</v>
      </c>
      <c r="T59" s="2611">
        <f ca="1">SUM(T50:T58)</f>
        <v>1712.2396574992922</v>
      </c>
      <c r="U59" s="2611">
        <f ca="1">SUM(U50:U58)</f>
        <v>1697.3463864984394</v>
      </c>
    </row>
    <row r="60" spans="3:21" ht="17.25" customHeight="1" thickBot="1" x14ac:dyDescent="0.25">
      <c r="C60" s="2610" t="s">
        <v>666</v>
      </c>
      <c r="D60" s="2611"/>
      <c r="E60" s="2611"/>
      <c r="F60" s="2611"/>
      <c r="G60" s="2611" t="e">
        <f t="shared" ref="G60:N60" si="5">G15+G22+G37+G48+G59</f>
        <v>#REF!</v>
      </c>
      <c r="H60" s="2611" t="e">
        <f t="shared" si="5"/>
        <v>#REF!</v>
      </c>
      <c r="I60" s="2611" t="e">
        <f t="shared" si="5"/>
        <v>#REF!</v>
      </c>
      <c r="J60" s="2611">
        <f t="shared" si="5"/>
        <v>8888.0739999999987</v>
      </c>
      <c r="K60" s="2611">
        <f t="shared" si="5"/>
        <v>11676.282000000001</v>
      </c>
      <c r="L60" s="2611">
        <f t="shared" si="5"/>
        <v>10082.333000000001</v>
      </c>
      <c r="M60" s="2611">
        <f t="shared" si="5"/>
        <v>10855</v>
      </c>
      <c r="N60" s="2611">
        <f t="shared" si="5"/>
        <v>10677</v>
      </c>
      <c r="O60" s="2611">
        <v>11066.798000000001</v>
      </c>
      <c r="P60" s="2611">
        <v>15994.790004354067</v>
      </c>
      <c r="Q60" s="2611">
        <f>Q15+Q22+Q37+Q48+Q59</f>
        <v>14148.69555</v>
      </c>
      <c r="R60" s="2611">
        <f>R15+R22+R37+R48+R59</f>
        <v>16898.462800000001</v>
      </c>
      <c r="S60" s="2611">
        <f ca="1">+'SCG Table A'!G51/1000</f>
        <v>12180.927706089582</v>
      </c>
      <c r="T60" s="2611">
        <f ca="1">+'SCG Table A'!J51/1000</f>
        <v>14692.510807485138</v>
      </c>
      <c r="U60" s="2611">
        <f ca="1">+'SCG Table A'!M51/1000</f>
        <v>14841.752113295761</v>
      </c>
    </row>
    <row r="62" spans="3:21" x14ac:dyDescent="0.2">
      <c r="S62" s="2752"/>
      <c r="T62" s="2752"/>
      <c r="U62" s="2752"/>
    </row>
  </sheetData>
  <printOptions horizontalCentered="1"/>
  <pageMargins left="0.5" right="0.5" top="0.75" bottom="0.75" header="0.5" footer="0.25"/>
  <pageSetup scale="56" orientation="landscape" r:id="rId1"/>
  <headerFooter alignWithMargins="0">
    <oddFooter>&amp;C&amp;1#&amp;"Calibri"&amp;12&amp;K008000Internal Use</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63">
    <pageSetUpPr fitToPage="1"/>
  </sheetPr>
  <dimension ref="A1:V56"/>
  <sheetViews>
    <sheetView zoomScale="75" zoomScaleNormal="75" workbookViewId="0">
      <selection activeCell="C67" sqref="C67:E67"/>
    </sheetView>
  </sheetViews>
  <sheetFormatPr defaultRowHeight="12.75" x14ac:dyDescent="0.2"/>
  <cols>
    <col min="1" max="1" width="6.28515625" customWidth="1"/>
    <col min="2" max="2" width="12.7109375" customWidth="1"/>
    <col min="3" max="3" width="60.7109375" customWidth="1"/>
    <col min="4" max="10" width="11.7109375" hidden="1" customWidth="1"/>
    <col min="11" max="17" width="11.7109375" customWidth="1"/>
    <col min="18" max="18" width="11.7109375" style="3" customWidth="1"/>
    <col min="19" max="19" width="11.7109375" customWidth="1"/>
    <col min="20" max="22" width="11.85546875" customWidth="1"/>
  </cols>
  <sheetData>
    <row r="1" spans="1:22" ht="23.25" x14ac:dyDescent="0.35">
      <c r="C1" s="501"/>
    </row>
    <row r="2" spans="1:22" ht="21" customHeight="1" x14ac:dyDescent="0.3">
      <c r="A2" s="3"/>
      <c r="B2" s="3"/>
      <c r="C2" s="2474" t="s">
        <v>425</v>
      </c>
      <c r="D2" s="2474"/>
      <c r="E2" s="2474"/>
      <c r="F2" s="2474"/>
      <c r="G2" s="2474"/>
      <c r="H2" s="2474"/>
      <c r="I2" s="2474"/>
      <c r="J2" s="2474"/>
      <c r="K2" s="2474"/>
      <c r="L2" s="2474"/>
      <c r="M2" s="2474"/>
      <c r="N2" s="2474"/>
      <c r="O2" s="2474"/>
      <c r="P2" s="2474"/>
      <c r="Q2" s="2474"/>
      <c r="R2" s="2474"/>
      <c r="S2" s="2474"/>
      <c r="T2" s="2474"/>
      <c r="U2" s="2474"/>
      <c r="V2" s="2474"/>
    </row>
    <row r="3" spans="1:22" ht="24" customHeight="1" x14ac:dyDescent="0.3">
      <c r="A3" s="3"/>
      <c r="B3" s="2502"/>
      <c r="C3" s="2627" t="s">
        <v>354</v>
      </c>
      <c r="D3" s="2627"/>
      <c r="E3" s="2627"/>
      <c r="F3" s="2627"/>
      <c r="G3" s="2627"/>
      <c r="H3" s="2627"/>
      <c r="I3" s="2627"/>
      <c r="J3" s="2627"/>
      <c r="K3" s="2627"/>
      <c r="L3" s="2627"/>
      <c r="M3" s="2627"/>
      <c r="N3" s="2627"/>
      <c r="O3" s="2627"/>
      <c r="P3" s="2627"/>
      <c r="Q3" s="2627"/>
      <c r="R3" s="2627"/>
      <c r="S3" s="2627"/>
      <c r="T3" s="2627"/>
      <c r="U3" s="2627"/>
      <c r="V3" s="2627"/>
    </row>
    <row r="4" spans="1:22" ht="24" customHeight="1" thickBot="1" x14ac:dyDescent="0.35">
      <c r="A4" s="3"/>
      <c r="B4" s="2502"/>
      <c r="C4" s="213"/>
      <c r="D4" s="2599"/>
      <c r="E4" s="33"/>
      <c r="F4" s="33"/>
      <c r="G4" s="33"/>
      <c r="H4" s="33"/>
      <c r="I4" s="33"/>
      <c r="J4" s="33"/>
      <c r="K4" s="33"/>
      <c r="L4" s="33"/>
      <c r="M4" s="33"/>
      <c r="N4" s="33"/>
      <c r="O4" s="33"/>
      <c r="P4" s="33"/>
      <c r="Q4" s="33"/>
      <c r="R4" s="1023"/>
      <c r="S4" s="33"/>
    </row>
    <row r="5" spans="1:22" ht="24" customHeight="1" thickBot="1" x14ac:dyDescent="0.35">
      <c r="A5" s="3"/>
      <c r="B5" s="2502"/>
      <c r="C5" s="2600" t="s">
        <v>351</v>
      </c>
      <c r="D5" s="2601"/>
      <c r="E5" s="2601"/>
      <c r="F5" s="2601"/>
      <c r="G5" s="2601"/>
      <c r="H5" s="2601"/>
      <c r="I5" s="2601"/>
      <c r="J5" s="2601"/>
      <c r="K5" s="2601"/>
      <c r="L5" s="2601"/>
      <c r="M5" s="2601"/>
      <c r="N5" s="2601"/>
      <c r="O5" s="2601"/>
      <c r="P5" s="2602"/>
      <c r="Q5" s="2601"/>
      <c r="R5" s="2601"/>
      <c r="S5" s="2602"/>
      <c r="T5" s="2602"/>
      <c r="U5" s="2602"/>
      <c r="V5" s="2602"/>
    </row>
    <row r="6" spans="1:22" ht="14.2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c r="T6" s="981">
        <v>2022</v>
      </c>
      <c r="U6" s="981">
        <v>2023</v>
      </c>
      <c r="V6" s="981">
        <v>2024</v>
      </c>
    </row>
    <row r="7" spans="1:22" ht="14.25" customHeight="1" thickBot="1" x14ac:dyDescent="0.35">
      <c r="A7" s="15"/>
      <c r="B7" s="15"/>
      <c r="C7" s="213"/>
      <c r="D7" s="195" t="s">
        <v>186</v>
      </c>
      <c r="E7" s="195" t="s">
        <v>186</v>
      </c>
      <c r="F7" s="195" t="s">
        <v>186</v>
      </c>
      <c r="G7" s="195" t="s">
        <v>186</v>
      </c>
      <c r="H7" s="195" t="s">
        <v>186</v>
      </c>
      <c r="I7" s="195" t="e">
        <f>'SCG Table D '!#REF!</f>
        <v>#REF!</v>
      </c>
      <c r="J7" s="195" t="e">
        <f>'SCG Table D '!#REF!</f>
        <v>#REF!</v>
      </c>
      <c r="K7" s="195" t="str">
        <f>'SCG Table D '!J7</f>
        <v>Actual</v>
      </c>
      <c r="L7" s="195" t="str">
        <f>'SCG Table D '!K7</f>
        <v>Actual</v>
      </c>
      <c r="M7" s="195" t="str">
        <f>'SCG Table D '!L7</f>
        <v>Actual</v>
      </c>
      <c r="N7" s="195" t="str">
        <f>'SCG Table D '!M7</f>
        <v>Actual</v>
      </c>
      <c r="O7" s="195" t="str">
        <f>'SCG Table D '!N7</f>
        <v>Actual</v>
      </c>
      <c r="P7" s="195" t="str">
        <f>'SCG Table D '!O7</f>
        <v>Actual</v>
      </c>
      <c r="Q7" s="195" t="str">
        <f>'SCG Table D '!P7</f>
        <v>Actual</v>
      </c>
      <c r="R7" s="195" t="str">
        <f>'SCG Table D '!Q7</f>
        <v>Actual</v>
      </c>
      <c r="S7" s="195" t="str">
        <f>'SCG Table D '!R7</f>
        <v>Actual</v>
      </c>
      <c r="T7" s="195" t="str">
        <f>'SCG Table D '!S7</f>
        <v>Goal</v>
      </c>
      <c r="U7" s="195" t="str">
        <f>'SCG Table D '!T7</f>
        <v>Goal</v>
      </c>
      <c r="V7" s="195" t="str">
        <f>'SCG Table D '!U7</f>
        <v>Goal</v>
      </c>
    </row>
    <row r="8" spans="1:22" ht="17.25" customHeight="1" thickBot="1" x14ac:dyDescent="0.3">
      <c r="A8" s="982"/>
      <c r="B8" s="982"/>
      <c r="C8" s="1026" t="s">
        <v>115</v>
      </c>
      <c r="D8" s="2604"/>
      <c r="E8" s="2604"/>
      <c r="F8" s="2604"/>
      <c r="G8" s="2604"/>
      <c r="H8" s="2604"/>
      <c r="I8" s="2604"/>
      <c r="J8" s="2604"/>
      <c r="K8" s="2206"/>
      <c r="L8" s="2206"/>
      <c r="M8" s="2275"/>
      <c r="N8" s="2206"/>
      <c r="O8" s="2206"/>
      <c r="P8" s="2206"/>
      <c r="Q8" s="2206"/>
      <c r="R8" s="2206"/>
      <c r="S8" s="2206"/>
      <c r="T8" s="2206"/>
      <c r="U8" s="2206"/>
      <c r="V8" s="2206"/>
    </row>
    <row r="9" spans="1:22" ht="17.25" customHeight="1" x14ac:dyDescent="0.2">
      <c r="A9" s="985" t="s">
        <v>347</v>
      </c>
      <c r="B9" s="982"/>
      <c r="C9" s="155" t="s">
        <v>222</v>
      </c>
      <c r="D9" s="2210">
        <v>34.052</v>
      </c>
      <c r="E9" s="2210">
        <v>71.551000000000002</v>
      </c>
      <c r="F9" s="2210">
        <v>87.540999999999997</v>
      </c>
      <c r="G9" s="2210">
        <v>462.61700000000002</v>
      </c>
      <c r="H9" s="2210">
        <v>214.44</v>
      </c>
      <c r="I9" s="2210">
        <v>360.78699999999998</v>
      </c>
      <c r="J9" s="2615">
        <v>264.35899999999998</v>
      </c>
      <c r="K9" s="2210">
        <v>635</v>
      </c>
      <c r="L9" s="2210">
        <v>459</v>
      </c>
      <c r="M9" s="2276">
        <v>186</v>
      </c>
      <c r="N9" s="2210">
        <v>205</v>
      </c>
      <c r="O9" s="2210">
        <v>229</v>
      </c>
      <c r="P9" s="2210">
        <v>326</v>
      </c>
      <c r="Q9" s="2210">
        <v>316</v>
      </c>
      <c r="R9" s="2210">
        <v>103</v>
      </c>
      <c r="S9" s="2210">
        <v>226.821</v>
      </c>
      <c r="T9" s="2210">
        <v>145.83304980531122</v>
      </c>
      <c r="U9" s="2210">
        <v>147.30858564016333</v>
      </c>
      <c r="V9" s="2210">
        <v>149.73596054760799</v>
      </c>
    </row>
    <row r="10" spans="1:22" ht="17.25" customHeight="1" x14ac:dyDescent="0.2">
      <c r="A10" s="985" t="s">
        <v>347</v>
      </c>
      <c r="B10" s="982"/>
      <c r="C10" s="155" t="s">
        <v>149</v>
      </c>
      <c r="D10" s="2210">
        <v>14.238</v>
      </c>
      <c r="E10" s="2210">
        <v>31.695</v>
      </c>
      <c r="F10" s="2210">
        <v>159.47</v>
      </c>
      <c r="G10" s="2210">
        <v>176.102</v>
      </c>
      <c r="H10" s="2210">
        <v>319.12</v>
      </c>
      <c r="I10" s="2210">
        <v>243.08473899999643</v>
      </c>
      <c r="J10" s="2615">
        <v>230.76499999999999</v>
      </c>
      <c r="K10" s="2210">
        <v>284</v>
      </c>
      <c r="L10" s="2210">
        <f>294+207</f>
        <v>501</v>
      </c>
      <c r="M10" s="2276">
        <f>128+260</f>
        <v>388</v>
      </c>
      <c r="N10" s="2223">
        <v>187</v>
      </c>
      <c r="O10" s="2223">
        <v>168</v>
      </c>
      <c r="P10" s="2223">
        <v>156</v>
      </c>
      <c r="Q10" s="2223">
        <v>202</v>
      </c>
      <c r="R10" s="2223">
        <v>186</v>
      </c>
      <c r="S10" s="2223">
        <v>283.50099999999998</v>
      </c>
      <c r="T10" s="2223">
        <v>127.04910746314766</v>
      </c>
      <c r="U10" s="2223">
        <v>128.42989346640232</v>
      </c>
      <c r="V10" s="2223">
        <v>132.74709907179866</v>
      </c>
    </row>
    <row r="11" spans="1:22" ht="17.25" customHeight="1" x14ac:dyDescent="0.2">
      <c r="A11" s="985" t="s">
        <v>347</v>
      </c>
      <c r="B11" s="982"/>
      <c r="C11" s="155" t="s">
        <v>595</v>
      </c>
      <c r="D11" s="2210"/>
      <c r="E11" s="2210"/>
      <c r="F11" s="2210"/>
      <c r="G11" s="2210"/>
      <c r="H11" s="2210"/>
      <c r="I11" s="2210"/>
      <c r="J11" s="2615"/>
      <c r="K11" s="2210"/>
      <c r="L11" s="2210"/>
      <c r="M11" s="2276"/>
      <c r="N11" s="2223">
        <v>232</v>
      </c>
      <c r="O11" s="2223">
        <v>197</v>
      </c>
      <c r="P11" s="2223">
        <v>407</v>
      </c>
      <c r="Q11" s="2223">
        <v>439</v>
      </c>
      <c r="R11" s="2223">
        <v>378</v>
      </c>
      <c r="S11" s="2223">
        <v>296.79300000000001</v>
      </c>
      <c r="T11" s="2223">
        <v>117.7725984651796</v>
      </c>
      <c r="U11" s="2223">
        <v>102.41074251985644</v>
      </c>
      <c r="V11" s="2223">
        <v>102.41074251985644</v>
      </c>
    </row>
    <row r="12" spans="1:22" ht="17.25" customHeight="1" x14ac:dyDescent="0.2">
      <c r="A12" s="985" t="s">
        <v>347</v>
      </c>
      <c r="B12" s="981"/>
      <c r="C12" s="871" t="s">
        <v>227</v>
      </c>
      <c r="D12" s="2227">
        <v>0</v>
      </c>
      <c r="E12" s="2227">
        <v>0</v>
      </c>
      <c r="F12" s="2227">
        <v>0</v>
      </c>
      <c r="G12" s="2227">
        <v>20.308</v>
      </c>
      <c r="H12" s="2227">
        <v>9.3810000000000002</v>
      </c>
      <c r="I12" s="2227">
        <v>23.98151</v>
      </c>
      <c r="J12" s="2617">
        <v>7.8330000000000002</v>
      </c>
      <c r="K12" s="2217">
        <f>18934/1000</f>
        <v>18.934000000000001</v>
      </c>
      <c r="L12" s="2217">
        <f>29745/1000</f>
        <v>29.745000000000001</v>
      </c>
      <c r="M12" s="2277">
        <v>24</v>
      </c>
      <c r="N12" s="2224">
        <v>53</v>
      </c>
      <c r="O12" s="2224">
        <v>15</v>
      </c>
      <c r="P12" s="2224">
        <v>19</v>
      </c>
      <c r="Q12" s="2224">
        <v>26</v>
      </c>
      <c r="R12" s="2224">
        <v>18</v>
      </c>
      <c r="S12" s="2224">
        <v>113.57599999999999</v>
      </c>
      <c r="T12" s="2224">
        <v>88.4208</v>
      </c>
      <c r="U12" s="2224">
        <v>57.525000000000006</v>
      </c>
      <c r="V12" s="2224">
        <v>23.009999999999998</v>
      </c>
    </row>
    <row r="13" spans="1:22" ht="17.25" customHeight="1" x14ac:dyDescent="0.2">
      <c r="A13" s="985" t="s">
        <v>347</v>
      </c>
      <c r="B13" s="982"/>
      <c r="C13" s="155" t="s">
        <v>529</v>
      </c>
      <c r="D13" s="2210">
        <v>0</v>
      </c>
      <c r="E13" s="2210">
        <v>0</v>
      </c>
      <c r="F13" s="2210">
        <v>0</v>
      </c>
      <c r="G13" s="2210">
        <v>0</v>
      </c>
      <c r="H13" s="2210">
        <v>0</v>
      </c>
      <c r="I13" s="2210">
        <v>0</v>
      </c>
      <c r="J13" s="2615">
        <v>0</v>
      </c>
      <c r="K13" s="2210">
        <v>0</v>
      </c>
      <c r="L13" s="2210">
        <v>0</v>
      </c>
      <c r="M13" s="2276">
        <v>0</v>
      </c>
      <c r="N13" s="2223">
        <v>0</v>
      </c>
      <c r="O13" s="2223">
        <v>0</v>
      </c>
      <c r="P13" s="2223">
        <v>0</v>
      </c>
      <c r="Q13" s="2223">
        <v>95</v>
      </c>
      <c r="R13" s="2223">
        <v>0</v>
      </c>
      <c r="S13" s="2223">
        <v>107</v>
      </c>
      <c r="T13" s="2223">
        <v>127.61632653061223</v>
      </c>
      <c r="U13" s="2223">
        <v>128.72419825072885</v>
      </c>
      <c r="V13" s="2223">
        <v>122.288824101069</v>
      </c>
    </row>
    <row r="14" spans="1:22" ht="17.25" hidden="1" customHeight="1" thickBot="1" x14ac:dyDescent="0.25">
      <c r="A14" s="985" t="s">
        <v>347</v>
      </c>
      <c r="B14" s="982"/>
      <c r="C14" s="969" t="s">
        <v>110</v>
      </c>
      <c r="D14" s="2228">
        <v>0</v>
      </c>
      <c r="E14" s="2228">
        <v>0</v>
      </c>
      <c r="F14" s="2228">
        <v>6.6269999999999998</v>
      </c>
      <c r="G14" s="2228">
        <v>16.172999999999998</v>
      </c>
      <c r="H14" s="2228">
        <v>14.349</v>
      </c>
      <c r="I14" s="2228">
        <v>13.16</v>
      </c>
      <c r="J14" s="2619">
        <v>5.9850000000000003</v>
      </c>
      <c r="K14" s="2279">
        <f>7018/1000</f>
        <v>7.0179999999999998</v>
      </c>
      <c r="L14" s="2279">
        <f>45502/1000</f>
        <v>45.502000000000002</v>
      </c>
      <c r="M14" s="2278">
        <v>81</v>
      </c>
      <c r="N14" s="2225">
        <v>0</v>
      </c>
      <c r="O14" s="2225">
        <v>0</v>
      </c>
      <c r="P14" s="2225">
        <f>'2018 Summary Table B'!$M26/1000</f>
        <v>0</v>
      </c>
      <c r="Q14" s="2225">
        <v>0</v>
      </c>
      <c r="R14" s="2225">
        <f>'2023 Summary Table B'!$M26/1000</f>
        <v>0</v>
      </c>
      <c r="S14" s="2225">
        <f>'2024 Summary Table B'!$M26/1000</f>
        <v>0</v>
      </c>
      <c r="T14" s="2225">
        <f>'2022 Summary Table B'!$M26/1000</f>
        <v>0</v>
      </c>
      <c r="U14" s="2225">
        <f>'2023 Summary Table B'!$M26/1000</f>
        <v>0</v>
      </c>
      <c r="V14" s="2225">
        <f>'2024 Summary Table B'!$M26/1000</f>
        <v>0</v>
      </c>
    </row>
    <row r="15" spans="1:22" ht="17.25" customHeight="1" thickBot="1" x14ac:dyDescent="0.3">
      <c r="A15" s="985" t="s">
        <v>347</v>
      </c>
      <c r="B15" s="982"/>
      <c r="C15" s="233" t="s">
        <v>30</v>
      </c>
      <c r="D15" s="2621">
        <f t="shared" ref="D15:S15" si="0">SUM(D9:D14)</f>
        <v>48.29</v>
      </c>
      <c r="E15" s="2621">
        <f t="shared" si="0"/>
        <v>103.24600000000001</v>
      </c>
      <c r="F15" s="2621">
        <f t="shared" si="0"/>
        <v>253.63800000000001</v>
      </c>
      <c r="G15" s="2621">
        <f t="shared" si="0"/>
        <v>675.2</v>
      </c>
      <c r="H15" s="2621">
        <f t="shared" si="0"/>
        <v>557.29</v>
      </c>
      <c r="I15" s="2621">
        <f t="shared" si="0"/>
        <v>641.01324899999634</v>
      </c>
      <c r="J15" s="2642">
        <f t="shared" si="0"/>
        <v>508.94200000000001</v>
      </c>
      <c r="K15" s="2621">
        <f t="shared" si="0"/>
        <v>944.952</v>
      </c>
      <c r="L15" s="2621">
        <f t="shared" si="0"/>
        <v>1035.2470000000001</v>
      </c>
      <c r="M15" s="2643">
        <f t="shared" si="0"/>
        <v>679</v>
      </c>
      <c r="N15" s="2621">
        <f t="shared" si="0"/>
        <v>677</v>
      </c>
      <c r="O15" s="2621">
        <f t="shared" si="0"/>
        <v>609</v>
      </c>
      <c r="P15" s="2621">
        <f t="shared" si="0"/>
        <v>908</v>
      </c>
      <c r="Q15" s="2621">
        <f t="shared" si="0"/>
        <v>1078</v>
      </c>
      <c r="R15" s="2621">
        <f t="shared" si="0"/>
        <v>685</v>
      </c>
      <c r="S15" s="2621">
        <f t="shared" si="0"/>
        <v>1027.691</v>
      </c>
      <c r="T15" s="2621">
        <f t="shared" ref="T15:V15" si="1">SUM(T9:T14)</f>
        <v>606.69188226425069</v>
      </c>
      <c r="U15" s="2621">
        <f t="shared" si="1"/>
        <v>564.3984198771509</v>
      </c>
      <c r="V15" s="2621">
        <f t="shared" si="1"/>
        <v>530.19262624033206</v>
      </c>
    </row>
    <row r="16" spans="1:22" ht="17.25" customHeight="1" thickBot="1" x14ac:dyDescent="0.3">
      <c r="A16" s="994" t="s">
        <v>347</v>
      </c>
      <c r="B16" s="981"/>
      <c r="C16" s="164"/>
      <c r="D16" s="2214"/>
      <c r="E16" s="2214"/>
      <c r="F16" s="2214"/>
      <c r="G16" s="2214"/>
      <c r="H16" s="2214"/>
      <c r="I16" s="2214"/>
      <c r="J16" s="2214"/>
      <c r="K16" s="2214"/>
      <c r="L16" s="2214"/>
      <c r="M16" s="2214"/>
      <c r="N16" s="2214"/>
      <c r="O16" s="2214"/>
      <c r="P16" s="2214"/>
      <c r="Q16" s="2214"/>
      <c r="R16" s="2214"/>
      <c r="S16" s="2214"/>
      <c r="T16" s="2214"/>
      <c r="U16" s="2214"/>
      <c r="V16" s="2214"/>
    </row>
    <row r="17" spans="1:22" ht="17.25" customHeight="1" thickBot="1" x14ac:dyDescent="0.3">
      <c r="A17" s="981"/>
      <c r="B17" s="981"/>
      <c r="C17" s="1026" t="s">
        <v>6</v>
      </c>
      <c r="D17" s="2604"/>
      <c r="E17" s="2604"/>
      <c r="F17" s="2604"/>
      <c r="G17" s="2604"/>
      <c r="H17" s="2604"/>
      <c r="I17" s="2604"/>
      <c r="J17" s="2604"/>
      <c r="K17" s="2206"/>
      <c r="L17" s="2206"/>
      <c r="M17" s="2275"/>
      <c r="N17" s="2206"/>
      <c r="O17" s="2206"/>
      <c r="P17" s="2206"/>
      <c r="Q17" s="2226"/>
      <c r="R17" s="2226"/>
      <c r="S17" s="2226"/>
      <c r="T17" s="2226"/>
      <c r="U17" s="2226"/>
      <c r="V17" s="2226"/>
    </row>
    <row r="18" spans="1:22" ht="17.25" customHeight="1" x14ac:dyDescent="0.2">
      <c r="A18" s="28"/>
      <c r="B18" s="981"/>
      <c r="C18" s="695" t="s">
        <v>112</v>
      </c>
      <c r="D18" s="2216">
        <v>0</v>
      </c>
      <c r="E18" s="2216">
        <v>0</v>
      </c>
      <c r="F18" s="2216">
        <v>127.002</v>
      </c>
      <c r="G18" s="2216">
        <v>132.67500000000001</v>
      </c>
      <c r="H18" s="2216">
        <v>232.84200000000001</v>
      </c>
      <c r="I18" s="2216">
        <v>165.15100000000001</v>
      </c>
      <c r="J18" s="2216">
        <v>387.41699999999997</v>
      </c>
      <c r="K18" s="2216">
        <v>290</v>
      </c>
      <c r="L18" s="2216">
        <v>201</v>
      </c>
      <c r="M18" s="2216">
        <v>138</v>
      </c>
      <c r="N18" s="2216">
        <v>411</v>
      </c>
      <c r="O18" s="2216">
        <v>134</v>
      </c>
      <c r="P18" s="2216">
        <v>99</v>
      </c>
      <c r="Q18" s="2216">
        <v>212</v>
      </c>
      <c r="R18" s="2216">
        <v>404</v>
      </c>
      <c r="S18" s="2216">
        <v>218</v>
      </c>
      <c r="T18" s="2216">
        <v>128.5699261880396</v>
      </c>
      <c r="U18" s="2216">
        <v>169.54000964307713</v>
      </c>
      <c r="V18" s="2216">
        <v>167.07305032591589</v>
      </c>
    </row>
    <row r="19" spans="1:22" ht="17.25" customHeight="1" thickBot="1" x14ac:dyDescent="0.25">
      <c r="A19" s="1003"/>
      <c r="B19" s="981"/>
      <c r="C19" s="2759" t="s">
        <v>116</v>
      </c>
      <c r="D19" s="2276">
        <v>0</v>
      </c>
      <c r="E19" s="2210">
        <v>0</v>
      </c>
      <c r="F19" s="2210">
        <v>13.025</v>
      </c>
      <c r="G19" s="2210">
        <v>30.977</v>
      </c>
      <c r="H19" s="2210">
        <v>37.363999999999997</v>
      </c>
      <c r="I19" s="2210">
        <v>126.393</v>
      </c>
      <c r="J19" s="2210">
        <v>260.91800000000001</v>
      </c>
      <c r="K19" s="2210">
        <v>222</v>
      </c>
      <c r="L19" s="2210">
        <v>508</v>
      </c>
      <c r="M19" s="2210">
        <v>540</v>
      </c>
      <c r="N19" s="2210">
        <v>727</v>
      </c>
      <c r="O19" s="2210">
        <v>438</v>
      </c>
      <c r="P19" s="2210">
        <v>585</v>
      </c>
      <c r="Q19" s="2210">
        <v>470</v>
      </c>
      <c r="R19" s="2210">
        <v>646</v>
      </c>
      <c r="S19" s="2210">
        <v>166</v>
      </c>
      <c r="T19" s="2210">
        <v>148.09156322790176</v>
      </c>
      <c r="U19" s="2210">
        <v>198.86897351401609</v>
      </c>
      <c r="V19" s="2210">
        <v>197.76899110474233</v>
      </c>
    </row>
    <row r="20" spans="1:22" ht="17.25" customHeight="1" x14ac:dyDescent="0.2">
      <c r="A20" s="1003" t="s">
        <v>348</v>
      </c>
      <c r="B20" s="981"/>
      <c r="C20" s="2196" t="s">
        <v>581</v>
      </c>
      <c r="D20" s="2622">
        <v>0</v>
      </c>
      <c r="E20" s="2216">
        <v>0</v>
      </c>
      <c r="F20" s="2216">
        <v>1.377</v>
      </c>
      <c r="G20" s="2216">
        <v>0</v>
      </c>
      <c r="H20" s="2217">
        <v>2.746</v>
      </c>
      <c r="I20" s="2217">
        <v>58.48</v>
      </c>
      <c r="J20" s="2217">
        <v>35.612000000000002</v>
      </c>
      <c r="K20" s="2217">
        <v>86</v>
      </c>
      <c r="L20" s="2217">
        <f>2087/1000</f>
        <v>2.0870000000000002</v>
      </c>
      <c r="M20" s="2217">
        <v>5</v>
      </c>
      <c r="N20" s="2217">
        <v>47</v>
      </c>
      <c r="O20" s="2217">
        <v>108</v>
      </c>
      <c r="P20" s="2217">
        <v>243</v>
      </c>
      <c r="Q20" s="2217">
        <v>214.4</v>
      </c>
      <c r="R20" s="2217">
        <v>193</v>
      </c>
      <c r="S20" s="2217">
        <v>293</v>
      </c>
      <c r="T20" s="2217">
        <v>133.24247852070513</v>
      </c>
      <c r="U20" s="2217">
        <v>205.29592524387706</v>
      </c>
      <c r="V20" s="2217">
        <v>205.20811950239809</v>
      </c>
    </row>
    <row r="21" spans="1:22" ht="17.25" customHeight="1" thickBot="1" x14ac:dyDescent="0.25">
      <c r="A21" s="1003" t="s">
        <v>348</v>
      </c>
      <c r="B21" s="981"/>
      <c r="C21" s="930" t="s">
        <v>245</v>
      </c>
      <c r="D21" s="2210">
        <v>0</v>
      </c>
      <c r="E21" s="2210">
        <v>0</v>
      </c>
      <c r="F21" s="2210">
        <v>0</v>
      </c>
      <c r="G21" s="2210">
        <v>0</v>
      </c>
      <c r="H21" s="2210">
        <v>0</v>
      </c>
      <c r="I21" s="2210">
        <v>0</v>
      </c>
      <c r="J21" s="2218">
        <v>27.004000000000001</v>
      </c>
      <c r="K21" s="2218">
        <v>11</v>
      </c>
      <c r="L21" s="2218">
        <v>37</v>
      </c>
      <c r="M21" s="2218">
        <v>30</v>
      </c>
      <c r="N21" s="2218">
        <v>68</v>
      </c>
      <c r="O21" s="2218">
        <v>42</v>
      </c>
      <c r="P21" s="2218">
        <v>33</v>
      </c>
      <c r="Q21" s="2218">
        <v>30.3</v>
      </c>
      <c r="R21" s="2218">
        <v>22</v>
      </c>
      <c r="S21" s="2218">
        <v>26</v>
      </c>
      <c r="T21" s="2218">
        <v>33.273698448213636</v>
      </c>
      <c r="U21" s="2218">
        <v>29.050901659274487</v>
      </c>
      <c r="V21" s="2218">
        <v>28.730110506468264</v>
      </c>
    </row>
    <row r="22" spans="1:22" ht="17.25" customHeight="1" thickBot="1" x14ac:dyDescent="0.3">
      <c r="A22" s="1003" t="s">
        <v>348</v>
      </c>
      <c r="B22" s="981"/>
      <c r="C22" s="26" t="s">
        <v>206</v>
      </c>
      <c r="D22" s="2624" t="e">
        <f>#REF!+#REF!+D21</f>
        <v>#REF!</v>
      </c>
      <c r="E22" s="2624" t="e">
        <f>#REF!+#REF!+E21</f>
        <v>#REF!</v>
      </c>
      <c r="F22" s="2624" t="e">
        <f>#REF!+#REF!+F21</f>
        <v>#REF!</v>
      </c>
      <c r="G22" s="2624" t="e">
        <f>#REF!+#REF!+G21</f>
        <v>#REF!</v>
      </c>
      <c r="H22" s="2624" t="e">
        <f>#REF!+#REF!+H21</f>
        <v>#REF!</v>
      </c>
      <c r="I22" s="2624" t="e">
        <f>#REF!+#REF!+I21</f>
        <v>#REF!</v>
      </c>
      <c r="J22" s="2624">
        <f>SUM(J18:J21)</f>
        <v>710.95100000000002</v>
      </c>
      <c r="K22" s="2624">
        <f t="shared" ref="K22:V22" si="2">SUM(K18:K21)</f>
        <v>609</v>
      </c>
      <c r="L22" s="2624">
        <f t="shared" si="2"/>
        <v>748.08699999999999</v>
      </c>
      <c r="M22" s="2624">
        <f t="shared" si="2"/>
        <v>713</v>
      </c>
      <c r="N22" s="2624">
        <f t="shared" si="2"/>
        <v>1253</v>
      </c>
      <c r="O22" s="2624">
        <f t="shared" si="2"/>
        <v>722</v>
      </c>
      <c r="P22" s="2624">
        <f t="shared" si="2"/>
        <v>960</v>
      </c>
      <c r="Q22" s="2624">
        <f t="shared" si="2"/>
        <v>926.69999999999993</v>
      </c>
      <c r="R22" s="2624">
        <f t="shared" si="2"/>
        <v>1265</v>
      </c>
      <c r="S22" s="2624">
        <f t="shared" si="2"/>
        <v>703</v>
      </c>
      <c r="T22" s="2624">
        <f t="shared" si="2"/>
        <v>443.17766638486012</v>
      </c>
      <c r="U22" s="2624">
        <f t="shared" si="2"/>
        <v>602.7558100602447</v>
      </c>
      <c r="V22" s="2624">
        <f t="shared" si="2"/>
        <v>598.78027143952454</v>
      </c>
    </row>
    <row r="23" spans="1:22" s="3" customFormat="1" ht="17.25" customHeight="1" thickBot="1" x14ac:dyDescent="0.3">
      <c r="A23" s="981"/>
      <c r="B23" s="981"/>
      <c r="C23" s="1017"/>
      <c r="D23" s="2625"/>
      <c r="E23" s="2625"/>
      <c r="F23" s="2625"/>
      <c r="G23" s="2625"/>
      <c r="H23" s="2625"/>
      <c r="I23" s="2625"/>
      <c r="J23" s="2625"/>
      <c r="K23" s="2625"/>
      <c r="L23" s="2625"/>
      <c r="M23" s="2625"/>
      <c r="N23" s="2625"/>
      <c r="O23" s="2625"/>
      <c r="P23" s="2625"/>
      <c r="Q23" s="2625"/>
      <c r="R23" s="2625"/>
      <c r="S23" s="2625"/>
      <c r="T23" s="2625"/>
      <c r="U23" s="2625"/>
      <c r="V23" s="2625"/>
    </row>
    <row r="24" spans="1:22" ht="17.25" customHeight="1" x14ac:dyDescent="0.2">
      <c r="A24" s="28"/>
      <c r="B24" s="981"/>
      <c r="C24" s="2626" t="s">
        <v>349</v>
      </c>
      <c r="D24" s="2220"/>
      <c r="E24" s="2220"/>
      <c r="F24" s="2220"/>
      <c r="G24" s="2220"/>
      <c r="H24" s="2220"/>
      <c r="I24" s="2220"/>
      <c r="J24" s="2220"/>
      <c r="K24" s="2220"/>
      <c r="L24" s="2220"/>
      <c r="M24" s="2220"/>
      <c r="N24" s="2220"/>
      <c r="O24" s="2220"/>
      <c r="P24" s="2220"/>
      <c r="Q24" s="2220"/>
      <c r="R24" s="2220"/>
      <c r="S24" s="2220"/>
      <c r="T24" s="2220"/>
      <c r="U24" s="2220"/>
      <c r="V24" s="2220"/>
    </row>
    <row r="25" spans="1:22" ht="17.25" customHeight="1" x14ac:dyDescent="0.2">
      <c r="A25" s="1009"/>
      <c r="B25" s="1010"/>
      <c r="C25" s="1011" t="s">
        <v>7</v>
      </c>
      <c r="D25" s="2221">
        <f t="shared" ref="D25:V25" si="3">D15</f>
        <v>48.29</v>
      </c>
      <c r="E25" s="2221">
        <f t="shared" si="3"/>
        <v>103.24600000000001</v>
      </c>
      <c r="F25" s="2221">
        <f t="shared" si="3"/>
        <v>253.63800000000001</v>
      </c>
      <c r="G25" s="2221">
        <f t="shared" si="3"/>
        <v>675.2</v>
      </c>
      <c r="H25" s="2221">
        <f t="shared" si="3"/>
        <v>557.29</v>
      </c>
      <c r="I25" s="2221">
        <f t="shared" si="3"/>
        <v>641.01324899999634</v>
      </c>
      <c r="J25" s="2221">
        <f t="shared" si="3"/>
        <v>508.94200000000001</v>
      </c>
      <c r="K25" s="2221">
        <f t="shared" si="3"/>
        <v>944.952</v>
      </c>
      <c r="L25" s="2221">
        <f t="shared" si="3"/>
        <v>1035.2470000000001</v>
      </c>
      <c r="M25" s="2221">
        <f t="shared" si="3"/>
        <v>679</v>
      </c>
      <c r="N25" s="2221">
        <f t="shared" si="3"/>
        <v>677</v>
      </c>
      <c r="O25" s="2221">
        <f t="shared" si="3"/>
        <v>609</v>
      </c>
      <c r="P25" s="2221">
        <f t="shared" si="3"/>
        <v>908</v>
      </c>
      <c r="Q25" s="2221">
        <f t="shared" si="3"/>
        <v>1078</v>
      </c>
      <c r="R25" s="2221">
        <f t="shared" si="3"/>
        <v>685</v>
      </c>
      <c r="S25" s="2221">
        <f t="shared" si="3"/>
        <v>1027.691</v>
      </c>
      <c r="T25" s="2221">
        <f t="shared" si="3"/>
        <v>606.69188226425069</v>
      </c>
      <c r="U25" s="2221">
        <f t="shared" si="3"/>
        <v>564.3984198771509</v>
      </c>
      <c r="V25" s="2221">
        <f t="shared" si="3"/>
        <v>530.19262624033206</v>
      </c>
    </row>
    <row r="26" spans="1:22" ht="17.25" customHeight="1" x14ac:dyDescent="0.2">
      <c r="A26" s="1009"/>
      <c r="B26" s="1010"/>
      <c r="C26" s="1011" t="s">
        <v>8</v>
      </c>
      <c r="D26" s="2221" t="e">
        <f t="shared" ref="D26:N26" si="4">D22</f>
        <v>#REF!</v>
      </c>
      <c r="E26" s="2221" t="e">
        <f t="shared" si="4"/>
        <v>#REF!</v>
      </c>
      <c r="F26" s="2221" t="e">
        <f t="shared" si="4"/>
        <v>#REF!</v>
      </c>
      <c r="G26" s="2221" t="e">
        <f t="shared" si="4"/>
        <v>#REF!</v>
      </c>
      <c r="H26" s="2221" t="e">
        <f t="shared" si="4"/>
        <v>#REF!</v>
      </c>
      <c r="I26" s="2221" t="e">
        <f t="shared" si="4"/>
        <v>#REF!</v>
      </c>
      <c r="J26" s="2221">
        <f t="shared" si="4"/>
        <v>710.95100000000002</v>
      </c>
      <c r="K26" s="2221">
        <f t="shared" si="4"/>
        <v>609</v>
      </c>
      <c r="L26" s="2221">
        <f t="shared" si="4"/>
        <v>748.08699999999999</v>
      </c>
      <c r="M26" s="2221">
        <f t="shared" si="4"/>
        <v>713</v>
      </c>
      <c r="N26" s="2221">
        <f t="shared" si="4"/>
        <v>1253</v>
      </c>
      <c r="O26" s="2221">
        <f>O22</f>
        <v>722</v>
      </c>
      <c r="P26" s="2221">
        <f>P22</f>
        <v>960</v>
      </c>
      <c r="Q26" s="2221">
        <f>Q22</f>
        <v>926.69999999999993</v>
      </c>
      <c r="R26" s="2221">
        <f>R22</f>
        <v>1265</v>
      </c>
      <c r="S26" s="2221">
        <f>S22</f>
        <v>703</v>
      </c>
      <c r="T26" s="2221">
        <f t="shared" ref="T26:V26" si="5">T22</f>
        <v>443.17766638486012</v>
      </c>
      <c r="U26" s="2221">
        <f t="shared" si="5"/>
        <v>602.7558100602447</v>
      </c>
      <c r="V26" s="2221">
        <f t="shared" si="5"/>
        <v>598.78027143952454</v>
      </c>
    </row>
    <row r="27" spans="1:22" ht="17.25" customHeight="1" thickBot="1" x14ac:dyDescent="0.25">
      <c r="A27" s="28"/>
      <c r="B27" s="981"/>
      <c r="C27" s="1013" t="s">
        <v>350</v>
      </c>
      <c r="D27" s="2222" t="e">
        <f t="shared" ref="D27:K27" si="6">SUM(D25:D26)</f>
        <v>#REF!</v>
      </c>
      <c r="E27" s="2222" t="e">
        <f t="shared" si="6"/>
        <v>#REF!</v>
      </c>
      <c r="F27" s="2222" t="e">
        <f t="shared" si="6"/>
        <v>#REF!</v>
      </c>
      <c r="G27" s="2222" t="e">
        <f t="shared" si="6"/>
        <v>#REF!</v>
      </c>
      <c r="H27" s="2222" t="e">
        <f t="shared" si="6"/>
        <v>#REF!</v>
      </c>
      <c r="I27" s="2222" t="e">
        <f>SUM(I25:I26)</f>
        <v>#REF!</v>
      </c>
      <c r="J27" s="2222">
        <f t="shared" si="6"/>
        <v>1219.893</v>
      </c>
      <c r="K27" s="2222">
        <f t="shared" si="6"/>
        <v>1553.952</v>
      </c>
      <c r="L27" s="2222">
        <f t="shared" ref="L27:V27" si="7">SUM(L25:L26)</f>
        <v>1783.3340000000001</v>
      </c>
      <c r="M27" s="2222">
        <f t="shared" si="7"/>
        <v>1392</v>
      </c>
      <c r="N27" s="2222">
        <f t="shared" si="7"/>
        <v>1930</v>
      </c>
      <c r="O27" s="2222">
        <f t="shared" si="7"/>
        <v>1331</v>
      </c>
      <c r="P27" s="2222">
        <f t="shared" si="7"/>
        <v>1868</v>
      </c>
      <c r="Q27" s="2222">
        <f t="shared" si="7"/>
        <v>2004.6999999999998</v>
      </c>
      <c r="R27" s="2222">
        <f t="shared" si="7"/>
        <v>1950</v>
      </c>
      <c r="S27" s="2222">
        <f t="shared" si="7"/>
        <v>1730.691</v>
      </c>
      <c r="T27" s="2222">
        <f t="shared" si="7"/>
        <v>1049.8695486491108</v>
      </c>
      <c r="U27" s="2222">
        <f t="shared" si="7"/>
        <v>1167.1542299373955</v>
      </c>
      <c r="V27" s="2222">
        <f t="shared" si="7"/>
        <v>1128.9728976798565</v>
      </c>
    </row>
    <row r="28" spans="1:22" ht="14.25" customHeight="1" x14ac:dyDescent="0.25">
      <c r="A28" s="981"/>
      <c r="B28" s="981"/>
      <c r="C28" s="27"/>
      <c r="D28" s="2613"/>
      <c r="E28" s="2613"/>
      <c r="F28" s="2613"/>
      <c r="G28" s="2613"/>
      <c r="H28" s="2613"/>
      <c r="I28" s="2613"/>
      <c r="J28" s="2613"/>
      <c r="K28" s="2613"/>
      <c r="L28" s="2613"/>
      <c r="M28" s="2613"/>
      <c r="N28" s="2613"/>
      <c r="O28" s="2613"/>
      <c r="P28" s="2613"/>
      <c r="Q28" s="2613"/>
    </row>
    <row r="29" spans="1:22" ht="14.25" customHeight="1" x14ac:dyDescent="0.25">
      <c r="A29" s="28"/>
      <c r="B29" s="981"/>
      <c r="C29" s="27"/>
      <c r="D29" s="2599"/>
    </row>
    <row r="30" spans="1:22" ht="14.25" customHeight="1" x14ac:dyDescent="0.2">
      <c r="A30" s="1009"/>
      <c r="B30" s="1010"/>
      <c r="C30" s="1019"/>
      <c r="D30" s="2599"/>
    </row>
    <row r="31" spans="1:22" ht="14.25" customHeight="1" x14ac:dyDescent="0.2">
      <c r="A31" s="1009"/>
      <c r="B31" s="1010"/>
      <c r="C31" s="957"/>
      <c r="D31" s="2599"/>
    </row>
    <row r="32" spans="1:22" ht="14.25" customHeight="1" thickBot="1" x14ac:dyDescent="0.25">
      <c r="A32" s="28"/>
      <c r="B32" s="981"/>
      <c r="C32" s="1019"/>
      <c r="D32" s="2599"/>
    </row>
    <row r="33" spans="1:22" ht="21" customHeight="1" thickBot="1" x14ac:dyDescent="0.35">
      <c r="A33" s="3"/>
      <c r="B33" s="2502"/>
      <c r="C33" s="2600" t="s">
        <v>352</v>
      </c>
      <c r="D33" s="2601"/>
      <c r="E33" s="2601"/>
      <c r="F33" s="2601"/>
      <c r="G33" s="2601"/>
      <c r="H33" s="2601"/>
      <c r="I33" s="2601"/>
      <c r="J33" s="2601"/>
      <c r="K33" s="2601"/>
      <c r="L33" s="2601"/>
      <c r="M33" s="2601"/>
      <c r="N33" s="2601"/>
      <c r="O33" s="2601"/>
      <c r="P33" s="2602"/>
      <c r="Q33" s="2602"/>
      <c r="R33" s="2602"/>
      <c r="S33" s="2602"/>
      <c r="T33" s="2757"/>
      <c r="U33" s="2757"/>
      <c r="V33" s="2758"/>
    </row>
    <row r="34" spans="1:22" ht="14.25" customHeight="1" x14ac:dyDescent="0.3">
      <c r="A34" s="3"/>
      <c r="B34" s="2502"/>
      <c r="C34" s="949"/>
      <c r="D34" s="981">
        <v>2006</v>
      </c>
      <c r="E34" s="981">
        <v>2007</v>
      </c>
      <c r="F34" s="981">
        <v>2008</v>
      </c>
      <c r="G34" s="981">
        <v>2009</v>
      </c>
      <c r="H34" s="981">
        <v>2010</v>
      </c>
      <c r="I34" s="981">
        <v>2011</v>
      </c>
      <c r="J34" s="981">
        <v>2012</v>
      </c>
      <c r="K34" s="981">
        <v>2013</v>
      </c>
      <c r="L34" s="981">
        <v>2014</v>
      </c>
      <c r="M34" s="981">
        <v>2015</v>
      </c>
      <c r="N34" s="981">
        <v>2016</v>
      </c>
      <c r="O34" s="981">
        <v>2017</v>
      </c>
      <c r="P34" s="981">
        <v>2018</v>
      </c>
      <c r="Q34" s="981">
        <v>2019</v>
      </c>
      <c r="R34" s="981">
        <v>2020</v>
      </c>
      <c r="S34" s="981">
        <v>2021</v>
      </c>
      <c r="T34" s="981">
        <v>2022</v>
      </c>
      <c r="U34" s="981">
        <v>2023</v>
      </c>
      <c r="V34" s="981">
        <v>2024</v>
      </c>
    </row>
    <row r="35" spans="1:22" ht="14.25" customHeight="1" thickBot="1" x14ac:dyDescent="0.35">
      <c r="A35" s="15"/>
      <c r="B35" s="15"/>
      <c r="C35" s="213"/>
      <c r="D35" s="195" t="s">
        <v>186</v>
      </c>
      <c r="E35" s="195" t="s">
        <v>186</v>
      </c>
      <c r="F35" s="195" t="s">
        <v>186</v>
      </c>
      <c r="G35" s="195" t="s">
        <v>186</v>
      </c>
      <c r="H35" s="195" t="s">
        <v>186</v>
      </c>
      <c r="I35" s="195" t="s">
        <v>186</v>
      </c>
      <c r="J35" s="195" t="e">
        <f t="shared" ref="J35:V35" si="8">J7</f>
        <v>#REF!</v>
      </c>
      <c r="K35" s="195" t="str">
        <f t="shared" si="8"/>
        <v>Actual</v>
      </c>
      <c r="L35" s="195" t="str">
        <f t="shared" si="8"/>
        <v>Actual</v>
      </c>
      <c r="M35" s="195" t="str">
        <f t="shared" si="8"/>
        <v>Actual</v>
      </c>
      <c r="N35" s="195" t="str">
        <f t="shared" si="8"/>
        <v>Actual</v>
      </c>
      <c r="O35" s="195" t="str">
        <f t="shared" si="8"/>
        <v>Actual</v>
      </c>
      <c r="P35" s="195" t="str">
        <f t="shared" si="8"/>
        <v>Actual</v>
      </c>
      <c r="Q35" s="195" t="str">
        <f t="shared" si="8"/>
        <v>Actual</v>
      </c>
      <c r="R35" s="195" t="str">
        <f t="shared" si="8"/>
        <v>Actual</v>
      </c>
      <c r="S35" s="195" t="str">
        <f t="shared" si="8"/>
        <v>Actual</v>
      </c>
      <c r="T35" s="195" t="str">
        <f t="shared" si="8"/>
        <v>Goal</v>
      </c>
      <c r="U35" s="195" t="str">
        <f t="shared" si="8"/>
        <v>Goal</v>
      </c>
      <c r="V35" s="195" t="str">
        <f t="shared" si="8"/>
        <v>Goal</v>
      </c>
    </row>
    <row r="36" spans="1:22" ht="17.25" customHeight="1" thickBot="1" x14ac:dyDescent="0.3">
      <c r="A36" s="982"/>
      <c r="B36" s="982"/>
      <c r="C36" s="1026" t="s">
        <v>115</v>
      </c>
      <c r="D36" s="2604"/>
      <c r="E36" s="2604"/>
      <c r="F36" s="2604"/>
      <c r="G36" s="2604"/>
      <c r="H36" s="2604"/>
      <c r="I36" s="2604"/>
      <c r="J36" s="2604"/>
      <c r="K36" s="2206"/>
      <c r="L36" s="2206"/>
      <c r="M36" s="2206"/>
      <c r="N36" s="2206"/>
      <c r="O36" s="2206"/>
      <c r="P36" s="2206"/>
      <c r="Q36" s="2206"/>
      <c r="R36" s="2206"/>
      <c r="S36" s="2206"/>
      <c r="T36" s="2206"/>
      <c r="U36" s="2206"/>
      <c r="V36" s="2206"/>
    </row>
    <row r="37" spans="1:22" ht="17.25" customHeight="1" x14ac:dyDescent="0.2">
      <c r="A37" s="985" t="s">
        <v>347</v>
      </c>
      <c r="B37" s="982"/>
      <c r="C37" s="155" t="s">
        <v>222</v>
      </c>
      <c r="D37" s="2210">
        <v>579.13499999999999</v>
      </c>
      <c r="E37" s="2210">
        <v>975.60699999999997</v>
      </c>
      <c r="F37" s="2210">
        <v>956.89800000000002</v>
      </c>
      <c r="G37" s="2210">
        <v>7964.6149999999998</v>
      </c>
      <c r="H37" s="2210">
        <v>3551.4479999999999</v>
      </c>
      <c r="I37" s="2210">
        <v>5637.1869999999999</v>
      </c>
      <c r="J37" s="2210">
        <v>4941.8500000000004</v>
      </c>
      <c r="K37" s="2210">
        <v>13533</v>
      </c>
      <c r="L37" s="2210">
        <v>9680</v>
      </c>
      <c r="M37" s="2210">
        <v>3903</v>
      </c>
      <c r="N37" s="2210">
        <v>4333</v>
      </c>
      <c r="O37" s="2210">
        <v>4941</v>
      </c>
      <c r="P37" s="2210">
        <v>7151</v>
      </c>
      <c r="Q37" s="2210">
        <v>6558</v>
      </c>
      <c r="R37" s="2210">
        <v>2238</v>
      </c>
      <c r="S37" s="2210">
        <v>4731</v>
      </c>
      <c r="T37" s="2210">
        <f>'SCG 2022 Exhibit 4'!$E$33/1000</f>
        <v>3148.0786789470153</v>
      </c>
      <c r="U37" s="2210">
        <f>'SCG 2023 Exhibit 4'!$E$33/1000</f>
        <v>3145.9184462425619</v>
      </c>
      <c r="V37" s="2210">
        <f>'SCG 2024 Exhibit 4'!$E$33/1000</f>
        <v>3220.1158337069837</v>
      </c>
    </row>
    <row r="38" spans="1:22" ht="17.25" customHeight="1" x14ac:dyDescent="0.2">
      <c r="A38" s="985" t="s">
        <v>347</v>
      </c>
      <c r="B38" s="982"/>
      <c r="C38" s="155" t="s">
        <v>149</v>
      </c>
      <c r="D38" s="2210">
        <v>280.42099999999999</v>
      </c>
      <c r="E38" s="2210">
        <v>512.58600000000001</v>
      </c>
      <c r="F38" s="2210">
        <v>2792.634</v>
      </c>
      <c r="G38" s="2210">
        <v>3239.38</v>
      </c>
      <c r="H38" s="2210">
        <v>5472.4949999999999</v>
      </c>
      <c r="I38" s="2210">
        <v>4180.1207079999886</v>
      </c>
      <c r="J38" s="2210">
        <v>4359.0919999999996</v>
      </c>
      <c r="K38" s="2210">
        <v>5613</v>
      </c>
      <c r="L38" s="2210">
        <f>6012+4134+1</f>
        <v>10147</v>
      </c>
      <c r="M38" s="2210">
        <f>2605+5192</f>
        <v>7797</v>
      </c>
      <c r="N38" s="2210">
        <v>3970</v>
      </c>
      <c r="O38" s="2210">
        <v>3425</v>
      </c>
      <c r="P38" s="2210">
        <v>3159</v>
      </c>
      <c r="Q38" s="2210">
        <v>4089</v>
      </c>
      <c r="R38" s="2223">
        <v>3852</v>
      </c>
      <c r="S38" s="2223">
        <v>6184</v>
      </c>
      <c r="T38" s="2223">
        <f>'SCG 2022 Exhibit 4'!$E$31/1000</f>
        <v>2599.7412349030583</v>
      </c>
      <c r="U38" s="2223">
        <f>'SCG 2023 Exhibit 4'!$E$31/1000</f>
        <v>2538.8035892885277</v>
      </c>
      <c r="V38" s="2223">
        <f>'SCG 2024 Exhibit 4'!$E$31/1000</f>
        <v>2624.1461586144464</v>
      </c>
    </row>
    <row r="39" spans="1:22" ht="17.25" customHeight="1" x14ac:dyDescent="0.2">
      <c r="A39" s="985" t="s">
        <v>347</v>
      </c>
      <c r="B39" s="982"/>
      <c r="C39" s="155" t="s">
        <v>595</v>
      </c>
      <c r="D39" s="2210"/>
      <c r="E39" s="2210"/>
      <c r="F39" s="2210"/>
      <c r="G39" s="2210"/>
      <c r="H39" s="2210"/>
      <c r="I39" s="2210"/>
      <c r="J39" s="2210">
        <v>111.148</v>
      </c>
      <c r="K39" s="2210">
        <v>136</v>
      </c>
      <c r="L39" s="2210">
        <v>861</v>
      </c>
      <c r="M39" s="2210">
        <v>1553</v>
      </c>
      <c r="N39" s="2210">
        <v>4619</v>
      </c>
      <c r="O39" s="2210">
        <v>3992</v>
      </c>
      <c r="P39" s="2210">
        <v>8147</v>
      </c>
      <c r="Q39" s="2210">
        <v>8455</v>
      </c>
      <c r="R39" s="2223">
        <v>7003</v>
      </c>
      <c r="S39" s="2223">
        <v>5918</v>
      </c>
      <c r="T39" s="2223">
        <f>'SCG 2022 Exhibit 4'!$E$32/1000</f>
        <v>2348.3550787246509</v>
      </c>
      <c r="U39" s="2223">
        <f>'SCG 2023 Exhibit 4'!$E$32/1000</f>
        <v>2042.043654013223</v>
      </c>
      <c r="V39" s="2223">
        <f>'SCG 2024 Exhibit 4'!$E$32/1000</f>
        <v>2042.043654013223</v>
      </c>
    </row>
    <row r="40" spans="1:22" ht="17.25" customHeight="1" x14ac:dyDescent="0.2">
      <c r="A40" s="985" t="s">
        <v>347</v>
      </c>
      <c r="B40" s="981"/>
      <c r="C40" s="871" t="s">
        <v>227</v>
      </c>
      <c r="D40" s="2227">
        <v>0</v>
      </c>
      <c r="E40" s="2227">
        <v>0</v>
      </c>
      <c r="F40" s="2227">
        <v>0</v>
      </c>
      <c r="G40" s="2227">
        <v>507.71800000000002</v>
      </c>
      <c r="H40" s="2227">
        <v>234.53200000000001</v>
      </c>
      <c r="I40" s="2227">
        <v>599.56263000000001</v>
      </c>
      <c r="J40" s="2227">
        <v>187.685</v>
      </c>
      <c r="K40" s="2227">
        <v>457</v>
      </c>
      <c r="L40" s="2227">
        <v>705</v>
      </c>
      <c r="M40" s="2227">
        <v>593</v>
      </c>
      <c r="N40" s="2227">
        <v>1272</v>
      </c>
      <c r="O40" s="2227">
        <v>370</v>
      </c>
      <c r="P40" s="2227">
        <v>473</v>
      </c>
      <c r="Q40" s="2227">
        <v>657</v>
      </c>
      <c r="R40" s="2224">
        <v>447</v>
      </c>
      <c r="S40" s="2224">
        <v>2839</v>
      </c>
      <c r="T40" s="2224">
        <f>'SCG 2022 Exhibit 4'!$E$30/1000</f>
        <v>2210.52</v>
      </c>
      <c r="U40" s="2224">
        <f>'SCG 2023 Exhibit 4'!$E$30/1000</f>
        <v>1438.125</v>
      </c>
      <c r="V40" s="2224">
        <f>'SCG 2024 Exhibit 4'!$E$30/1000</f>
        <v>575.25</v>
      </c>
    </row>
    <row r="41" spans="1:22" ht="17.25" customHeight="1" x14ac:dyDescent="0.2">
      <c r="A41" s="985" t="s">
        <v>347</v>
      </c>
      <c r="B41" s="982"/>
      <c r="C41" s="155" t="s">
        <v>529</v>
      </c>
      <c r="D41" s="2210">
        <v>0</v>
      </c>
      <c r="E41" s="2210">
        <v>0</v>
      </c>
      <c r="F41" s="2210">
        <v>0</v>
      </c>
      <c r="G41" s="2210">
        <v>0</v>
      </c>
      <c r="H41" s="2210">
        <v>0</v>
      </c>
      <c r="I41" s="2210">
        <v>0</v>
      </c>
      <c r="J41" s="2210">
        <v>0</v>
      </c>
      <c r="K41" s="2210">
        <v>0</v>
      </c>
      <c r="L41" s="2210">
        <v>0</v>
      </c>
      <c r="M41" s="2210">
        <v>0</v>
      </c>
      <c r="N41" s="2210">
        <v>0</v>
      </c>
      <c r="O41" s="2210">
        <v>0</v>
      </c>
      <c r="P41" s="2210">
        <v>0</v>
      </c>
      <c r="Q41" s="2210">
        <v>200</v>
      </c>
      <c r="R41" s="2223">
        <v>0</v>
      </c>
      <c r="S41" s="2223">
        <v>214</v>
      </c>
      <c r="T41" s="2223">
        <f>'SCG 2022 Exhibit 4'!$E$34/1000</f>
        <v>255.23265306122445</v>
      </c>
      <c r="U41" s="2223">
        <f>'SCG 2023 Exhibit 4'!$E$34/1000</f>
        <v>257.44839650145769</v>
      </c>
      <c r="V41" s="2223">
        <f>'SCG 2024 Exhibit 4'!$E$34/1000</f>
        <v>244.57764820213799</v>
      </c>
    </row>
    <row r="42" spans="1:22" ht="17.25" hidden="1" customHeight="1" thickBot="1" x14ac:dyDescent="0.25">
      <c r="A42" s="985" t="s">
        <v>347</v>
      </c>
      <c r="B42" s="982"/>
      <c r="C42" s="969" t="s">
        <v>110</v>
      </c>
      <c r="D42" s="2228">
        <v>0</v>
      </c>
      <c r="E42" s="2228">
        <v>0</v>
      </c>
      <c r="F42" s="2228">
        <v>137.40799999999999</v>
      </c>
      <c r="G42" s="2228">
        <v>323.45600000000002</v>
      </c>
      <c r="H42" s="2228">
        <v>286.976</v>
      </c>
      <c r="I42" s="2228">
        <v>263.2</v>
      </c>
      <c r="J42" s="2228">
        <v>0</v>
      </c>
      <c r="K42" s="2228">
        <v>0</v>
      </c>
      <c r="L42" s="2228">
        <v>0</v>
      </c>
      <c r="M42" s="2228">
        <v>0</v>
      </c>
      <c r="N42" s="2228">
        <v>0</v>
      </c>
      <c r="O42" s="2228">
        <v>0</v>
      </c>
      <c r="P42" s="2228">
        <f>'2018 Summary Table B'!$N26/1000</f>
        <v>0</v>
      </c>
      <c r="Q42" s="2228">
        <v>0</v>
      </c>
      <c r="R42" s="2228">
        <f>'2023 Summary Table B'!$N26/1000</f>
        <v>0</v>
      </c>
      <c r="S42" s="2225">
        <f>'2024 Summary Table B'!$N58/1000</f>
        <v>0</v>
      </c>
      <c r="T42" s="2225">
        <f>'2022 Summary Table B'!$M54/1000</f>
        <v>0</v>
      </c>
      <c r="U42" s="2225">
        <f>'2023 Summary Table B'!$M54/1000</f>
        <v>0</v>
      </c>
      <c r="V42" s="2225">
        <f>'2024 Summary Table B'!$M54/1000</f>
        <v>0</v>
      </c>
    </row>
    <row r="43" spans="1:22" ht="17.25" customHeight="1" thickBot="1" x14ac:dyDescent="0.3">
      <c r="A43" s="985" t="s">
        <v>347</v>
      </c>
      <c r="B43" s="982"/>
      <c r="C43" s="233" t="s">
        <v>30</v>
      </c>
      <c r="D43" s="2621">
        <f t="shared" ref="D43:R43" si="9">SUM(D37:D42)</f>
        <v>859.55600000000004</v>
      </c>
      <c r="E43" s="2621">
        <f t="shared" si="9"/>
        <v>1488.193</v>
      </c>
      <c r="F43" s="2621">
        <f t="shared" si="9"/>
        <v>3886.94</v>
      </c>
      <c r="G43" s="2621">
        <f t="shared" si="9"/>
        <v>12035.169</v>
      </c>
      <c r="H43" s="2621">
        <f t="shared" si="9"/>
        <v>9545.4509999999991</v>
      </c>
      <c r="I43" s="2621">
        <f t="shared" si="9"/>
        <v>10680.07033799999</v>
      </c>
      <c r="J43" s="2621">
        <f t="shared" si="9"/>
        <v>9599.7749999999978</v>
      </c>
      <c r="K43" s="2621">
        <f t="shared" si="9"/>
        <v>19739</v>
      </c>
      <c r="L43" s="2621">
        <f t="shared" si="9"/>
        <v>21393</v>
      </c>
      <c r="M43" s="2621">
        <f t="shared" si="9"/>
        <v>13846</v>
      </c>
      <c r="N43" s="2621">
        <f t="shared" si="9"/>
        <v>14194</v>
      </c>
      <c r="O43" s="2621">
        <f t="shared" si="9"/>
        <v>12728</v>
      </c>
      <c r="P43" s="2621">
        <f t="shared" si="9"/>
        <v>18930</v>
      </c>
      <c r="Q43" s="2621">
        <f t="shared" si="9"/>
        <v>19959</v>
      </c>
      <c r="R43" s="2621">
        <f t="shared" si="9"/>
        <v>13540</v>
      </c>
      <c r="S43" s="2621">
        <f>SUM(S37:S42)</f>
        <v>19886</v>
      </c>
      <c r="T43" s="2621">
        <f t="shared" ref="T43:V43" si="10">SUM(T37:T42)</f>
        <v>10561.927645635949</v>
      </c>
      <c r="U43" s="2621">
        <f t="shared" si="10"/>
        <v>9422.3390860457694</v>
      </c>
      <c r="V43" s="2621">
        <f t="shared" si="10"/>
        <v>8706.1332945367903</v>
      </c>
    </row>
    <row r="44" spans="1:22" ht="17.25" customHeight="1" thickBot="1" x14ac:dyDescent="0.3">
      <c r="A44" s="994" t="s">
        <v>347</v>
      </c>
      <c r="B44" s="981"/>
      <c r="C44" s="164"/>
      <c r="D44" s="2214"/>
      <c r="E44" s="2214"/>
      <c r="F44" s="2214"/>
      <c r="G44" s="2214"/>
      <c r="H44" s="2214"/>
      <c r="I44" s="2214"/>
      <c r="J44" s="2214"/>
      <c r="K44" s="2214"/>
      <c r="L44" s="2214"/>
      <c r="M44" s="2214"/>
      <c r="N44" s="2214"/>
      <c r="O44" s="2214"/>
      <c r="P44" s="2214"/>
      <c r="Q44" s="2214"/>
      <c r="R44" s="2214"/>
      <c r="S44" s="2214"/>
      <c r="T44" s="2214"/>
      <c r="U44" s="2214"/>
      <c r="V44" s="2214"/>
    </row>
    <row r="45" spans="1:22" ht="17.25" customHeight="1" thickBot="1" x14ac:dyDescent="0.3">
      <c r="A45" s="981"/>
      <c r="B45" s="981"/>
      <c r="C45" s="1026" t="s">
        <v>6</v>
      </c>
      <c r="D45" s="2604"/>
      <c r="E45" s="2604"/>
      <c r="F45" s="2604"/>
      <c r="G45" s="2604"/>
      <c r="H45" s="2604"/>
      <c r="I45" s="2604"/>
      <c r="J45" s="2604"/>
      <c r="K45" s="2206"/>
      <c r="L45" s="2206"/>
      <c r="M45" s="2206"/>
      <c r="N45" s="2206"/>
      <c r="O45" s="2206"/>
      <c r="P45" s="2226"/>
      <c r="Q45" s="2226"/>
      <c r="R45" s="2226"/>
      <c r="S45" s="2226"/>
      <c r="T45" s="2226"/>
      <c r="U45" s="2226"/>
      <c r="V45" s="2226"/>
    </row>
    <row r="46" spans="1:22" ht="17.25" customHeight="1" x14ac:dyDescent="0.2">
      <c r="A46" s="28"/>
      <c r="B46" s="981"/>
      <c r="C46" s="695" t="s">
        <v>112</v>
      </c>
      <c r="D46" s="2216">
        <v>0</v>
      </c>
      <c r="E46" s="2216">
        <v>0</v>
      </c>
      <c r="F46" s="2216">
        <v>1907.123</v>
      </c>
      <c r="G46" s="2216">
        <v>2008.951</v>
      </c>
      <c r="H46" s="2216">
        <v>3152.2350000000001</v>
      </c>
      <c r="I46" s="2216">
        <v>2555.4830000000002</v>
      </c>
      <c r="J46" s="2216">
        <v>5325.1909999999998</v>
      </c>
      <c r="K46" s="2216">
        <v>4484</v>
      </c>
      <c r="L46" s="2216">
        <v>3339</v>
      </c>
      <c r="M46" s="2216">
        <v>2194</v>
      </c>
      <c r="N46" s="2216">
        <v>7539</v>
      </c>
      <c r="O46" s="2216">
        <v>2107</v>
      </c>
      <c r="P46" s="2216">
        <v>1660</v>
      </c>
      <c r="Q46" s="2216">
        <v>3006</v>
      </c>
      <c r="R46" s="2216">
        <v>5382</v>
      </c>
      <c r="S46" s="2216">
        <v>3247</v>
      </c>
      <c r="T46" s="2216">
        <f>'SCG 2022 Exhibit 4'!$E46/1000</f>
        <v>2189.074871458497</v>
      </c>
      <c r="U46" s="2216">
        <f>'SCG 2023 Exhibit 4'!$E46/1000</f>
        <v>2823.7581456295529</v>
      </c>
      <c r="V46" s="2216">
        <f>'SCG 2024 Exhibit 4'!$E46/1000</f>
        <v>2782.5540184020974</v>
      </c>
    </row>
    <row r="47" spans="1:22" ht="17.25" customHeight="1" x14ac:dyDescent="0.2">
      <c r="A47" s="1003"/>
      <c r="B47" s="981"/>
      <c r="C47" s="2759" t="s">
        <v>116</v>
      </c>
      <c r="D47" s="2276">
        <v>0</v>
      </c>
      <c r="E47" s="2210">
        <v>0</v>
      </c>
      <c r="F47" s="2210">
        <v>195.375</v>
      </c>
      <c r="G47" s="2210">
        <v>629.41800000000001</v>
      </c>
      <c r="H47" s="2210">
        <v>398.80700000000002</v>
      </c>
      <c r="I47" s="2210">
        <v>1833.674</v>
      </c>
      <c r="J47" s="2210">
        <v>3086.9920000000002</v>
      </c>
      <c r="K47" s="2210">
        <v>2322</v>
      </c>
      <c r="L47" s="2210">
        <v>5158</v>
      </c>
      <c r="M47" s="2210">
        <v>6421</v>
      </c>
      <c r="N47" s="2210">
        <v>7630</v>
      </c>
      <c r="O47" s="2210">
        <v>4445</v>
      </c>
      <c r="P47" s="2210">
        <v>6924</v>
      </c>
      <c r="Q47" s="2210">
        <v>4249</v>
      </c>
      <c r="R47" s="2210">
        <v>7402</v>
      </c>
      <c r="S47" s="2210">
        <v>2313</v>
      </c>
      <c r="T47" s="2210">
        <f>'SCG 2022 Exhibit 4'!$E47/1000</f>
        <v>1465.853958276361</v>
      </c>
      <c r="U47" s="2210">
        <f>'SCG 2023 Exhibit 4'!$E47/1000</f>
        <v>1968.4637372303305</v>
      </c>
      <c r="V47" s="2210">
        <f>'SCG 2024 Exhibit 4'!$E47/1000</f>
        <v>1957.5757870087034</v>
      </c>
    </row>
    <row r="48" spans="1:22" ht="17.25" customHeight="1" x14ac:dyDescent="0.2">
      <c r="A48" s="1003" t="s">
        <v>348</v>
      </c>
      <c r="B48" s="981"/>
      <c r="C48" s="2196" t="s">
        <v>581</v>
      </c>
      <c r="D48" s="2277">
        <v>0</v>
      </c>
      <c r="E48" s="2217">
        <v>0</v>
      </c>
      <c r="F48" s="2217">
        <v>13.77</v>
      </c>
      <c r="G48" s="2217">
        <v>0</v>
      </c>
      <c r="H48" s="2217">
        <v>27.46</v>
      </c>
      <c r="I48" s="2217">
        <v>803.93</v>
      </c>
      <c r="J48" s="2217">
        <v>306.69600000000003</v>
      </c>
      <c r="K48" s="2217">
        <v>430</v>
      </c>
      <c r="L48" s="2217">
        <f>10436/1000</f>
        <v>10.436</v>
      </c>
      <c r="M48" s="2217">
        <v>25</v>
      </c>
      <c r="N48" s="2217">
        <v>343</v>
      </c>
      <c r="O48" s="2217">
        <v>559</v>
      </c>
      <c r="P48" s="2217">
        <v>1337</v>
      </c>
      <c r="Q48" s="2217">
        <v>1076</v>
      </c>
      <c r="R48" s="2217">
        <v>1103</v>
      </c>
      <c r="S48" s="2217">
        <v>1652</v>
      </c>
      <c r="T48" s="2217">
        <f>'SCG 2022 Exhibit 4'!$E48/1000</f>
        <v>708.72680882693101</v>
      </c>
      <c r="U48" s="2217">
        <f>'SCG 2023 Exhibit 4'!$E48/1000</f>
        <v>1222.9943528671117</v>
      </c>
      <c r="V48" s="2217">
        <f>'SCG 2024 Exhibit 4'!$E48/1000</f>
        <v>1222.4712741657177</v>
      </c>
    </row>
    <row r="49" spans="1:22" ht="17.25" customHeight="1" thickBot="1" x14ac:dyDescent="0.25">
      <c r="A49" s="1003" t="s">
        <v>348</v>
      </c>
      <c r="B49" s="981"/>
      <c r="C49" s="930" t="s">
        <v>245</v>
      </c>
      <c r="D49" s="2218">
        <v>0</v>
      </c>
      <c r="E49" s="2218">
        <v>0</v>
      </c>
      <c r="F49" s="2218">
        <v>0</v>
      </c>
      <c r="G49" s="2218">
        <v>0</v>
      </c>
      <c r="H49" s="2218">
        <v>0</v>
      </c>
      <c r="I49" s="2218">
        <v>0</v>
      </c>
      <c r="J49" s="2218">
        <v>378.10199999999998</v>
      </c>
      <c r="K49" s="2218">
        <v>152</v>
      </c>
      <c r="L49" s="2218">
        <v>408</v>
      </c>
      <c r="M49" s="2218">
        <v>427</v>
      </c>
      <c r="N49" s="2218">
        <v>895</v>
      </c>
      <c r="O49" s="2218">
        <v>438</v>
      </c>
      <c r="P49" s="2218">
        <v>382</v>
      </c>
      <c r="Q49" s="2218">
        <v>381</v>
      </c>
      <c r="R49" s="2218">
        <v>280</v>
      </c>
      <c r="S49" s="2218">
        <v>378</v>
      </c>
      <c r="T49" s="2218">
        <f>'SCG 2022 Exhibit 4'!$E49/1000</f>
        <v>563.29672565860699</v>
      </c>
      <c r="U49" s="2218">
        <f>'SCG 2023 Exhibit 4'!$E49/1000</f>
        <v>491.80820123042434</v>
      </c>
      <c r="V49" s="2218">
        <f>'SCG 2024 Exhibit 4'!$E49/1000</f>
        <v>486.37746721457</v>
      </c>
    </row>
    <row r="50" spans="1:22" ht="17.25" customHeight="1" thickBot="1" x14ac:dyDescent="0.3">
      <c r="A50" s="1003" t="s">
        <v>348</v>
      </c>
      <c r="B50" s="981"/>
      <c r="C50" s="26" t="s">
        <v>206</v>
      </c>
      <c r="D50" s="2624" t="e">
        <f>#REF!+#REF!+D49</f>
        <v>#REF!</v>
      </c>
      <c r="E50" s="2624" t="e">
        <f>#REF!+#REF!+E49</f>
        <v>#REF!</v>
      </c>
      <c r="F50" s="2624" t="e">
        <f>#REF!+#REF!+F49</f>
        <v>#REF!</v>
      </c>
      <c r="G50" s="2624" t="e">
        <f>#REF!+#REF!+G49</f>
        <v>#REF!</v>
      </c>
      <c r="H50" s="2624" t="e">
        <f>#REF!+#REF!+H49</f>
        <v>#REF!</v>
      </c>
      <c r="I50" s="2624" t="e">
        <f>#REF!+#REF!+I49</f>
        <v>#REF!</v>
      </c>
      <c r="J50" s="2624">
        <f>SUM(J46:J49)</f>
        <v>9096.9810000000016</v>
      </c>
      <c r="K50" s="2624">
        <f t="shared" ref="K50:V50" si="11">SUM(K46:K49)</f>
        <v>7388</v>
      </c>
      <c r="L50" s="2624">
        <f t="shared" si="11"/>
        <v>8915.4359999999997</v>
      </c>
      <c r="M50" s="2624">
        <f t="shared" si="11"/>
        <v>9067</v>
      </c>
      <c r="N50" s="2624">
        <f t="shared" si="11"/>
        <v>16407</v>
      </c>
      <c r="O50" s="2624">
        <f t="shared" si="11"/>
        <v>7549</v>
      </c>
      <c r="P50" s="2624">
        <f t="shared" si="11"/>
        <v>10303</v>
      </c>
      <c r="Q50" s="2624">
        <f t="shared" si="11"/>
        <v>8712</v>
      </c>
      <c r="R50" s="2624">
        <f t="shared" si="11"/>
        <v>14167</v>
      </c>
      <c r="S50" s="2624">
        <f t="shared" si="11"/>
        <v>7590</v>
      </c>
      <c r="T50" s="2624">
        <f t="shared" si="11"/>
        <v>4926.9523642203958</v>
      </c>
      <c r="U50" s="2624">
        <f t="shared" si="11"/>
        <v>6507.0244369574193</v>
      </c>
      <c r="V50" s="2624">
        <f t="shared" si="11"/>
        <v>6448.9785467910888</v>
      </c>
    </row>
    <row r="51" spans="1:22" s="3" customFormat="1" ht="17.25" customHeight="1" thickBot="1" x14ac:dyDescent="0.3">
      <c r="A51" s="981"/>
      <c r="B51" s="981"/>
      <c r="C51" s="1017"/>
      <c r="D51" s="2625"/>
      <c r="E51" s="2625"/>
      <c r="F51" s="2625"/>
      <c r="G51" s="2625"/>
      <c r="H51" s="2625"/>
      <c r="I51" s="2625"/>
      <c r="J51" s="2625"/>
      <c r="K51" s="2625"/>
      <c r="L51" s="2625"/>
      <c r="M51" s="2625"/>
      <c r="N51" s="2625"/>
      <c r="O51" s="2625"/>
      <c r="P51" s="2625"/>
      <c r="Q51" s="2625"/>
      <c r="R51" s="2625"/>
      <c r="S51" s="2625"/>
      <c r="T51" s="2625"/>
      <c r="U51" s="2625"/>
      <c r="V51" s="2625"/>
    </row>
    <row r="52" spans="1:22" ht="17.25" customHeight="1" x14ac:dyDescent="0.2">
      <c r="A52" s="28"/>
      <c r="B52" s="981"/>
      <c r="C52" s="2626" t="s">
        <v>349</v>
      </c>
      <c r="D52" s="2220"/>
      <c r="E52" s="2220"/>
      <c r="F52" s="2220"/>
      <c r="G52" s="2220"/>
      <c r="H52" s="2220"/>
      <c r="I52" s="2220"/>
      <c r="J52" s="2220"/>
      <c r="K52" s="2220"/>
      <c r="L52" s="2220"/>
      <c r="M52" s="2220"/>
      <c r="N52" s="2220"/>
      <c r="O52" s="2220"/>
      <c r="P52" s="2220"/>
      <c r="Q52" s="2220"/>
      <c r="R52" s="2220"/>
      <c r="S52" s="2220"/>
      <c r="T52" s="2220"/>
      <c r="U52" s="2220"/>
      <c r="V52" s="2220"/>
    </row>
    <row r="53" spans="1:22" ht="17.25" customHeight="1" x14ac:dyDescent="0.2">
      <c r="A53" s="1009"/>
      <c r="B53" s="1010"/>
      <c r="C53" s="1011" t="s">
        <v>7</v>
      </c>
      <c r="D53" s="2221">
        <f t="shared" ref="D53:V53" si="12">D43</f>
        <v>859.55600000000004</v>
      </c>
      <c r="E53" s="2221">
        <f t="shared" si="12"/>
        <v>1488.193</v>
      </c>
      <c r="F53" s="2221">
        <f t="shared" si="12"/>
        <v>3886.94</v>
      </c>
      <c r="G53" s="2221">
        <f t="shared" si="12"/>
        <v>12035.169</v>
      </c>
      <c r="H53" s="2221">
        <f t="shared" si="12"/>
        <v>9545.4509999999991</v>
      </c>
      <c r="I53" s="2221">
        <f t="shared" si="12"/>
        <v>10680.07033799999</v>
      </c>
      <c r="J53" s="2221">
        <f t="shared" si="12"/>
        <v>9599.7749999999978</v>
      </c>
      <c r="K53" s="2221">
        <f t="shared" si="12"/>
        <v>19739</v>
      </c>
      <c r="L53" s="2221">
        <f t="shared" si="12"/>
        <v>21393</v>
      </c>
      <c r="M53" s="2221">
        <f t="shared" si="12"/>
        <v>13846</v>
      </c>
      <c r="N53" s="2221">
        <f t="shared" si="12"/>
        <v>14194</v>
      </c>
      <c r="O53" s="2221">
        <f t="shared" si="12"/>
        <v>12728</v>
      </c>
      <c r="P53" s="2221">
        <f t="shared" si="12"/>
        <v>18930</v>
      </c>
      <c r="Q53" s="2221">
        <f t="shared" si="12"/>
        <v>19959</v>
      </c>
      <c r="R53" s="2221">
        <f t="shared" si="12"/>
        <v>13540</v>
      </c>
      <c r="S53" s="2221">
        <f t="shared" si="12"/>
        <v>19886</v>
      </c>
      <c r="T53" s="2221">
        <f t="shared" si="12"/>
        <v>10561.927645635949</v>
      </c>
      <c r="U53" s="2221">
        <f t="shared" si="12"/>
        <v>9422.3390860457694</v>
      </c>
      <c r="V53" s="2221">
        <f t="shared" si="12"/>
        <v>8706.1332945367903</v>
      </c>
    </row>
    <row r="54" spans="1:22" ht="17.25" customHeight="1" x14ac:dyDescent="0.2">
      <c r="A54" s="1009"/>
      <c r="B54" s="1010"/>
      <c r="C54" s="1011" t="s">
        <v>8</v>
      </c>
      <c r="D54" s="2221" t="e">
        <f t="shared" ref="D54:N54" si="13">D50</f>
        <v>#REF!</v>
      </c>
      <c r="E54" s="2221" t="e">
        <f t="shared" si="13"/>
        <v>#REF!</v>
      </c>
      <c r="F54" s="2221" t="e">
        <f t="shared" si="13"/>
        <v>#REF!</v>
      </c>
      <c r="G54" s="2221" t="e">
        <f t="shared" si="13"/>
        <v>#REF!</v>
      </c>
      <c r="H54" s="2221" t="e">
        <f t="shared" si="13"/>
        <v>#REF!</v>
      </c>
      <c r="I54" s="2221" t="e">
        <f t="shared" si="13"/>
        <v>#REF!</v>
      </c>
      <c r="J54" s="2221">
        <f t="shared" si="13"/>
        <v>9096.9810000000016</v>
      </c>
      <c r="K54" s="2221">
        <f t="shared" si="13"/>
        <v>7388</v>
      </c>
      <c r="L54" s="2221">
        <f t="shared" si="13"/>
        <v>8915.4359999999997</v>
      </c>
      <c r="M54" s="2221">
        <f t="shared" si="13"/>
        <v>9067</v>
      </c>
      <c r="N54" s="2221">
        <f t="shared" si="13"/>
        <v>16407</v>
      </c>
      <c r="O54" s="2221">
        <f>O50</f>
        <v>7549</v>
      </c>
      <c r="P54" s="2221">
        <f>P50</f>
        <v>10303</v>
      </c>
      <c r="Q54" s="2221">
        <f>Q50</f>
        <v>8712</v>
      </c>
      <c r="R54" s="2221">
        <f>R50</f>
        <v>14167</v>
      </c>
      <c r="S54" s="2221">
        <f>S50</f>
        <v>7590</v>
      </c>
      <c r="T54" s="2221">
        <f t="shared" ref="T54:V54" si="14">T50</f>
        <v>4926.9523642203958</v>
      </c>
      <c r="U54" s="2221">
        <f t="shared" si="14"/>
        <v>6507.0244369574193</v>
      </c>
      <c r="V54" s="2221">
        <f t="shared" si="14"/>
        <v>6448.9785467910888</v>
      </c>
    </row>
    <row r="55" spans="1:22" ht="17.25" customHeight="1" thickBot="1" x14ac:dyDescent="0.25">
      <c r="A55" s="28"/>
      <c r="B55" s="981"/>
      <c r="C55" s="1013" t="s">
        <v>350</v>
      </c>
      <c r="D55" s="2222" t="e">
        <f t="shared" ref="D55:N55" si="15">SUM(D53:D54)</f>
        <v>#REF!</v>
      </c>
      <c r="E55" s="2222" t="e">
        <f t="shared" si="15"/>
        <v>#REF!</v>
      </c>
      <c r="F55" s="2222" t="e">
        <f t="shared" si="15"/>
        <v>#REF!</v>
      </c>
      <c r="G55" s="2222" t="e">
        <f t="shared" si="15"/>
        <v>#REF!</v>
      </c>
      <c r="H55" s="2222" t="e">
        <f t="shared" si="15"/>
        <v>#REF!</v>
      </c>
      <c r="I55" s="2222" t="e">
        <f t="shared" si="15"/>
        <v>#REF!</v>
      </c>
      <c r="J55" s="2222">
        <f t="shared" si="15"/>
        <v>18696.756000000001</v>
      </c>
      <c r="K55" s="2222">
        <f t="shared" si="15"/>
        <v>27127</v>
      </c>
      <c r="L55" s="2222">
        <f t="shared" si="15"/>
        <v>30308.436000000002</v>
      </c>
      <c r="M55" s="2222">
        <f t="shared" si="15"/>
        <v>22913</v>
      </c>
      <c r="N55" s="2222">
        <f t="shared" si="15"/>
        <v>30601</v>
      </c>
      <c r="O55" s="2222">
        <f>SUM(O53:O54)</f>
        <v>20277</v>
      </c>
      <c r="P55" s="2222">
        <f>SUM(P53:P54)</f>
        <v>29233</v>
      </c>
      <c r="Q55" s="2222">
        <f>SUM(Q53:Q54)</f>
        <v>28671</v>
      </c>
      <c r="R55" s="2222">
        <f>SUM(R53:R54)</f>
        <v>27707</v>
      </c>
      <c r="S55" s="2222">
        <f>SUM(S53:S54)</f>
        <v>27476</v>
      </c>
      <c r="T55" s="2222">
        <f t="shared" ref="T55:V55" si="16">SUM(T53:T54)</f>
        <v>15488.880009856344</v>
      </c>
      <c r="U55" s="2222">
        <f t="shared" si="16"/>
        <v>15929.363523003189</v>
      </c>
      <c r="V55" s="2222">
        <f t="shared" si="16"/>
        <v>15155.111841327878</v>
      </c>
    </row>
    <row r="56" spans="1:22" x14ac:dyDescent="0.2">
      <c r="L56" s="3"/>
      <c r="M56" s="3"/>
      <c r="R56"/>
    </row>
  </sheetData>
  <printOptions horizontalCentered="1"/>
  <pageMargins left="0.5" right="0.5" top="0.75" bottom="0.75" header="0.5" footer="0.25"/>
  <pageSetup scale="50" orientation="landscape" r:id="rId1"/>
  <headerFooter alignWithMargins="0">
    <oddFooter>&amp;C&amp;1#&amp;"Calibri"&amp;12&amp;K008000Internal Use</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64">
    <pageSetUpPr fitToPage="1"/>
  </sheetPr>
  <dimension ref="A1:S46"/>
  <sheetViews>
    <sheetView zoomScale="75" zoomScaleNormal="75" workbookViewId="0">
      <selection activeCell="C67" sqref="C67:E67"/>
    </sheetView>
  </sheetViews>
  <sheetFormatPr defaultRowHeight="12.75" x14ac:dyDescent="0.2"/>
  <cols>
    <col min="1" max="1" width="6.28515625" customWidth="1"/>
    <col min="2" max="2" width="12.7109375" customWidth="1"/>
    <col min="3" max="3" width="60.7109375" customWidth="1"/>
    <col min="4" max="10" width="11.7109375" hidden="1" customWidth="1"/>
    <col min="11" max="15" width="11.7109375" customWidth="1"/>
    <col min="16" max="16" width="11.7109375" style="175" customWidth="1"/>
    <col min="17" max="17" width="11.7109375" customWidth="1"/>
    <col min="18" max="18" width="11.7109375" style="3" customWidth="1"/>
    <col min="19" max="19" width="11.7109375" customWidth="1"/>
  </cols>
  <sheetData>
    <row r="1" spans="1:19" ht="23.25" x14ac:dyDescent="0.35">
      <c r="C1" s="501"/>
    </row>
    <row r="2" spans="1:19" ht="21" customHeight="1" x14ac:dyDescent="0.3">
      <c r="A2" s="3"/>
      <c r="B2" s="3"/>
      <c r="C2" s="2474" t="s">
        <v>592</v>
      </c>
      <c r="D2" s="2474"/>
      <c r="E2" s="2474"/>
      <c r="F2" s="2474"/>
      <c r="G2" s="2474"/>
      <c r="H2" s="2474"/>
      <c r="I2" s="2474"/>
      <c r="J2" s="2474"/>
      <c r="K2" s="2474"/>
      <c r="L2" s="2474"/>
      <c r="M2" s="2474"/>
      <c r="N2" s="2474"/>
      <c r="O2" s="2474"/>
      <c r="P2" s="2474"/>
      <c r="Q2" s="2474"/>
      <c r="R2" s="2474"/>
      <c r="S2" s="2474"/>
    </row>
    <row r="3" spans="1:19" ht="24" customHeight="1" x14ac:dyDescent="0.3">
      <c r="A3" s="3"/>
      <c r="B3" s="2502"/>
      <c r="C3" s="2627" t="s">
        <v>591</v>
      </c>
      <c r="D3" s="2627"/>
      <c r="E3" s="2627"/>
      <c r="F3" s="2627"/>
      <c r="G3" s="2627"/>
      <c r="H3" s="2627"/>
      <c r="I3" s="2627"/>
      <c r="J3" s="2627"/>
      <c r="K3" s="2627"/>
      <c r="L3" s="2627"/>
      <c r="M3" s="2627"/>
      <c r="N3" s="2627"/>
      <c r="O3" s="2627"/>
      <c r="P3" s="2627"/>
      <c r="Q3" s="2627"/>
      <c r="R3" s="2627"/>
      <c r="S3" s="2627"/>
    </row>
    <row r="4" spans="1:19" ht="24" customHeight="1" thickBot="1" x14ac:dyDescent="0.35">
      <c r="A4" s="3"/>
      <c r="B4" s="2502"/>
      <c r="C4" s="213"/>
      <c r="D4" s="2599"/>
      <c r="E4" s="33"/>
      <c r="F4" s="33"/>
      <c r="G4" s="33"/>
      <c r="H4" s="33"/>
      <c r="I4" s="33"/>
      <c r="J4" s="33"/>
      <c r="K4" s="33"/>
      <c r="L4" s="33"/>
      <c r="M4" s="33"/>
      <c r="N4" s="33"/>
      <c r="O4" s="33"/>
      <c r="Q4" s="33"/>
      <c r="R4" s="1023"/>
      <c r="S4" s="33"/>
    </row>
    <row r="5" spans="1:19" ht="24" customHeight="1" thickBot="1" x14ac:dyDescent="0.35">
      <c r="A5" s="3"/>
      <c r="B5" s="2502"/>
      <c r="C5" s="2600" t="s">
        <v>589</v>
      </c>
      <c r="D5" s="2601"/>
      <c r="E5" s="2601"/>
      <c r="F5" s="2601"/>
      <c r="G5" s="2601"/>
      <c r="H5" s="2601"/>
      <c r="I5" s="2601"/>
      <c r="J5" s="2601"/>
      <c r="K5" s="2601"/>
      <c r="L5" s="2601"/>
      <c r="M5" s="2601"/>
      <c r="N5" s="2601"/>
      <c r="O5" s="2601"/>
      <c r="P5" s="2601"/>
      <c r="Q5" s="2601"/>
      <c r="R5" s="2601"/>
      <c r="S5" s="2602"/>
    </row>
    <row r="6" spans="1:19" ht="14.2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row>
    <row r="7" spans="1:19" ht="14.25" customHeight="1" thickBot="1" x14ac:dyDescent="0.35">
      <c r="A7" s="15"/>
      <c r="B7" s="15"/>
      <c r="C7" s="213"/>
      <c r="D7" s="195" t="s">
        <v>186</v>
      </c>
      <c r="E7" s="195" t="s">
        <v>186</v>
      </c>
      <c r="F7" s="195" t="s">
        <v>186</v>
      </c>
      <c r="G7" s="195" t="s">
        <v>186</v>
      </c>
      <c r="H7" s="195" t="s">
        <v>186</v>
      </c>
      <c r="I7" s="195" t="e">
        <f>'SCG Table D1 '!J7</f>
        <v>#REF!</v>
      </c>
      <c r="J7" s="195" t="e">
        <f>'SCG Table D1 '!J7</f>
        <v>#REF!</v>
      </c>
      <c r="K7" s="195" t="str">
        <f>'SCG Table D1 '!K7</f>
        <v>Actual</v>
      </c>
      <c r="L7" s="195" t="str">
        <f>'SCG Table D1 '!L7</f>
        <v>Actual</v>
      </c>
      <c r="M7" s="195" t="str">
        <f>'SCG Table D1 '!M7</f>
        <v>Actual</v>
      </c>
      <c r="N7" s="195" t="str">
        <f>'SCG Table D1 '!N7</f>
        <v>Actual</v>
      </c>
      <c r="O7" s="195" t="str">
        <f>'SCG Table D1 '!O7</f>
        <v>Actual</v>
      </c>
      <c r="P7" s="195" t="str">
        <f>'SCG Table D1 '!P7</f>
        <v>Actual</v>
      </c>
      <c r="Q7" s="195" t="str">
        <f>'SCG Table D1 '!Q7</f>
        <v>Actual</v>
      </c>
      <c r="R7" s="195" t="str">
        <f>'SCG Table D1 '!R7</f>
        <v>Actual</v>
      </c>
      <c r="S7" s="195" t="str">
        <f>'SCG Table D1 '!S7</f>
        <v>Actual</v>
      </c>
    </row>
    <row r="8" spans="1:19" ht="17.25" customHeight="1" thickBot="1" x14ac:dyDescent="0.3">
      <c r="A8" s="982"/>
      <c r="B8" s="982"/>
      <c r="C8" s="1026" t="s">
        <v>115</v>
      </c>
      <c r="D8" s="2604"/>
      <c r="E8" s="2604"/>
      <c r="F8" s="2604"/>
      <c r="G8" s="2604"/>
      <c r="H8" s="2604"/>
      <c r="I8" s="2604"/>
      <c r="J8" s="2604"/>
      <c r="K8" s="2206"/>
      <c r="L8" s="2206"/>
      <c r="M8" s="2206"/>
      <c r="N8" s="2206"/>
      <c r="O8" s="2206"/>
      <c r="P8" s="2659"/>
      <c r="Q8" s="2206"/>
      <c r="R8" s="2206"/>
      <c r="S8" s="2206"/>
    </row>
    <row r="9" spans="1:19" ht="17.25" customHeight="1" x14ac:dyDescent="0.2">
      <c r="A9" s="985" t="s">
        <v>347</v>
      </c>
      <c r="B9" s="982"/>
      <c r="C9" s="155" t="s">
        <v>222</v>
      </c>
      <c r="D9" s="2250">
        <f>'SCG Table D '!D9/'SCG Table D1 '!D9</f>
        <v>7.3664395630212622</v>
      </c>
      <c r="E9" s="2250">
        <f>'SCG Table D '!E9/'SCG Table D1 '!E9</f>
        <v>4.8069628656482788</v>
      </c>
      <c r="F9" s="2250">
        <f>'SCG Table D '!F9/'SCG Table D1 '!F9</f>
        <v>5.6208176740041811</v>
      </c>
      <c r="G9" s="2250">
        <f>'SCG Table D '!G9/'SCG Table D1 '!G9</f>
        <v>2.9179090262571417</v>
      </c>
      <c r="H9" s="2250">
        <f>'SCG Table D '!H9/'SCG Table D1 '!H9</f>
        <v>4.4186398992725238</v>
      </c>
      <c r="I9" s="2250">
        <f>'SCG Table D '!I9/'SCG Table D1 '!I9</f>
        <v>5.6977833181350777</v>
      </c>
      <c r="J9" s="2250" t="e">
        <f>'SCG Table D '!#REF!/'SCG Table D1 '!J9</f>
        <v>#REF!</v>
      </c>
      <c r="K9" s="2250">
        <f>'SCG Table D '!J9/'SCG Table D1 '!K9</f>
        <v>6.0094488188976376</v>
      </c>
      <c r="L9" s="2250">
        <f>'SCG Table D '!K9/'SCG Table D1 '!L9</f>
        <v>7.7145969498910674</v>
      </c>
      <c r="M9" s="2250">
        <f>'SCG Table D '!L9/'SCG Table D1 '!M9</f>
        <v>10.204301075268818</v>
      </c>
      <c r="N9" s="2250">
        <f>'SCG Table D '!M9/'SCG Table D1 '!N9</f>
        <v>13.321951219512195</v>
      </c>
      <c r="O9" s="2250">
        <f>'SCG Table D '!N9/'SCG Table D1 '!O9</f>
        <v>12.244541484716157</v>
      </c>
      <c r="P9" s="2262">
        <f>'SCG Table D '!O9/'SCG Table D1 '!P9</f>
        <v>9.8681963190184057</v>
      </c>
      <c r="Q9" s="2250">
        <f>'SCG Table D '!P9/'SCG Table D1 '!Q9</f>
        <v>9.651886075949367</v>
      </c>
      <c r="R9" s="2250">
        <f>'SCG Table D '!Q9/'SCG Table D1 '!R9</f>
        <v>16.315999999999999</v>
      </c>
      <c r="S9" s="2250">
        <f>'SCG Table D '!R9/'SCG Table D1 '!S9</f>
        <v>13.614414009284854</v>
      </c>
    </row>
    <row r="10" spans="1:19" ht="17.25" customHeight="1" x14ac:dyDescent="0.2">
      <c r="A10" s="985" t="s">
        <v>347</v>
      </c>
      <c r="B10" s="982"/>
      <c r="C10" s="155" t="s">
        <v>149</v>
      </c>
      <c r="D10" s="2250">
        <f>'SCG Table D '!D10/'SCG Table D1 '!D10</f>
        <v>2.9152268577047336</v>
      </c>
      <c r="E10" s="2250">
        <f>'SCG Table D '!E10/'SCG Table D1 '!E10</f>
        <v>6.0822527212494082</v>
      </c>
      <c r="F10" s="2250">
        <f>'SCG Table D '!F10/'SCG Table D1 '!F10</f>
        <v>4.2041767103530443</v>
      </c>
      <c r="G10" s="2250">
        <f>'SCG Table D '!G10/'SCG Table D1 '!G10</f>
        <v>3.0680383527728248</v>
      </c>
      <c r="H10" s="2250">
        <f>'SCG Table D '!H10/'SCG Table D1 '!H10</f>
        <v>4.0616387879167704</v>
      </c>
      <c r="I10" s="2250">
        <f>'SCG Table D '!I10/'SCG Table D1 '!I10</f>
        <v>5.7666624641541997</v>
      </c>
      <c r="J10" s="2628" t="e">
        <f>'SCG Table D '!#REF!/'SCG Table D1 '!J10</f>
        <v>#REF!</v>
      </c>
      <c r="K10" s="2250">
        <f>'SCG Table D '!J10/'SCG Table D1 '!K10</f>
        <v>5.8661971830985919</v>
      </c>
      <c r="L10" s="2628">
        <f>'SCG Table D '!K10/'SCG Table D1 '!L10</f>
        <v>6.674650698602794</v>
      </c>
      <c r="M10" s="2250">
        <f>'SCG Table D '!L10/'SCG Table D1 '!M10</f>
        <v>7.8067010309278349</v>
      </c>
      <c r="N10" s="2628">
        <f>'SCG Table D '!M10/'SCG Table D1 '!N10</f>
        <v>7.8983957219251337</v>
      </c>
      <c r="O10" s="2250">
        <f>'SCG Table D '!N10/'SCG Table D1 '!O10</f>
        <v>9.8095238095238102</v>
      </c>
      <c r="P10" s="2660">
        <f>'SCG Table D '!O10/'SCG Table D1 '!P10</f>
        <v>9.1347820512820519</v>
      </c>
      <c r="Q10" s="2252">
        <f>'SCG Table D '!P10/'SCG Table D1 '!Q10</f>
        <v>9.1972198514851478</v>
      </c>
      <c r="R10" s="2252">
        <f>'SCG Table D '!Q10/'SCG Table D1 '!R10</f>
        <v>13.743059139784945</v>
      </c>
      <c r="S10" s="2252">
        <f>'SCG Table D '!R10/'SCG Table D1 '!S10</f>
        <v>13.716572428315949</v>
      </c>
    </row>
    <row r="11" spans="1:19" ht="17.25" customHeight="1" x14ac:dyDescent="0.2">
      <c r="A11" s="985" t="s">
        <v>347</v>
      </c>
      <c r="B11" s="982"/>
      <c r="C11" s="155" t="s">
        <v>595</v>
      </c>
      <c r="D11" s="2250"/>
      <c r="E11" s="2250"/>
      <c r="F11" s="2250"/>
      <c r="G11" s="2250"/>
      <c r="H11" s="2250"/>
      <c r="I11" s="2250">
        <f>'SCG Table D '!I14/'SCG Table D1 '!I14</f>
        <v>3.0467659574468082</v>
      </c>
      <c r="J11" s="2628" t="e">
        <f>'SCG Table D '!#REF!/'SCG Table D1 '!J14</f>
        <v>#REF!</v>
      </c>
      <c r="K11" s="2250">
        <f>'SCG Table D '!J14/'SCG Table D1 '!K14</f>
        <v>0</v>
      </c>
      <c r="L11" s="2628">
        <f>'SCG Table D '!K14/'SCG Table D1 '!L14</f>
        <v>0</v>
      </c>
      <c r="M11" s="2250">
        <f>'SCG Table D '!L14/'SCG Table D1 '!M14</f>
        <v>0</v>
      </c>
      <c r="N11" s="2628">
        <f>'SCG Table D '!M11/'SCG Table D1 '!N11</f>
        <v>7.2198275862068968</v>
      </c>
      <c r="O11" s="2250">
        <f>'SCG Table D '!N11/'SCG Table D1 '!O11</f>
        <v>7.5989847715736039</v>
      </c>
      <c r="P11" s="2660">
        <f>'SCG Table D '!O11/'SCG Table D1 '!P11</f>
        <v>6.9085995085995089</v>
      </c>
      <c r="Q11" s="2252">
        <f>'SCG Table D '!P11/'SCG Table D1 '!Q11</f>
        <v>7.956966332574031</v>
      </c>
      <c r="R11" s="2252">
        <f>'SCG Table D '!Q11/'SCG Table D1 '!R11</f>
        <v>8.6155925925925931</v>
      </c>
      <c r="S11" s="2252">
        <f>'SCG Table D '!R11/'SCG Table D1 '!S11</f>
        <v>12.384961909478998</v>
      </c>
    </row>
    <row r="12" spans="1:19" ht="17.25" customHeight="1" x14ac:dyDescent="0.2">
      <c r="A12" s="985" t="s">
        <v>347</v>
      </c>
      <c r="B12" s="981"/>
      <c r="C12" s="871" t="s">
        <v>227</v>
      </c>
      <c r="D12" s="2262">
        <v>0</v>
      </c>
      <c r="E12" s="2262">
        <v>0</v>
      </c>
      <c r="F12" s="2262">
        <v>0</v>
      </c>
      <c r="G12" s="2262">
        <f>'SCG Table D '!G12/'SCG Table D1 '!G12</f>
        <v>9.2530702186330505</v>
      </c>
      <c r="H12" s="2262">
        <f>'SCG Table D '!H12/'SCG Table D1 '!H12</f>
        <v>10.055808549195181</v>
      </c>
      <c r="I12" s="2262">
        <f>'SCG Table D '!I12/'SCG Table D1 '!I12</f>
        <v>15.202679480983475</v>
      </c>
      <c r="J12" s="2630" t="e">
        <f>'SCG Table D '!#REF!/'SCG Table D1 '!J12</f>
        <v>#REF!</v>
      </c>
      <c r="K12" s="2262">
        <f>'SCG Table D '!J12/'SCG Table D1 '!K12</f>
        <v>31.463610436252242</v>
      </c>
      <c r="L12" s="2630">
        <f>'SCG Table D '!K12/'SCG Table D1 '!L12</f>
        <v>9.4490502605479918</v>
      </c>
      <c r="M12" s="2262">
        <f>'SCG Table D '!L12/'SCG Table D1 '!M12</f>
        <v>18.875</v>
      </c>
      <c r="N12" s="2630">
        <f>'SCG Table D '!M12/'SCG Table D1 '!N12</f>
        <v>11.754716981132075</v>
      </c>
      <c r="O12" s="2262">
        <f>'SCG Table D '!N12/'SCG Table D1 '!O12</f>
        <v>26.133333333333333</v>
      </c>
      <c r="P12" s="2661">
        <f>'SCG Table D '!O12/'SCG Table D1 '!P12</f>
        <v>-13.450736842105263</v>
      </c>
      <c r="Q12" s="2254">
        <f>'SCG Table D '!P12/'SCG Table D1 '!Q12</f>
        <v>19.173269230769229</v>
      </c>
      <c r="R12" s="2254">
        <f>'SCG Table D '!Q12/'SCG Table D1 '!R12</f>
        <v>25.740722222222225</v>
      </c>
      <c r="S12" s="2254">
        <f>'SCG Table D '!R12/'SCG Table D1 '!S12</f>
        <v>5.2968937099387201E-2</v>
      </c>
    </row>
    <row r="13" spans="1:19" ht="17.25" customHeight="1" x14ac:dyDescent="0.2">
      <c r="A13" s="985" t="s">
        <v>347</v>
      </c>
      <c r="B13" s="982"/>
      <c r="C13" s="155" t="s">
        <v>529</v>
      </c>
      <c r="D13" s="2250">
        <v>0</v>
      </c>
      <c r="E13" s="2250">
        <v>0</v>
      </c>
      <c r="F13" s="2250">
        <v>0</v>
      </c>
      <c r="G13" s="2250"/>
      <c r="H13" s="2250"/>
      <c r="I13" s="2262" t="s">
        <v>722</v>
      </c>
      <c r="J13" s="2660" t="str">
        <f>IFERROR('SCG Table D '!#REF!/'SCG Table D1 '!J13,"NA")</f>
        <v>NA</v>
      </c>
      <c r="K13" s="2660" t="str">
        <f>IFERROR('SCG Table D '!J13/'SCG Table D1 '!K13,"NA")</f>
        <v>NA</v>
      </c>
      <c r="L13" s="2660" t="str">
        <f>IFERROR('SCG Table D '!K13/'SCG Table D1 '!L13,"NA")</f>
        <v>NA</v>
      </c>
      <c r="M13" s="2660" t="str">
        <f>IFERROR('SCG Table D '!L13/'SCG Table D1 '!M13,"NA")</f>
        <v>NA</v>
      </c>
      <c r="N13" s="2660" t="str">
        <f>IFERROR('SCG Table D '!M13/'SCG Table D1 '!N13,"NA")</f>
        <v>NA</v>
      </c>
      <c r="O13" s="2660" t="str">
        <f>IFERROR('SCG Table D '!N13/'SCG Table D1 '!O13,"NA")</f>
        <v>NA</v>
      </c>
      <c r="P13" s="2660" t="str">
        <f>IFERROR('SCG Table D '!O13/'SCG Table D1 '!P13,"NA")</f>
        <v>NA</v>
      </c>
      <c r="Q13" s="2252">
        <f>'SCG Table D '!P13/'SCG Table D1 '!Q13</f>
        <v>0.31336957894736839</v>
      </c>
      <c r="R13" s="2252" t="str">
        <f>IFERROR('SCG Table D '!Q13/'SCG Table D1 '!R13,"NA")</f>
        <v>NA</v>
      </c>
      <c r="S13" s="2252">
        <f>'SCG Table D '!R13/'SCG Table D1 '!S13</f>
        <v>1.3561962616822429</v>
      </c>
    </row>
    <row r="14" spans="1:19" ht="17.25" hidden="1" customHeight="1" thickBot="1" x14ac:dyDescent="0.25">
      <c r="A14" s="985" t="s">
        <v>347</v>
      </c>
      <c r="B14" s="982"/>
      <c r="C14" s="969" t="s">
        <v>110</v>
      </c>
      <c r="D14" s="2263">
        <v>0</v>
      </c>
      <c r="E14" s="2263">
        <v>0</v>
      </c>
      <c r="F14" s="2263">
        <f>'SCG Table D '!F14/'SCG Table D1 '!F14</f>
        <v>7.309174588803379</v>
      </c>
      <c r="G14" s="2263">
        <f>'SCG Table D '!G14/'SCG Table D1 '!G14</f>
        <v>5.6268169170840299</v>
      </c>
      <c r="H14" s="2263">
        <f>'SCG Table D '!H14/'SCG Table D1 '!H14</f>
        <v>5.1033856017840966</v>
      </c>
      <c r="I14" s="2673"/>
      <c r="J14" s="2256"/>
      <c r="K14" s="2256"/>
      <c r="L14" s="2256"/>
      <c r="M14" s="2256"/>
      <c r="N14" s="2256"/>
      <c r="O14" s="2256"/>
      <c r="P14" s="2662"/>
      <c r="Q14" s="2256"/>
      <c r="R14" s="2256"/>
      <c r="S14" s="2256"/>
    </row>
    <row r="15" spans="1:19" ht="17.25" customHeight="1" thickBot="1" x14ac:dyDescent="0.3">
      <c r="A15" s="985" t="s">
        <v>347</v>
      </c>
      <c r="B15" s="982"/>
      <c r="C15" s="233" t="s">
        <v>30</v>
      </c>
      <c r="D15" s="2634">
        <f>'SCG Table D '!D15/'SCG Table D1 '!D15</f>
        <v>6.0540277490163596</v>
      </c>
      <c r="E15" s="2634">
        <f>'SCG Table D '!E15/'SCG Table D1 '!E15</f>
        <v>5.1984580516436472</v>
      </c>
      <c r="F15" s="2634">
        <f>'SCG Table D '!F15/'SCG Table D1 '!F15</f>
        <v>4.7742450263761738</v>
      </c>
      <c r="G15" s="2634">
        <f>'SCG Table D '!G15/'SCG Table D1 '!G15</f>
        <v>3.2124938832938383</v>
      </c>
      <c r="H15" s="2634">
        <f>'SCG Table D '!H15/'SCG Table D1 '!H15</f>
        <v>4.3267335319133666</v>
      </c>
      <c r="I15" s="2634">
        <f>'SCG Table D '!I15/'SCG Table D1 '!I15</f>
        <v>6.0250742804849917</v>
      </c>
      <c r="J15" s="2634" t="e">
        <f>'SCG Table D '!#REF!/'SCG Table D1 '!J15</f>
        <v>#REF!</v>
      </c>
      <c r="K15" s="2634">
        <f>'SCG Table D '!J15/'SCG Table D1 '!K15</f>
        <v>6.4725869673803533</v>
      </c>
      <c r="L15" s="2634">
        <f>'SCG Table D '!K15/'SCG Table D1 '!L15</f>
        <v>7.2890537234109338</v>
      </c>
      <c r="M15" s="2634">
        <f>'SCG Table D '!L15/'SCG Table D1 '!M15</f>
        <v>8.7304860088365235</v>
      </c>
      <c r="N15" s="2634">
        <f>'SCG Table D '!M15/'SCG Table D1 '!N15</f>
        <v>9.6203840472673559</v>
      </c>
      <c r="O15" s="2634">
        <f>'SCG Table D '!N15/'SCG Table D1 '!O15</f>
        <v>10.412151067323482</v>
      </c>
      <c r="P15" s="2663">
        <f>'SCG Table D '!O15/'SCG Table D1 '!P15</f>
        <v>8.0652400881057265</v>
      </c>
      <c r="Q15" s="2634">
        <f>'SCG Table D '!P15/'SCG Table D1 '!Q15</f>
        <v>8.2831333395176241</v>
      </c>
      <c r="R15" s="2634">
        <f>'SCG Table D '!Q15/'SCG Table D1 '!R15</f>
        <v>11.836364963503648</v>
      </c>
      <c r="S15" s="2634">
        <f>'SCG Table D '!R15/'SCG Table D1 '!S15</f>
        <v>10.512494514401702</v>
      </c>
    </row>
    <row r="16" spans="1:19" ht="17.25" customHeight="1" thickBot="1" x14ac:dyDescent="0.3">
      <c r="A16" s="994" t="s">
        <v>347</v>
      </c>
      <c r="B16" s="981"/>
      <c r="C16" s="164"/>
      <c r="D16" s="2257"/>
      <c r="E16" s="2257"/>
      <c r="F16" s="2257"/>
      <c r="G16" s="2257"/>
      <c r="H16" s="2257"/>
      <c r="I16" s="2257"/>
      <c r="J16" s="2257"/>
      <c r="K16" s="2257"/>
      <c r="L16" s="2257"/>
      <c r="M16" s="2257"/>
      <c r="N16" s="2257"/>
      <c r="O16" s="2257"/>
      <c r="P16" s="2664"/>
      <c r="Q16" s="2257"/>
      <c r="R16" s="2257"/>
      <c r="S16" s="2257"/>
    </row>
    <row r="17" spans="1:19" ht="17.25" customHeight="1" thickBot="1" x14ac:dyDescent="0.3">
      <c r="A17" s="981"/>
      <c r="B17" s="981"/>
      <c r="C17" s="1027" t="s">
        <v>6</v>
      </c>
      <c r="D17" s="2258"/>
      <c r="E17" s="2258"/>
      <c r="F17" s="2258"/>
      <c r="G17" s="2258"/>
      <c r="H17" s="2258"/>
      <c r="I17" s="2258"/>
      <c r="J17" s="2258"/>
      <c r="K17" s="2258"/>
      <c r="L17" s="2258"/>
      <c r="M17" s="2259"/>
      <c r="N17" s="2259"/>
      <c r="O17" s="2259"/>
      <c r="P17" s="2665"/>
      <c r="Q17" s="2259"/>
      <c r="R17" s="2259"/>
      <c r="S17" s="2259"/>
    </row>
    <row r="18" spans="1:19" ht="17.25" customHeight="1" x14ac:dyDescent="0.2">
      <c r="A18" s="28"/>
      <c r="B18" s="981"/>
      <c r="C18" s="695" t="s">
        <v>112</v>
      </c>
      <c r="D18" s="2260">
        <v>0</v>
      </c>
      <c r="E18" s="2260">
        <v>0</v>
      </c>
      <c r="F18" s="2260">
        <f>'SCG Table D '!F18/'SCG Table D1 '!F18</f>
        <v>5.171910678571991</v>
      </c>
      <c r="G18" s="2260">
        <f>'SCG Table D '!G18/'SCG Table D1 '!G18</f>
        <v>4.5655827397776516</v>
      </c>
      <c r="H18" s="2260">
        <f>'SCG Table D '!H18/'SCG Table D1 '!H18</f>
        <v>2.6779439705894981</v>
      </c>
      <c r="I18" s="2260">
        <f>'SCG Table D '!I18/'SCG Table D1 '!I18</f>
        <v>6.6004597610671434</v>
      </c>
      <c r="J18" s="2260" t="e">
        <f>'SCG Table D '!#REF!/'SCG Table D1 '!J18</f>
        <v>#REF!</v>
      </c>
      <c r="K18" s="2260">
        <f>'SCG Table D '!J18/'SCG Table D1 '!K18</f>
        <v>2.4034482758620688</v>
      </c>
      <c r="L18" s="2260">
        <f>'SCG Table D '!K18/'SCG Table D1 '!L18</f>
        <v>7.378109452736318</v>
      </c>
      <c r="M18" s="2260">
        <f>'SCG Table D '!L18/'SCG Table D1 '!M18</f>
        <v>6.8188405797101446</v>
      </c>
      <c r="N18" s="2260">
        <f>'SCG Table D '!M18/'SCG Table D1 '!N18</f>
        <v>3.0340632603406328</v>
      </c>
      <c r="O18" s="2260">
        <f>'SCG Table D '!N18/'SCG Table D1 '!O18</f>
        <v>7.1343283582089549</v>
      </c>
      <c r="P18" s="2666">
        <f>'SCG Table D '!O18/'SCG Table D1 '!P18</f>
        <v>7.6756363636363636</v>
      </c>
      <c r="Q18" s="2260">
        <f>'SCG Table D '!P18/'SCG Table D1 '!Q18</f>
        <v>5.7829103773584913</v>
      </c>
      <c r="R18" s="2260">
        <f>'SCG Table D '!Q18/'SCG Table D1 '!R18</f>
        <v>5.3386460396039608</v>
      </c>
      <c r="S18" s="2260">
        <f>'SCG Table D '!R18/'SCG Table D1 '!S18</f>
        <v>13.333064220183488</v>
      </c>
    </row>
    <row r="19" spans="1:19" ht="17.25" customHeight="1" thickBot="1" x14ac:dyDescent="0.25">
      <c r="A19" s="1003"/>
      <c r="B19" s="981"/>
      <c r="C19" s="2759" t="s">
        <v>116</v>
      </c>
      <c r="D19" s="2760">
        <v>0</v>
      </c>
      <c r="E19" s="2250">
        <v>0</v>
      </c>
      <c r="F19" s="2250">
        <f>'SCG Table D '!F19/'SCG Table D1 '!F19</f>
        <v>4.6318618042226483</v>
      </c>
      <c r="G19" s="2250">
        <f>'SCG Table D '!G19/'SCG Table D1 '!G19</f>
        <v>5.9842470219840527</v>
      </c>
      <c r="H19" s="2250">
        <f>'SCG Table D '!H19/'SCG Table D1 '!H19</f>
        <v>2.2567709560004285</v>
      </c>
      <c r="I19" s="2250">
        <f>'SCG Table D '!I19/'SCG Table D1 '!I19</f>
        <v>8.2039179384934293</v>
      </c>
      <c r="J19" s="2250" t="e">
        <f>'SCG Table D '!#REF!/'SCG Table D1 '!J19</f>
        <v>#REF!</v>
      </c>
      <c r="K19" s="2250">
        <f>'SCG Table D '!J19/'SCG Table D1 '!K19</f>
        <v>3.7612612612612613</v>
      </c>
      <c r="L19" s="2250">
        <f>'SCG Table D '!K19/'SCG Table D1 '!L19</f>
        <v>1.5905511811023623</v>
      </c>
      <c r="M19" s="2250">
        <f>'SCG Table D '!L19/'SCG Table D1 '!M19</f>
        <v>2.3092592592592593</v>
      </c>
      <c r="N19" s="2250">
        <f>'SCG Table D '!M19/'SCG Table D1 '!N19</f>
        <v>1.2530949105914717</v>
      </c>
      <c r="O19" s="2250">
        <f>'SCG Table D '!N19/'SCG Table D1 '!O19</f>
        <v>3.3013698630136985</v>
      </c>
      <c r="P19" s="2262">
        <f>'SCG Table D '!O19/'SCG Table D1 '!P19</f>
        <v>2.0653350427350428</v>
      </c>
      <c r="Q19" s="2250">
        <f>'SCG Table D '!P19/'SCG Table D1 '!Q19</f>
        <v>1.5608595744680851</v>
      </c>
      <c r="R19" s="2250">
        <f>'SCG Table D '!Q19/'SCG Table D1 '!R19</f>
        <v>3.1470371517027864</v>
      </c>
      <c r="S19" s="2250">
        <f>'SCG Table D '!R19/'SCG Table D1 '!S19</f>
        <v>4.5235240963855423</v>
      </c>
    </row>
    <row r="20" spans="1:19" ht="17.25" customHeight="1" x14ac:dyDescent="0.2">
      <c r="A20" s="1003" t="s">
        <v>348</v>
      </c>
      <c r="B20" s="981"/>
      <c r="C20" s="2196" t="s">
        <v>581</v>
      </c>
      <c r="D20" s="2635">
        <v>0</v>
      </c>
      <c r="E20" s="2260">
        <v>0</v>
      </c>
      <c r="F20" s="2260">
        <f>'SCG Table D '!F20/'SCG Table D1 '!F20</f>
        <v>6.7414669571532313</v>
      </c>
      <c r="G20" s="2260">
        <v>0</v>
      </c>
      <c r="H20" s="2261">
        <f>'SCG Table D '!H20/'SCG Table D1 '!H20</f>
        <v>3.0550436999271664</v>
      </c>
      <c r="I20" s="2261">
        <f>'SCG Table D '!I20/'SCG Table D1 '!I20</f>
        <v>4.2888185704514363</v>
      </c>
      <c r="J20" s="2261" t="e">
        <f>'SCG Table D '!#REF!/'SCG Table D1 '!J20</f>
        <v>#REF!</v>
      </c>
      <c r="K20" s="2261">
        <f>'SCG Table D '!J20/'SCG Table D1 '!K20</f>
        <v>-0.23255813953488372</v>
      </c>
      <c r="L20" s="2261">
        <f>'SCG Table D '!K20/'SCG Table D1 '!L20</f>
        <v>22.277431720172494</v>
      </c>
      <c r="M20" s="2261">
        <f>'SCG Table D '!L20/'SCG Table D1 '!M20</f>
        <v>26.8</v>
      </c>
      <c r="N20" s="2261">
        <f>'SCG Table D '!M20/'SCG Table D1 '!N20</f>
        <v>1.4680851063829787</v>
      </c>
      <c r="O20" s="2261">
        <f>'SCG Table D '!N20/'SCG Table D1 '!O20</f>
        <v>1.0925925925925926</v>
      </c>
      <c r="P20" s="2667">
        <f>'SCG Table D '!O20/'SCG Table D1 '!P20</f>
        <v>0.53687654320987654</v>
      </c>
      <c r="Q20" s="2261">
        <f>'SCG Table D '!P20/'SCG Table D1 '!Q20</f>
        <v>0.92038712686567159</v>
      </c>
      <c r="R20" s="2261">
        <f>'SCG Table D '!Q20/'SCG Table D1 '!R20</f>
        <v>1.1863160621761659</v>
      </c>
      <c r="S20" s="2261">
        <f>'SCG Table D '!R20/'SCG Table D1 '!S20</f>
        <v>0.84990443686006822</v>
      </c>
    </row>
    <row r="21" spans="1:19" ht="17.25" customHeight="1" thickBot="1" x14ac:dyDescent="0.25">
      <c r="A21" s="1003" t="s">
        <v>348</v>
      </c>
      <c r="B21" s="981"/>
      <c r="C21" s="930" t="s">
        <v>245</v>
      </c>
      <c r="D21" s="2250">
        <v>0</v>
      </c>
      <c r="E21" s="2250">
        <v>0</v>
      </c>
      <c r="F21" s="2250">
        <v>0</v>
      </c>
      <c r="G21" s="2250">
        <v>0</v>
      </c>
      <c r="H21" s="2250">
        <v>0</v>
      </c>
      <c r="I21" s="2250">
        <v>0</v>
      </c>
      <c r="J21" s="2638" t="e">
        <f>'SCG Table D '!#REF!/'SCG Table D1 '!J21</f>
        <v>#REF!</v>
      </c>
      <c r="K21" s="2638">
        <f>'SCG Table D '!J21/'SCG Table D1 '!K21</f>
        <v>8.3636363636363633</v>
      </c>
      <c r="L21" s="2638">
        <f>'SCG Table D '!K21/'SCG Table D1 '!L21</f>
        <v>3.0540540540540539</v>
      </c>
      <c r="M21" s="2638">
        <f>'SCG Table D '!L21/'SCG Table D1 '!M21</f>
        <v>3.3</v>
      </c>
      <c r="N21" s="2638">
        <f>'SCG Table D '!M21/'SCG Table D1 '!N21</f>
        <v>3.5441176470588234</v>
      </c>
      <c r="O21" s="2638">
        <f>'SCG Table D '!N21/'SCG Table D1 '!O21</f>
        <v>3.7380952380952381</v>
      </c>
      <c r="P21" s="2668">
        <f>'SCG Table D '!O21/'SCG Table D1 '!P21</f>
        <v>2.2079696969696969</v>
      </c>
      <c r="Q21" s="2638">
        <f>'SCG Table D '!P21/'SCG Table D1 '!Q21</f>
        <v>7.1454125412541254</v>
      </c>
      <c r="R21" s="2638">
        <f>'SCG Table D '!Q21/'SCG Table D1 '!R21</f>
        <v>10.805545454545454</v>
      </c>
      <c r="S21" s="2638">
        <f>'SCG Table D '!R21/'SCG Table D1 '!S21</f>
        <v>16.478653846153847</v>
      </c>
    </row>
    <row r="22" spans="1:19" ht="17.25" customHeight="1" thickBot="1" x14ac:dyDescent="0.3">
      <c r="A22" s="1003" t="s">
        <v>348</v>
      </c>
      <c r="B22" s="981"/>
      <c r="C22" s="26" t="s">
        <v>206</v>
      </c>
      <c r="D22" s="2636">
        <v>0</v>
      </c>
      <c r="E22" s="2636">
        <v>0</v>
      </c>
      <c r="F22" s="2636" t="e">
        <f>'SCG Table D '!F22/'SCG Table D1 '!F22</f>
        <v>#REF!</v>
      </c>
      <c r="G22" s="2636" t="e">
        <f>'SCG Table D '!G22/'SCG Table D1 '!G22</f>
        <v>#REF!</v>
      </c>
      <c r="H22" s="2636" t="e">
        <f>'SCG Table D '!H22/'SCG Table D1 '!H22</f>
        <v>#REF!</v>
      </c>
      <c r="I22" s="2636" t="e">
        <f>'SCG Table D '!I22/'SCG Table D1 '!I22</f>
        <v>#REF!</v>
      </c>
      <c r="J22" s="2636" t="e">
        <f>'SCG Table D '!#REF!/'SCG Table D1 '!J22</f>
        <v>#REF!</v>
      </c>
      <c r="K22" s="2636">
        <f>'SCG Table D '!J22/'SCG Table D1 '!K22</f>
        <v>2.6338259441707716</v>
      </c>
      <c r="L22" s="2636">
        <f>'SCG Table D '!K22/'SCG Table D1 '!L22</f>
        <v>3.2756791656585396</v>
      </c>
      <c r="M22" s="2636">
        <f>'SCG Table D '!L22/'SCG Table D1 '!M22</f>
        <v>3.3955119214586253</v>
      </c>
      <c r="N22" s="2636">
        <f>'SCG Table D '!M22/'SCG Table D1 '!N22</f>
        <v>1.9696727853152434</v>
      </c>
      <c r="O22" s="2636">
        <f>'SCG Table D '!N22/'SCG Table D1 '!O22</f>
        <v>3.7077562326869806</v>
      </c>
      <c r="P22" s="2669">
        <f>'SCG Table D '!O22/'SCG Table D1 '!P22</f>
        <v>2.2619093750000001</v>
      </c>
      <c r="Q22" s="2636">
        <f>'SCG Table D '!P22/'SCG Table D1 '!Q22</f>
        <v>2.5611503183338731</v>
      </c>
      <c r="R22" s="2636">
        <f>'SCG Table D '!Q22/'SCG Table D1 '!R22</f>
        <v>3.6810118577075097</v>
      </c>
      <c r="S22" s="2636">
        <f>'SCG Table D '!R22/'SCG Table D1 '!S22</f>
        <v>6.1664011379800847</v>
      </c>
    </row>
    <row r="23" spans="1:19" ht="14.25" customHeight="1" x14ac:dyDescent="0.25">
      <c r="A23" s="981"/>
      <c r="B23" s="981"/>
      <c r="C23" s="27"/>
      <c r="D23" s="2613"/>
      <c r="E23" s="2613"/>
      <c r="F23" s="2613"/>
      <c r="G23" s="2613"/>
      <c r="H23" s="2613"/>
      <c r="I23" s="2613"/>
      <c r="J23" s="2613"/>
      <c r="K23" s="2613"/>
      <c r="L23" s="2613"/>
      <c r="M23" s="2613"/>
      <c r="N23" s="2613"/>
      <c r="O23" s="2613"/>
      <c r="P23" s="2670"/>
      <c r="Q23" s="2613"/>
    </row>
    <row r="24" spans="1:19" ht="14.25" customHeight="1" x14ac:dyDescent="0.25">
      <c r="A24" s="28"/>
      <c r="B24" s="981"/>
      <c r="C24" s="27"/>
      <c r="D24" s="2599"/>
    </row>
    <row r="25" spans="1:19" ht="14.25" customHeight="1" x14ac:dyDescent="0.2">
      <c r="A25" s="1009"/>
      <c r="B25" s="1010"/>
      <c r="C25" s="1019"/>
      <c r="D25" s="2599"/>
    </row>
    <row r="26" spans="1:19" ht="14.25" customHeight="1" x14ac:dyDescent="0.2">
      <c r="A26" s="1009"/>
      <c r="B26" s="1010"/>
      <c r="C26" s="957"/>
      <c r="D26" s="2599"/>
    </row>
    <row r="27" spans="1:19" ht="14.25" customHeight="1" thickBot="1" x14ac:dyDescent="0.25">
      <c r="A27" s="28"/>
      <c r="B27" s="981"/>
      <c r="C27" s="1019"/>
      <c r="D27" s="2599"/>
    </row>
    <row r="28" spans="1:19" ht="21" customHeight="1" thickBot="1" x14ac:dyDescent="0.35">
      <c r="A28" s="3"/>
      <c r="B28" s="2502"/>
      <c r="C28" s="2600" t="s">
        <v>590</v>
      </c>
      <c r="D28" s="2601"/>
      <c r="E28" s="2601"/>
      <c r="F28" s="2601"/>
      <c r="G28" s="2601"/>
      <c r="H28" s="2601"/>
      <c r="I28" s="2601"/>
      <c r="J28" s="2601"/>
      <c r="K28" s="2601"/>
      <c r="L28" s="2601"/>
      <c r="M28" s="2601"/>
      <c r="N28" s="2601"/>
      <c r="O28" s="2601"/>
      <c r="P28" s="2601"/>
      <c r="Q28" s="2601"/>
      <c r="R28" s="2601"/>
      <c r="S28" s="2602"/>
    </row>
    <row r="29" spans="1:19" ht="14.25" customHeight="1" x14ac:dyDescent="0.3">
      <c r="A29" s="3"/>
      <c r="B29" s="2502"/>
      <c r="C29" s="949"/>
      <c r="D29" s="981">
        <v>2006</v>
      </c>
      <c r="E29" s="981">
        <v>2007</v>
      </c>
      <c r="F29" s="981">
        <v>2008</v>
      </c>
      <c r="G29" s="981">
        <v>2009</v>
      </c>
      <c r="H29" s="981">
        <v>2010</v>
      </c>
      <c r="I29" s="981">
        <v>2011</v>
      </c>
      <c r="J29" s="981">
        <v>2012</v>
      </c>
      <c r="K29" s="981">
        <v>2013</v>
      </c>
      <c r="L29" s="981">
        <v>2014</v>
      </c>
      <c r="M29" s="981">
        <v>2015</v>
      </c>
      <c r="N29" s="981">
        <v>2016</v>
      </c>
      <c r="O29" s="981">
        <v>2017</v>
      </c>
      <c r="P29" s="2657">
        <v>2018</v>
      </c>
      <c r="Q29" s="981">
        <v>2019</v>
      </c>
      <c r="R29" s="981">
        <v>2020</v>
      </c>
      <c r="S29" s="981">
        <v>2021</v>
      </c>
    </row>
    <row r="30" spans="1:19" ht="14.25" customHeight="1" thickBot="1" x14ac:dyDescent="0.35">
      <c r="A30" s="15"/>
      <c r="B30" s="15"/>
      <c r="C30" s="213"/>
      <c r="D30" s="195" t="s">
        <v>186</v>
      </c>
      <c r="E30" s="195" t="s">
        <v>186</v>
      </c>
      <c r="F30" s="195" t="s">
        <v>186</v>
      </c>
      <c r="G30" s="195" t="s">
        <v>186</v>
      </c>
      <c r="H30" s="195" t="s">
        <v>186</v>
      </c>
      <c r="I30" s="195" t="s">
        <v>186</v>
      </c>
      <c r="J30" s="195" t="s">
        <v>186</v>
      </c>
      <c r="K30" s="195" t="s">
        <v>186</v>
      </c>
      <c r="L30" s="195" t="s">
        <v>186</v>
      </c>
      <c r="M30" s="195" t="s">
        <v>186</v>
      </c>
      <c r="N30" s="195" t="s">
        <v>186</v>
      </c>
      <c r="O30" s="195" t="s">
        <v>186</v>
      </c>
      <c r="P30" s="2658" t="s">
        <v>186</v>
      </c>
      <c r="Q30" s="195" t="s">
        <v>188</v>
      </c>
      <c r="R30" s="195" t="s">
        <v>188</v>
      </c>
      <c r="S30" s="195" t="s">
        <v>188</v>
      </c>
    </row>
    <row r="31" spans="1:19" ht="17.25" customHeight="1" thickBot="1" x14ac:dyDescent="0.3">
      <c r="A31" s="982"/>
      <c r="B31" s="982"/>
      <c r="C31" s="1026" t="s">
        <v>115</v>
      </c>
      <c r="D31" s="2604"/>
      <c r="E31" s="2604"/>
      <c r="F31" s="2604"/>
      <c r="G31" s="2604"/>
      <c r="H31" s="2604"/>
      <c r="I31" s="2604"/>
      <c r="J31" s="2604"/>
      <c r="K31" s="2206"/>
      <c r="L31" s="2206"/>
      <c r="M31" s="2206"/>
      <c r="N31" s="2206"/>
      <c r="O31" s="2206"/>
      <c r="P31" s="2659"/>
      <c r="Q31" s="2206"/>
      <c r="R31" s="2206"/>
      <c r="S31" s="2206"/>
    </row>
    <row r="32" spans="1:19" ht="17.25" customHeight="1" x14ac:dyDescent="0.2">
      <c r="A32" s="985" t="s">
        <v>347</v>
      </c>
      <c r="B32" s="982"/>
      <c r="C32" s="155" t="s">
        <v>222</v>
      </c>
      <c r="D32" s="2250">
        <f>'SCG Table D '!D9/'SCG Table D1 '!D37</f>
        <v>0.43313217125540682</v>
      </c>
      <c r="E32" s="2250">
        <f>'SCG Table D '!E9/'SCG Table D1 '!E37</f>
        <v>0.35254257093276287</v>
      </c>
      <c r="F32" s="2250">
        <f>'SCG Table D '!F9/'SCG Table D1 '!F37</f>
        <v>0.51421572623205403</v>
      </c>
      <c r="G32" s="2250">
        <f>'SCG Table D '!G9/'SCG Table D1 '!G37</f>
        <v>0.16948393864612415</v>
      </c>
      <c r="H32" s="2250">
        <f>'SCG Table D '!H9/'SCG Table D1 '!H37</f>
        <v>0.26680191854139496</v>
      </c>
      <c r="I32" s="2250">
        <f>'SCG Table D '!I9/'SCG Table D1 '!I37</f>
        <v>0.36466523995035111</v>
      </c>
      <c r="J32" s="2250" t="e">
        <f>'SCG Table D '!#REF!/'SCG Table D1 '!J37</f>
        <v>#REF!</v>
      </c>
      <c r="K32" s="2250">
        <f>'SCG Table D '!J9/'SCG Table D1 '!K37</f>
        <v>0.28197738860563071</v>
      </c>
      <c r="L32" s="2250">
        <f>'SCG Table D '!K9/'SCG Table D1 '!L37</f>
        <v>0.36580578512396694</v>
      </c>
      <c r="M32" s="2250">
        <f>'SCG Table D '!L9/'SCG Table D1 '!M37</f>
        <v>0.48629259543940556</v>
      </c>
      <c r="N32" s="2250">
        <f>'SCG Table D '!M9/'SCG Table D1 '!N37</f>
        <v>0.63027925225017312</v>
      </c>
      <c r="O32" s="2250">
        <f>'SCG Table D '!N9/'SCG Table D1 '!O37</f>
        <v>0.56749645820684069</v>
      </c>
      <c r="P32" s="2262">
        <f>'SCG Table D '!O9/'SCG Table D1 '!P37</f>
        <v>0.44987162634596561</v>
      </c>
      <c r="Q32" s="2250">
        <f>'SCG Table D '!P9/'SCG Table D1 '!Q37</f>
        <v>0.46508020738029887</v>
      </c>
      <c r="R32" s="2250">
        <f>'SCG Table D '!Q9/'SCG Table D1 '!R37</f>
        <v>0.75091510277033069</v>
      </c>
      <c r="S32" s="2250">
        <f>'SCG Table D '!R9/'SCG Table D1 '!S37</f>
        <v>0.65272352568167402</v>
      </c>
    </row>
    <row r="33" spans="1:19" ht="17.25" customHeight="1" x14ac:dyDescent="0.2">
      <c r="A33" s="985" t="s">
        <v>347</v>
      </c>
      <c r="B33" s="982"/>
      <c r="C33" s="155" t="s">
        <v>149</v>
      </c>
      <c r="D33" s="2250">
        <f>'SCG Table D '!D10/'SCG Table D1 '!D38</f>
        <v>0.14801673198512236</v>
      </c>
      <c r="E33" s="2250">
        <f>'SCG Table D '!E10/'SCG Table D1 '!E38</f>
        <v>0.37608713464667387</v>
      </c>
      <c r="F33" s="2250">
        <f>'SCG Table D '!F10/'SCG Table D1 '!F38</f>
        <v>0.24007444584574994</v>
      </c>
      <c r="G33" s="2250">
        <f>'SCG Table D '!G10/'SCG Table D1 '!G38</f>
        <v>0.16678737597935406</v>
      </c>
      <c r="H33" s="2250">
        <f>'SCG Table D '!H10/'SCG Table D1 '!H38</f>
        <v>0.23684812320522899</v>
      </c>
      <c r="I33" s="2250">
        <f>'SCG Table D '!I10/'SCG Table D1 '!I38</f>
        <v>0.3353462107726301</v>
      </c>
      <c r="J33" s="2250" t="e">
        <f>'SCG Table D '!#REF!/'SCG Table D1 '!J38</f>
        <v>#REF!</v>
      </c>
      <c r="K33" s="2250">
        <f>'SCG Table D '!J10/'SCG Table D1 '!K38</f>
        <v>0.29681097452342775</v>
      </c>
      <c r="L33" s="2250">
        <f>'SCG Table D '!K10/'SCG Table D1 '!L38</f>
        <v>0.32955553365526757</v>
      </c>
      <c r="M33" s="2250">
        <f>'SCG Table D '!L10/'SCG Table D1 '!M38</f>
        <v>0.38848274977555469</v>
      </c>
      <c r="N33" s="2250">
        <f>'SCG Table D '!M10/'SCG Table D1 '!N38</f>
        <v>0.37204030226700252</v>
      </c>
      <c r="O33" s="2250">
        <f>'SCG Table D '!N10/'SCG Table D1 '!O38</f>
        <v>0.48116788321167886</v>
      </c>
      <c r="P33" s="2262">
        <f>'SCG Table D '!O10/'SCG Table D1 '!P38</f>
        <v>0.45110034821145933</v>
      </c>
      <c r="Q33" s="2250">
        <f>'SCG Table D '!P10/'SCG Table D1 '!Q38</f>
        <v>0.4543503081438004</v>
      </c>
      <c r="R33" s="2250">
        <f>'SCG Table D '!Q10/'SCG Table D1 '!R38</f>
        <v>0.66360565939771543</v>
      </c>
      <c r="S33" s="2250">
        <f>'SCG Table D '!R10/'SCG Table D1 '!S38</f>
        <v>0.62882632600258725</v>
      </c>
    </row>
    <row r="34" spans="1:19" ht="17.25" customHeight="1" x14ac:dyDescent="0.2">
      <c r="A34" s="985" t="s">
        <v>347</v>
      </c>
      <c r="B34" s="982"/>
      <c r="C34" s="155" t="s">
        <v>595</v>
      </c>
      <c r="D34" s="2250"/>
      <c r="E34" s="2250"/>
      <c r="F34" s="2250"/>
      <c r="G34" s="2250"/>
      <c r="H34" s="2250"/>
      <c r="I34" s="2250"/>
      <c r="J34" s="2250" t="e">
        <f>'SCG Table D '!#REF!/'SCG Table D1 '!J39</f>
        <v>#REF!</v>
      </c>
      <c r="K34" s="2250">
        <f>'SCG Table D '!J11/'SCG Table D1 '!K39</f>
        <v>0.28347058823529414</v>
      </c>
      <c r="L34" s="2250">
        <f>'SCG Table D '!K11/'SCG Table D1 '!L39</f>
        <v>0.30883739837398372</v>
      </c>
      <c r="M34" s="2250">
        <f>'SCG Table D '!L11/'SCG Table D1 '!M39</f>
        <v>0.37669027688345136</v>
      </c>
      <c r="N34" s="2250">
        <f>'SCG Table D '!M11/'SCG Table D1 '!N39</f>
        <v>0.3626326044598398</v>
      </c>
      <c r="O34" s="2250">
        <f>'SCG Table D '!N11/'SCG Table D1 '!O39</f>
        <v>0.375</v>
      </c>
      <c r="P34" s="2262">
        <f>'SCG Table D '!O11/'SCG Table D1 '!P39</f>
        <v>0.34513317785687986</v>
      </c>
      <c r="Q34" s="2250">
        <f>'SCG Table D '!P11/'SCG Table D1 '!Q39</f>
        <v>0.4131411259609698</v>
      </c>
      <c r="R34" s="2250">
        <f>'SCG Table D '!Q11/'SCG Table D1 '!R39</f>
        <v>0.46504269598743397</v>
      </c>
      <c r="S34" s="2250">
        <f>'SCG Table D '!R11/'SCG Table D1 '!S39</f>
        <v>0.62111693139574176</v>
      </c>
    </row>
    <row r="35" spans="1:19" ht="17.25" customHeight="1" x14ac:dyDescent="0.2">
      <c r="A35" s="985" t="s">
        <v>347</v>
      </c>
      <c r="B35" s="981"/>
      <c r="C35" s="871" t="s">
        <v>227</v>
      </c>
      <c r="D35" s="2262">
        <v>0</v>
      </c>
      <c r="E35" s="2262">
        <v>0</v>
      </c>
      <c r="F35" s="2262">
        <v>0</v>
      </c>
      <c r="G35" s="2262">
        <f>'SCG Table D '!G12/'SCG Table D1 '!G40</f>
        <v>0.37010968687342177</v>
      </c>
      <c r="H35" s="2262">
        <f>'SCG Table D '!H12/'SCG Table D1 '!H40</f>
        <v>0.40222033667047563</v>
      </c>
      <c r="I35" s="2262">
        <f>'SCG Table D '!I12/'SCG Table D1 '!I40</f>
        <v>0.60808194466689824</v>
      </c>
      <c r="J35" s="2262" t="e">
        <f>'SCG Table D '!#REF!/'SCG Table D1 '!J40</f>
        <v>#REF!</v>
      </c>
      <c r="K35" s="2262">
        <f>'SCG Table D '!J12/'SCG Table D1 '!K40</f>
        <v>1.3035711159737418</v>
      </c>
      <c r="L35" s="2262">
        <f>'SCG Table D '!K12/'SCG Table D1 '!L40</f>
        <v>0.39866950354609931</v>
      </c>
      <c r="M35" s="2262">
        <f>'SCG Table D '!L12/'SCG Table D1 '!M40</f>
        <v>0.76391231028667794</v>
      </c>
      <c r="N35" s="2262">
        <f>'SCG Table D '!M12/'SCG Table D1 '!N40</f>
        <v>0.48977987421383645</v>
      </c>
      <c r="O35" s="2262">
        <f>'SCG Table D '!N12/'SCG Table D1 '!O40</f>
        <v>1.0594594594594595</v>
      </c>
      <c r="P35" s="2262">
        <f>'SCG Table D '!O12/'SCG Table D1 '!P40</f>
        <v>-0.54030443974630016</v>
      </c>
      <c r="Q35" s="2262">
        <f>'SCG Table D '!P12/'SCG Table D1 '!Q40</f>
        <v>0.75875951293759514</v>
      </c>
      <c r="R35" s="2262">
        <f>'SCG Table D '!Q12/'SCG Table D1 '!R40</f>
        <v>1.0365391498881433</v>
      </c>
      <c r="S35" s="2262">
        <f>'SCG Table D '!R12/'SCG Table D1 '!S40</f>
        <v>2.1190560056357872E-3</v>
      </c>
    </row>
    <row r="36" spans="1:19" ht="17.25" customHeight="1" x14ac:dyDescent="0.2">
      <c r="A36" s="985" t="s">
        <v>347</v>
      </c>
      <c r="B36" s="982"/>
      <c r="C36" s="155" t="s">
        <v>529</v>
      </c>
      <c r="D36" s="2250">
        <v>0</v>
      </c>
      <c r="E36" s="2250">
        <v>0</v>
      </c>
      <c r="F36" s="2250">
        <v>0</v>
      </c>
      <c r="G36" s="2250"/>
      <c r="H36" s="2250"/>
      <c r="I36" s="2250"/>
      <c r="J36" s="2250"/>
      <c r="K36" s="2250"/>
      <c r="L36" s="2250"/>
      <c r="M36" s="2250"/>
      <c r="N36" s="2250"/>
      <c r="O36" s="2250"/>
      <c r="P36" s="2262" t="str">
        <f>IFERROR('SCG Table D '!O13/'SCG Table D1 '!P41,"NA")</f>
        <v>NA</v>
      </c>
      <c r="Q36" s="2250">
        <f>'SCG Table D '!P13/'SCG Table D1 '!Q41</f>
        <v>0.14885055</v>
      </c>
      <c r="R36" s="2262" t="str">
        <f>IFERROR('SCG Table D '!Q13/'SCG Table D1 '!R41,"NA")</f>
        <v>NA</v>
      </c>
      <c r="S36" s="2250">
        <f>'SCG Table D '!R13/'SCG Table D1 '!S41</f>
        <v>0.67809813084112147</v>
      </c>
    </row>
    <row r="37" spans="1:19" ht="17.25" hidden="1" customHeight="1" thickBot="1" x14ac:dyDescent="0.25">
      <c r="A37" s="985" t="s">
        <v>347</v>
      </c>
      <c r="B37" s="982"/>
      <c r="C37" s="969" t="s">
        <v>110</v>
      </c>
      <c r="D37" s="2263">
        <v>0</v>
      </c>
      <c r="E37" s="2263">
        <v>0</v>
      </c>
      <c r="F37" s="2263">
        <f>'SCG Table D '!F14/'SCG Table D1 '!F42</f>
        <v>0.35251149860270142</v>
      </c>
      <c r="G37" s="2263">
        <f>'SCG Table D '!G14/'SCG Table D1 '!G42</f>
        <v>0.28134432503957263</v>
      </c>
      <c r="H37" s="2263">
        <f>'SCG Table D '!H14/'SCG Table D1 '!H42</f>
        <v>0.2551728367528992</v>
      </c>
      <c r="I37" s="2263">
        <f>'SCG Table D '!I14/'SCG Table D1 '!I42</f>
        <v>0.15233829787234041</v>
      </c>
      <c r="J37" s="2263"/>
      <c r="K37" s="2263"/>
      <c r="L37" s="2263"/>
      <c r="M37" s="2263"/>
      <c r="N37" s="2263"/>
      <c r="O37" s="2263"/>
      <c r="P37" s="2671"/>
      <c r="Q37" s="2263"/>
      <c r="R37" s="2263"/>
      <c r="S37" s="2263"/>
    </row>
    <row r="38" spans="1:19" ht="17.25" customHeight="1" thickBot="1" x14ac:dyDescent="0.3">
      <c r="A38" s="985" t="s">
        <v>347</v>
      </c>
      <c r="B38" s="982"/>
      <c r="C38" s="233" t="s">
        <v>30</v>
      </c>
      <c r="D38" s="2634">
        <f>'SCG Table D '!D15/'SCG Table D1 '!D43</f>
        <v>0.34011629259757359</v>
      </c>
      <c r="E38" s="2634">
        <f>'SCG Table D '!E15/'SCG Table D1 '!E43</f>
        <v>0.36065214659657724</v>
      </c>
      <c r="F38" s="2634">
        <f>'SCG Table D '!F15/'SCG Table D1 '!F43</f>
        <v>0.31153811481525312</v>
      </c>
      <c r="G38" s="2634">
        <f>'SCG Table D '!G15/'SCG Table D1 '!G43</f>
        <v>0.18022811894041535</v>
      </c>
      <c r="H38" s="2634">
        <f>'SCG Table D '!H15/'SCG Table D1 '!H43</f>
        <v>0.25260674744441097</v>
      </c>
      <c r="I38" s="2634">
        <f>'SCG Table D '!I15/'SCG Table D1 '!I43</f>
        <v>0.36162237867089253</v>
      </c>
      <c r="J38" s="2634" t="e">
        <f>'SCG Table D '!#REF!/'SCG Table D1 '!J43</f>
        <v>#REF!</v>
      </c>
      <c r="K38" s="2634">
        <f>'SCG Table D '!J15/'SCG Table D1 '!K43</f>
        <v>0.3098578448756269</v>
      </c>
      <c r="L38" s="2634">
        <f>'SCG Table D '!K15/'SCG Table D1 '!L43</f>
        <v>0.35273084653858738</v>
      </c>
      <c r="M38" s="2634">
        <f>'SCG Table D '!L15/'SCG Table D1 '!M43</f>
        <v>0.42813809042322692</v>
      </c>
      <c r="N38" s="2634">
        <f>'SCG Table D '!M15/'SCG Table D1 '!N43</f>
        <v>0.45885585458644496</v>
      </c>
      <c r="O38" s="2634">
        <f>'SCG Table D '!N15/'SCG Table D1 '!O43</f>
        <v>0.49819296040226274</v>
      </c>
      <c r="P38" s="2663">
        <f>'SCG Table D '!O15/'SCG Table D1 '!P43</f>
        <v>0.38685884838880086</v>
      </c>
      <c r="Q38" s="2634">
        <f>'SCG Table D '!P15/'SCG Table D1 '!Q43</f>
        <v>0.44737801192444504</v>
      </c>
      <c r="R38" s="2634">
        <f>'SCG Table D '!Q15/'SCG Table D1 '!R43</f>
        <v>0.59881166912850803</v>
      </c>
      <c r="S38" s="2634">
        <f>'SCG Table D '!R15/'SCG Table D1 '!S43</f>
        <v>0.54327647591270234</v>
      </c>
    </row>
    <row r="39" spans="1:19" ht="17.25" customHeight="1" thickBot="1" x14ac:dyDescent="0.3">
      <c r="A39" s="994" t="s">
        <v>347</v>
      </c>
      <c r="B39" s="981"/>
      <c r="C39" s="164"/>
      <c r="D39" s="2257"/>
      <c r="E39" s="2257"/>
      <c r="F39" s="2257"/>
      <c r="G39" s="2257"/>
      <c r="H39" s="2257"/>
      <c r="I39" s="2257"/>
      <c r="J39" s="2257"/>
      <c r="K39" s="2257"/>
      <c r="L39" s="2257"/>
      <c r="M39" s="2257"/>
      <c r="N39" s="2257"/>
      <c r="O39" s="2257"/>
      <c r="P39" s="2664"/>
      <c r="Q39" s="2257"/>
      <c r="R39" s="2257"/>
      <c r="S39" s="2257"/>
    </row>
    <row r="40" spans="1:19" ht="17.25" customHeight="1" thickBot="1" x14ac:dyDescent="0.3">
      <c r="A40" s="981"/>
      <c r="B40" s="981"/>
      <c r="C40" s="1027" t="s">
        <v>6</v>
      </c>
      <c r="D40" s="2258"/>
      <c r="E40" s="2258"/>
      <c r="F40" s="2258"/>
      <c r="G40" s="2258"/>
      <c r="H40" s="2258"/>
      <c r="I40" s="2258"/>
      <c r="J40" s="2258"/>
      <c r="K40" s="2258"/>
      <c r="L40" s="2258"/>
      <c r="M40" s="2259"/>
      <c r="N40" s="2259"/>
      <c r="O40" s="2259"/>
      <c r="P40" s="2665"/>
      <c r="Q40" s="2259"/>
      <c r="R40" s="2259"/>
      <c r="S40" s="2259"/>
    </row>
    <row r="41" spans="1:19" ht="17.25" customHeight="1" x14ac:dyDescent="0.2">
      <c r="A41" s="28"/>
      <c r="B41" s="981"/>
      <c r="C41" s="695" t="s">
        <v>112</v>
      </c>
      <c r="D41" s="2260">
        <v>0</v>
      </c>
      <c r="E41" s="2260">
        <v>0</v>
      </c>
      <c r="F41" s="2260">
        <f>'SCG Table D '!F18/'SCG Table D1 '!F46</f>
        <v>0.34441564597563973</v>
      </c>
      <c r="G41" s="2260">
        <f>'SCG Table D '!G18/'SCG Table D1 '!G46</f>
        <v>0.30151989272013108</v>
      </c>
      <c r="H41" s="2260">
        <f>'SCG Table D '!H18/'SCG Table D1 '!H46</f>
        <v>0.19780816785550567</v>
      </c>
      <c r="I41" s="2260">
        <f>'SCG Table D '!I18/'SCG Table D1 '!I46</f>
        <v>0.42656223109290881</v>
      </c>
      <c r="J41" s="2260" t="e">
        <f>'SCG Table D '!#REF!/'SCG Table D1 '!J46</f>
        <v>#REF!</v>
      </c>
      <c r="K41" s="2260">
        <f>'SCG Table D '!J18/'SCG Table D1 '!K46</f>
        <v>0.15544157002676182</v>
      </c>
      <c r="L41" s="2260">
        <f>'SCG Table D '!K18/'SCG Table D1 '!L46</f>
        <v>0.44414495357891587</v>
      </c>
      <c r="M41" s="2260">
        <f>'SCG Table D '!L18/'SCG Table D1 '!M46</f>
        <v>0.42889699179580676</v>
      </c>
      <c r="N41" s="2260">
        <f>'SCG Table D '!M18/'SCG Table D1 '!N46</f>
        <v>0.16540655259318213</v>
      </c>
      <c r="O41" s="2260">
        <f>'SCG Table D '!N18/'SCG Table D1 '!O46</f>
        <v>0.45372567631703842</v>
      </c>
      <c r="P41" s="2666">
        <f>'SCG Table D '!O18/'SCG Table D1 '!P46</f>
        <v>0.45776385542168679</v>
      </c>
      <c r="Q41" s="2260">
        <f>'SCG Table D '!P18/'SCG Table D1 '!Q46</f>
        <v>0.40784331337325352</v>
      </c>
      <c r="R41" s="2260">
        <f>'SCG Table D '!Q18/'SCG Table D1 '!R46</f>
        <v>0.40074563359345972</v>
      </c>
      <c r="S41" s="2260">
        <f>'SCG Table D '!R18/'SCG Table D1 '!S46</f>
        <v>0.89516723129042197</v>
      </c>
    </row>
    <row r="42" spans="1:19" ht="17.25" customHeight="1" thickBot="1" x14ac:dyDescent="0.25">
      <c r="A42" s="1003"/>
      <c r="B42" s="981"/>
      <c r="C42" s="2759" t="s">
        <v>116</v>
      </c>
      <c r="D42" s="2760">
        <v>0</v>
      </c>
      <c r="E42" s="2250">
        <v>0</v>
      </c>
      <c r="F42" s="2250">
        <f>'SCG Table D '!F19/'SCG Table D1 '!F47</f>
        <v>0.30879078694817658</v>
      </c>
      <c r="G42" s="2250">
        <f>'SCG Table D '!G19/'SCG Table D1 '!G47</f>
        <v>0.29451655338741506</v>
      </c>
      <c r="H42" s="2250">
        <f>'SCG Table D '!H19/'SCG Table D1 '!H47</f>
        <v>0.21143558162218817</v>
      </c>
      <c r="I42" s="2250">
        <f>'SCG Table D '!I19/'SCG Table D1 '!I47</f>
        <v>0.56548644960881811</v>
      </c>
      <c r="J42" s="2250" t="e">
        <f>'SCG Table D '!#REF!/'SCG Table D1 '!J47</f>
        <v>#REF!</v>
      </c>
      <c r="K42" s="2250">
        <f>'SCG Table D '!J19/'SCG Table D1 '!K47</f>
        <v>0.359603789836348</v>
      </c>
      <c r="L42" s="2250">
        <f>'SCG Table D '!K19/'SCG Table D1 '!L47</f>
        <v>0.1566498642884839</v>
      </c>
      <c r="M42" s="2250">
        <f>'SCG Table D '!L19/'SCG Table D1 '!M47</f>
        <v>0.19420650988942531</v>
      </c>
      <c r="N42" s="2250">
        <f>'SCG Table D '!M19/'SCG Table D1 '!N47</f>
        <v>0.11939711664482307</v>
      </c>
      <c r="O42" s="2250">
        <f>'SCG Table D '!N19/'SCG Table D1 '!O47</f>
        <v>0.32530933633295839</v>
      </c>
      <c r="P42" s="2262">
        <f>'SCG Table D '!O19/'SCG Table D1 '!P47</f>
        <v>0.17449754477180821</v>
      </c>
      <c r="Q42" s="2250">
        <f>'SCG Table D '!P19/'SCG Table D1 '!Q47</f>
        <v>0.1726533301953401</v>
      </c>
      <c r="R42" s="2250">
        <f>'SCG Table D '!Q19/'SCG Table D1 '!R47</f>
        <v>0.27465360713320724</v>
      </c>
      <c r="S42" s="2250">
        <f>'SCG Table D '!R19/'SCG Table D1 '!S47</f>
        <v>0.32464548205793342</v>
      </c>
    </row>
    <row r="43" spans="1:19" ht="17.25" customHeight="1" x14ac:dyDescent="0.2">
      <c r="A43" s="1003" t="s">
        <v>348</v>
      </c>
      <c r="B43" s="981"/>
      <c r="C43" s="2196" t="s">
        <v>581</v>
      </c>
      <c r="D43" s="2635">
        <v>0</v>
      </c>
      <c r="E43" s="2260">
        <v>0</v>
      </c>
      <c r="F43" s="2260">
        <f>'SCG Table D '!F20/'SCG Table D1 '!F48</f>
        <v>0.67414669571532315</v>
      </c>
      <c r="G43" s="2260">
        <v>0</v>
      </c>
      <c r="H43" s="2261">
        <f>'SCG Table D '!H20/'SCG Table D1 '!H48</f>
        <v>0.30550436999271663</v>
      </c>
      <c r="I43" s="2261">
        <f>'SCG Table D '!I20/'SCG Table D1 '!I48</f>
        <v>0.31198003557523668</v>
      </c>
      <c r="J43" s="2261" t="e">
        <f>'SCG Table D '!#REF!/'SCG Table D1 '!J48</f>
        <v>#REF!</v>
      </c>
      <c r="K43" s="2261">
        <f>'SCG Table D '!J20/'SCG Table D1 '!K48</f>
        <v>-4.6511627906976744E-2</v>
      </c>
      <c r="L43" s="2261">
        <f>'SCG Table D '!K20/'SCG Table D1 '!L48</f>
        <v>4.4550594097355312</v>
      </c>
      <c r="M43" s="2261">
        <f>'SCG Table D '!L20/'SCG Table D1 '!M48</f>
        <v>5.36</v>
      </c>
      <c r="N43" s="2261">
        <f>'SCG Table D '!M20/'SCG Table D1 '!N48</f>
        <v>0.20116618075801748</v>
      </c>
      <c r="O43" s="2261">
        <f>'SCG Table D '!N20/'SCG Table D1 '!O48</f>
        <v>0.2110912343470483</v>
      </c>
      <c r="P43" s="2667">
        <f>'SCG Table D '!O20/'SCG Table D1 '!P48</f>
        <v>9.7577412116679141E-2</v>
      </c>
      <c r="Q43" s="2261">
        <f>'SCG Table D '!P20/'SCG Table D1 '!Q48</f>
        <v>0.18339312267657992</v>
      </c>
      <c r="R43" s="2261">
        <f>'SCG Table D '!Q20/'SCG Table D1 '!R48</f>
        <v>0.20757842248413419</v>
      </c>
      <c r="S43" s="2261">
        <f>'SCG Table D '!R20/'SCG Table D1 '!S48</f>
        <v>0.15073970944309928</v>
      </c>
    </row>
    <row r="44" spans="1:19" ht="17.25" customHeight="1" thickBot="1" x14ac:dyDescent="0.25">
      <c r="A44" s="1003" t="s">
        <v>348</v>
      </c>
      <c r="B44" s="981"/>
      <c r="C44" s="930" t="s">
        <v>245</v>
      </c>
      <c r="D44" s="2250">
        <v>0</v>
      </c>
      <c r="E44" s="2250">
        <v>0</v>
      </c>
      <c r="F44" s="2250">
        <v>0</v>
      </c>
      <c r="G44" s="2250">
        <v>0</v>
      </c>
      <c r="H44" s="2250">
        <v>0</v>
      </c>
      <c r="I44" s="2250">
        <v>0</v>
      </c>
      <c r="J44" s="2638" t="e">
        <f>'SCG Table D '!#REF!/'SCG Table D1 '!J49</f>
        <v>#REF!</v>
      </c>
      <c r="K44" s="2638">
        <f>'SCG Table D '!J21/'SCG Table D1 '!K49</f>
        <v>0.60526315789473684</v>
      </c>
      <c r="L44" s="2638">
        <f>'SCG Table D '!K21/'SCG Table D1 '!L49</f>
        <v>0.27696078431372551</v>
      </c>
      <c r="M44" s="2638">
        <f>'SCG Table D '!L21/'SCG Table D1 '!M49</f>
        <v>0.23185011709601874</v>
      </c>
      <c r="N44" s="2638">
        <f>'SCG Table D '!M21/'SCG Table D1 '!N49</f>
        <v>0.26927374301675977</v>
      </c>
      <c r="O44" s="2638">
        <f>'SCG Table D '!N21/'SCG Table D1 '!O49</f>
        <v>0.35844748858447489</v>
      </c>
      <c r="P44" s="2668">
        <f>'SCG Table D '!O21/'SCG Table D1 '!P49</f>
        <v>0.19074083769633507</v>
      </c>
      <c r="Q44" s="2638">
        <f>'SCG Table D '!P21/'SCG Table D1 '!Q49</f>
        <v>0.56825721784776906</v>
      </c>
      <c r="R44" s="2638">
        <f>'SCG Table D '!Q21/'SCG Table D1 '!R49</f>
        <v>0.84900714285714285</v>
      </c>
      <c r="S44" s="2638">
        <f>'SCG Table D '!R21/'SCG Table D1 '!S49</f>
        <v>1.1334523809523809</v>
      </c>
    </row>
    <row r="45" spans="1:19" ht="17.25" customHeight="1" thickBot="1" x14ac:dyDescent="0.3">
      <c r="A45" s="1003" t="s">
        <v>348</v>
      </c>
      <c r="B45" s="981"/>
      <c r="C45" s="26" t="s">
        <v>206</v>
      </c>
      <c r="D45" s="2636">
        <v>0</v>
      </c>
      <c r="E45" s="2636">
        <v>0</v>
      </c>
      <c r="F45" s="2636" t="e">
        <f>'SCG Table D '!F22/'SCG Table D1 '!F50</f>
        <v>#REF!</v>
      </c>
      <c r="G45" s="2636" t="e">
        <f>'SCG Table D '!G22/'SCG Table D1 '!G50</f>
        <v>#REF!</v>
      </c>
      <c r="H45" s="2636" t="e">
        <f>'SCG Table D '!H22/'SCG Table D1 '!H50</f>
        <v>#REF!</v>
      </c>
      <c r="I45" s="2636" t="e">
        <f>'SCG Table D '!I22/'SCG Table D1 '!I50</f>
        <v>#REF!</v>
      </c>
      <c r="J45" s="2636" t="e">
        <f>'SCG Table D '!#REF!/'SCG Table D1 '!J50</f>
        <v>#REF!</v>
      </c>
      <c r="K45" s="2636">
        <f>'SCG Table D '!J22/'SCG Table D1 '!K50</f>
        <v>0.21710882512181917</v>
      </c>
      <c r="L45" s="2636">
        <f>'SCG Table D '!K22/'SCG Table D1 '!L50</f>
        <v>0.27485958061950083</v>
      </c>
      <c r="M45" s="2636">
        <f>'SCG Table D '!L22/'SCG Table D1 '!M50</f>
        <v>0.26701224219697806</v>
      </c>
      <c r="N45" s="2636">
        <f>'SCG Table D '!M22/'SCG Table D1 '!N50</f>
        <v>0.1504235996830621</v>
      </c>
      <c r="O45" s="2636">
        <f>'SCG Table D '!N22/'SCG Table D1 '!O50</f>
        <v>0.35461650549741686</v>
      </c>
      <c r="P45" s="2669">
        <f>'SCG Table D '!O22/'SCG Table D1 '!P50</f>
        <v>0.21075735222750655</v>
      </c>
      <c r="Q45" s="2636">
        <f>'SCG Table D '!P22/'SCG Table D1 '!Q50</f>
        <v>0.27243089990817265</v>
      </c>
      <c r="R45" s="2636">
        <f>'SCG Table D '!Q22/'SCG Table D1 '!R50</f>
        <v>0.32868497211830305</v>
      </c>
      <c r="S45" s="2636">
        <f>'SCG Table D '!R22/'SCG Table D1 '!S50</f>
        <v>0.57114361001317515</v>
      </c>
    </row>
    <row r="46" spans="1:19" x14ac:dyDescent="0.2">
      <c r="L46" s="3"/>
      <c r="M46" s="3"/>
      <c r="R46"/>
    </row>
  </sheetData>
  <printOptions horizontalCentered="1"/>
  <pageMargins left="0.5" right="0.5" top="0.75" bottom="0.75" header="0.5" footer="0.25"/>
  <pageSetup scale="60" orientation="landscape" r:id="rId1"/>
  <headerFooter alignWithMargins="0">
    <oddFooter>&amp;C&amp;1#&amp;"Calibri"&amp;12&amp;K008000Internal Use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tabColor rgb="FF00FF00"/>
  </sheetPr>
  <dimension ref="A1:U49"/>
  <sheetViews>
    <sheetView topLeftCell="A22" workbookViewId="0">
      <selection activeCell="C9" sqref="C9:E10"/>
    </sheetView>
  </sheetViews>
  <sheetFormatPr defaultRowHeight="12.75" x14ac:dyDescent="0.2"/>
  <cols>
    <col min="1" max="1" width="32.5703125" style="1039" customWidth="1"/>
    <col min="2" max="2" width="3.5703125" style="1039" customWidth="1"/>
    <col min="3" max="3" width="14.42578125" style="1039" customWidth="1"/>
    <col min="4" max="6" width="13.28515625" style="1039" customWidth="1"/>
    <col min="7" max="7" width="14" style="1039" customWidth="1"/>
    <col min="8" max="9" width="12.28515625" style="1039" bestFit="1" customWidth="1"/>
    <col min="10" max="18" width="9.140625" style="1039"/>
    <col min="19" max="19" width="12.85546875" style="1039" customWidth="1"/>
    <col min="20" max="16384" width="9.140625" style="1039"/>
  </cols>
  <sheetData>
    <row r="1" spans="1:19" ht="15" x14ac:dyDescent="0.25">
      <c r="A1" s="2856" t="s">
        <v>471</v>
      </c>
      <c r="B1" s="2856"/>
      <c r="C1" s="2856"/>
      <c r="D1" s="2856"/>
      <c r="E1" s="2856"/>
      <c r="F1" s="1187"/>
      <c r="O1" s="1188"/>
      <c r="P1" s="1188"/>
      <c r="Q1" s="1188"/>
      <c r="R1" s="1188"/>
      <c r="S1" s="1188"/>
    </row>
    <row r="2" spans="1:19" ht="15" x14ac:dyDescent="0.25">
      <c r="A2" s="1189"/>
      <c r="O2" s="1188"/>
      <c r="P2" s="1188"/>
      <c r="Q2" s="1188"/>
      <c r="R2" s="1188"/>
      <c r="S2" s="1188"/>
    </row>
    <row r="3" spans="1:19" x14ac:dyDescent="0.2">
      <c r="O3" s="1190"/>
      <c r="P3" s="1191"/>
      <c r="Q3" s="1192"/>
      <c r="R3" s="1192"/>
      <c r="S3" s="1188"/>
    </row>
    <row r="4" spans="1:19" x14ac:dyDescent="0.2">
      <c r="O4" s="1193"/>
      <c r="P4" s="1191"/>
      <c r="Q4" s="1192"/>
      <c r="R4" s="1192"/>
      <c r="S4" s="1188"/>
    </row>
    <row r="5" spans="1:19" x14ac:dyDescent="0.2">
      <c r="O5" s="1193"/>
      <c r="P5" s="1191"/>
      <c r="Q5" s="1192"/>
      <c r="R5" s="1192"/>
      <c r="S5" s="1188"/>
    </row>
    <row r="6" spans="1:19" x14ac:dyDescent="0.2">
      <c r="O6" s="1193"/>
      <c r="P6" s="1191"/>
      <c r="Q6" s="1192"/>
      <c r="R6" s="1192"/>
      <c r="S6" s="1188"/>
    </row>
    <row r="7" spans="1:19" x14ac:dyDescent="0.2">
      <c r="O7" s="1193"/>
      <c r="P7" s="1191"/>
      <c r="Q7" s="1192"/>
      <c r="R7" s="1192"/>
      <c r="S7" s="1188"/>
    </row>
    <row r="8" spans="1:19" x14ac:dyDescent="0.2">
      <c r="O8" s="1192"/>
      <c r="P8" s="1192"/>
      <c r="Q8" s="1192"/>
      <c r="R8" s="1192"/>
      <c r="S8" s="1188"/>
    </row>
    <row r="9" spans="1:19" x14ac:dyDescent="0.2">
      <c r="O9" s="1190"/>
      <c r="P9" s="1192"/>
      <c r="Q9" s="1192"/>
      <c r="R9" s="1192"/>
      <c r="S9" s="1188"/>
    </row>
    <row r="10" spans="1:19" x14ac:dyDescent="0.2">
      <c r="O10" s="1192"/>
      <c r="P10" s="1192"/>
      <c r="Q10" s="1192"/>
      <c r="R10" s="1192"/>
      <c r="S10" s="1188"/>
    </row>
    <row r="11" spans="1:19" x14ac:dyDescent="0.2">
      <c r="O11" s="1192"/>
      <c r="P11" s="1191"/>
      <c r="Q11" s="1192"/>
      <c r="R11" s="1192"/>
      <c r="S11" s="1188"/>
    </row>
    <row r="12" spans="1:19" x14ac:dyDescent="0.2">
      <c r="O12" s="1192"/>
      <c r="P12" s="1191"/>
      <c r="Q12" s="1192"/>
      <c r="R12" s="1192"/>
      <c r="S12" s="1188"/>
    </row>
    <row r="13" spans="1:19" x14ac:dyDescent="0.2">
      <c r="O13" s="1192"/>
      <c r="P13" s="1192"/>
      <c r="Q13" s="1192"/>
      <c r="R13" s="1192"/>
      <c r="S13" s="1188"/>
    </row>
    <row r="14" spans="1:19" x14ac:dyDescent="0.2">
      <c r="O14" s="1188"/>
      <c r="P14" s="1188"/>
      <c r="Q14" s="1188"/>
      <c r="R14" s="1188"/>
      <c r="S14" s="1188"/>
    </row>
    <row r="15" spans="1:19" x14ac:dyDescent="0.2">
      <c r="O15" s="1190"/>
      <c r="P15" s="1191"/>
      <c r="Q15" s="1192"/>
      <c r="R15" s="1192"/>
      <c r="S15" s="1188"/>
    </row>
    <row r="16" spans="1:19" x14ac:dyDescent="0.2">
      <c r="O16" s="1193"/>
      <c r="P16" s="1191"/>
      <c r="Q16" s="1192"/>
      <c r="R16" s="1192"/>
      <c r="S16" s="1188"/>
    </row>
    <row r="17" spans="1:21" x14ac:dyDescent="0.2">
      <c r="O17" s="1193"/>
      <c r="P17" s="1191"/>
      <c r="Q17" s="1192"/>
      <c r="R17" s="1192"/>
      <c r="S17" s="1188"/>
    </row>
    <row r="18" spans="1:21" x14ac:dyDescent="0.2">
      <c r="O18" s="1193"/>
      <c r="P18" s="1191"/>
      <c r="Q18" s="1192"/>
      <c r="R18" s="1192"/>
      <c r="S18" s="1188"/>
    </row>
    <row r="19" spans="1:21" x14ac:dyDescent="0.2">
      <c r="O19" s="1193"/>
      <c r="P19" s="1191"/>
      <c r="Q19" s="1192"/>
      <c r="R19" s="1192"/>
      <c r="S19" s="1188"/>
    </row>
    <row r="20" spans="1:21" x14ac:dyDescent="0.2">
      <c r="O20" s="1192"/>
      <c r="P20" s="1192"/>
      <c r="Q20" s="1192"/>
      <c r="R20" s="1192"/>
      <c r="S20" s="1188"/>
    </row>
    <row r="21" spans="1:21" x14ac:dyDescent="0.2">
      <c r="O21" s="1190"/>
      <c r="P21" s="1192"/>
      <c r="Q21" s="1192"/>
      <c r="R21" s="1192"/>
      <c r="S21" s="1188"/>
    </row>
    <row r="22" spans="1:21" x14ac:dyDescent="0.2">
      <c r="O22" s="1192"/>
      <c r="P22" s="1192"/>
      <c r="Q22" s="1192"/>
      <c r="R22" s="1192"/>
      <c r="S22" s="1188"/>
    </row>
    <row r="23" spans="1:21" ht="13.5" customHeight="1" x14ac:dyDescent="0.2">
      <c r="O23" s="1192"/>
      <c r="P23" s="1191"/>
      <c r="Q23" s="1192"/>
      <c r="R23" s="1192"/>
      <c r="S23" s="1188"/>
    </row>
    <row r="24" spans="1:21" ht="13.5" customHeight="1" x14ac:dyDescent="0.2">
      <c r="O24" s="1192"/>
      <c r="P24" s="1191"/>
      <c r="Q24" s="1192"/>
      <c r="R24" s="1192"/>
      <c r="S24" s="1188"/>
    </row>
    <row r="25" spans="1:21" s="1188" customFormat="1" ht="13.5" customHeight="1" x14ac:dyDescent="0.2">
      <c r="O25" s="1039"/>
      <c r="P25" s="1039"/>
      <c r="Q25" s="1039"/>
      <c r="R25" s="1039"/>
      <c r="S25" s="1039"/>
      <c r="T25" s="1039"/>
    </row>
    <row r="26" spans="1:21" s="1188" customFormat="1" ht="13.5" customHeight="1" x14ac:dyDescent="0.2">
      <c r="O26" s="1039"/>
      <c r="P26" s="1039"/>
      <c r="Q26" s="1039"/>
      <c r="R26" s="1039"/>
      <c r="S26" s="1039"/>
      <c r="T26" s="1039"/>
    </row>
    <row r="27" spans="1:21" x14ac:dyDescent="0.2">
      <c r="O27" s="1194"/>
      <c r="T27" s="1195"/>
    </row>
    <row r="28" spans="1:21" ht="44.25" customHeight="1" x14ac:dyDescent="0.2">
      <c r="A28" s="1196" t="s">
        <v>20</v>
      </c>
      <c r="B28" s="1196"/>
      <c r="C28" s="1196" t="s">
        <v>26</v>
      </c>
      <c r="D28" s="1196" t="s">
        <v>57</v>
      </c>
      <c r="E28" s="1196" t="s">
        <v>21</v>
      </c>
      <c r="F28" s="1197"/>
      <c r="G28" s="1197"/>
      <c r="H28" s="1198"/>
      <c r="I28" s="1095"/>
      <c r="O28" s="1192"/>
      <c r="P28" s="1192"/>
      <c r="Q28" s="1199"/>
      <c r="R28" s="1199"/>
      <c r="S28" s="1200"/>
      <c r="T28" s="1201"/>
      <c r="U28" s="1199"/>
    </row>
    <row r="29" spans="1:21" x14ac:dyDescent="0.2">
      <c r="A29" s="1202" t="s">
        <v>228</v>
      </c>
      <c r="B29" s="1203"/>
      <c r="C29" s="1204">
        <v>2634500</v>
      </c>
      <c r="D29" s="1205">
        <f>C29/C42</f>
        <v>0.18520959546695209</v>
      </c>
      <c r="E29" s="1206">
        <f>C29/C36</f>
        <v>0.20704153404848913</v>
      </c>
      <c r="F29" s="1205"/>
      <c r="G29" s="1205"/>
      <c r="H29" s="1095"/>
      <c r="I29" s="1095"/>
      <c r="O29" s="1192"/>
      <c r="P29" s="1192"/>
      <c r="Q29" s="1199"/>
      <c r="R29" s="1199"/>
      <c r="S29" s="1200"/>
      <c r="T29" s="1201"/>
      <c r="U29" s="1199"/>
    </row>
    <row r="30" spans="1:21" x14ac:dyDescent="0.2">
      <c r="A30" s="1202" t="s">
        <v>229</v>
      </c>
      <c r="B30" s="1203"/>
      <c r="C30" s="1204">
        <v>5274000</v>
      </c>
      <c r="D30" s="1205">
        <f>C30/C42</f>
        <v>0.37077069899134762</v>
      </c>
      <c r="E30" s="1206">
        <f>C30/C36</f>
        <v>0.41447601084521984</v>
      </c>
      <c r="F30" s="1205"/>
      <c r="G30" s="1205"/>
      <c r="H30" s="1095"/>
      <c r="I30" s="1207"/>
      <c r="J30" s="1208"/>
      <c r="K30" s="1208"/>
      <c r="L30" s="1208"/>
      <c r="M30" s="1208"/>
      <c r="O30" s="1192"/>
      <c r="P30" s="1192"/>
      <c r="Q30" s="1199"/>
      <c r="R30" s="1199"/>
      <c r="S30" s="1200"/>
      <c r="T30" s="1201"/>
      <c r="U30" s="1199"/>
    </row>
    <row r="31" spans="1:21" x14ac:dyDescent="0.2">
      <c r="A31" s="1209" t="s">
        <v>22</v>
      </c>
      <c r="B31" s="1210"/>
      <c r="C31" s="1211">
        <f>SUM(C29:C30)</f>
        <v>7908500</v>
      </c>
      <c r="D31" s="1212">
        <f>SUM(D29:D30)</f>
        <v>0.55598029445829966</v>
      </c>
      <c r="E31" s="1212">
        <f>SUM(E29:E30)</f>
        <v>0.62151754489370892</v>
      </c>
      <c r="F31" s="1205"/>
      <c r="G31" s="1205"/>
      <c r="H31" s="1095"/>
      <c r="I31" s="1095"/>
      <c r="O31" s="1192"/>
      <c r="P31" s="1192"/>
      <c r="Q31" s="1199"/>
      <c r="R31" s="1199"/>
      <c r="S31" s="1200"/>
      <c r="T31" s="1201"/>
      <c r="U31" s="1199"/>
    </row>
    <row r="32" spans="1:21" x14ac:dyDescent="0.2">
      <c r="A32" s="1203"/>
      <c r="B32" s="1203"/>
      <c r="C32" s="1213"/>
      <c r="D32" s="1205"/>
      <c r="E32" s="1206"/>
      <c r="F32" s="1205"/>
      <c r="G32" s="1205"/>
      <c r="H32" s="1214"/>
      <c r="I32" s="1214"/>
      <c r="O32" s="1199"/>
      <c r="P32" s="1199"/>
      <c r="Q32" s="1199"/>
      <c r="R32" s="1199"/>
      <c r="S32" s="1199"/>
      <c r="T32" s="1199"/>
      <c r="U32" s="1199"/>
    </row>
    <row r="33" spans="1:21" x14ac:dyDescent="0.2">
      <c r="A33" s="1202" t="s">
        <v>56</v>
      </c>
      <c r="B33" s="1203"/>
      <c r="C33" s="1213">
        <v>4816000</v>
      </c>
      <c r="D33" s="1205">
        <f>SUM(C33/C42)</f>
        <v>0.33857256092952792</v>
      </c>
      <c r="E33" s="1206">
        <f>SUM(C33/C36)</f>
        <v>0.37848245510629103</v>
      </c>
      <c r="F33" s="1205"/>
      <c r="G33" s="1205"/>
      <c r="H33" s="1214"/>
      <c r="I33" s="1214"/>
      <c r="O33" s="1199"/>
      <c r="P33" s="1199"/>
      <c r="Q33" s="1199"/>
      <c r="R33" s="1199"/>
      <c r="S33" s="1199"/>
      <c r="T33" s="1199"/>
      <c r="U33" s="1199"/>
    </row>
    <row r="34" spans="1:21" x14ac:dyDescent="0.2">
      <c r="A34" s="1209" t="s">
        <v>23</v>
      </c>
      <c r="B34" s="1210"/>
      <c r="C34" s="1211">
        <f>SUM(C32:C33)</f>
        <v>4816000</v>
      </c>
      <c r="D34" s="1212">
        <f>SUM(D32:D33)</f>
        <v>0.33857256092952792</v>
      </c>
      <c r="E34" s="1212">
        <f>SUM(E32:E33)</f>
        <v>0.37848245510629103</v>
      </c>
      <c r="F34" s="1205"/>
      <c r="G34" s="1205"/>
      <c r="H34" s="1095"/>
      <c r="I34" s="1215"/>
      <c r="O34" s="1199"/>
      <c r="P34" s="1199"/>
      <c r="Q34" s="1199"/>
      <c r="R34" s="1199"/>
      <c r="S34" s="1199"/>
      <c r="T34" s="1199"/>
      <c r="U34" s="1199"/>
    </row>
    <row r="35" spans="1:21" x14ac:dyDescent="0.2">
      <c r="A35" s="1095"/>
      <c r="B35" s="1095"/>
      <c r="C35" s="1095"/>
      <c r="D35" s="1216"/>
      <c r="E35" s="1216"/>
      <c r="F35" s="1217"/>
      <c r="G35" s="1217"/>
      <c r="H35" s="1095"/>
      <c r="I35" s="1215"/>
    </row>
    <row r="36" spans="1:21" x14ac:dyDescent="0.2">
      <c r="A36" s="1209" t="s">
        <v>29</v>
      </c>
      <c r="B36" s="1218"/>
      <c r="C36" s="1211">
        <f>C31+C34</f>
        <v>12724500</v>
      </c>
      <c r="D36" s="1212">
        <f>D31+D34</f>
        <v>0.89455285538782758</v>
      </c>
      <c r="E36" s="1212">
        <f>E31+E34</f>
        <v>1</v>
      </c>
      <c r="F36" s="1205"/>
      <c r="G36" s="1219"/>
      <c r="H36" s="1095"/>
      <c r="I36" s="1215"/>
    </row>
    <row r="37" spans="1:21" x14ac:dyDescent="0.2">
      <c r="A37" s="1203"/>
      <c r="B37" s="1203"/>
      <c r="C37" s="1213"/>
      <c r="D37" s="1206"/>
      <c r="E37" s="1220"/>
      <c r="F37" s="1221"/>
      <c r="G37" s="1221"/>
      <c r="H37" s="1095"/>
      <c r="I37" s="1222"/>
    </row>
    <row r="38" spans="1:21" s="1229" customFormat="1" ht="15" customHeight="1" x14ac:dyDescent="0.25">
      <c r="A38" s="1223" t="s">
        <v>24</v>
      </c>
      <c r="B38" s="1224"/>
      <c r="C38" s="1225"/>
      <c r="D38" s="1226"/>
      <c r="E38" s="1227"/>
      <c r="F38" s="1225"/>
      <c r="G38" s="1228"/>
      <c r="H38" s="1227"/>
      <c r="I38" s="1227"/>
    </row>
    <row r="39" spans="1:21" s="1229" customFormat="1" ht="15" customHeight="1" x14ac:dyDescent="0.2">
      <c r="A39" s="1202" t="s">
        <v>24</v>
      </c>
      <c r="B39" s="1203"/>
      <c r="C39" s="1230">
        <v>1499925</v>
      </c>
      <c r="D39" s="1205">
        <f>C39/C42</f>
        <v>0.10544714461217237</v>
      </c>
      <c r="E39" s="1227"/>
      <c r="F39" s="1225"/>
      <c r="G39" s="1228"/>
      <c r="H39" s="1227"/>
      <c r="I39" s="1227"/>
    </row>
    <row r="40" spans="1:21" s="1229" customFormat="1" ht="15" customHeight="1" x14ac:dyDescent="0.2">
      <c r="A40" s="1209" t="s">
        <v>25</v>
      </c>
      <c r="B40" s="1231"/>
      <c r="C40" s="1232">
        <f>SUM(C39)</f>
        <v>1499925</v>
      </c>
      <c r="D40" s="1233">
        <f>SUM(D39)</f>
        <v>0.10544714461217237</v>
      </c>
      <c r="E40" s="1234"/>
      <c r="F40" s="1225"/>
      <c r="G40" s="1235"/>
      <c r="H40" s="1227"/>
      <c r="I40" s="1227"/>
    </row>
    <row r="41" spans="1:21" s="1229" customFormat="1" x14ac:dyDescent="0.2">
      <c r="A41" s="1236"/>
      <c r="B41" s="1236"/>
      <c r="C41" s="76"/>
      <c r="D41" s="77"/>
      <c r="E41" s="78"/>
      <c r="F41" s="204"/>
      <c r="G41" s="1237"/>
      <c r="H41" s="1227"/>
      <c r="I41" s="1227"/>
    </row>
    <row r="42" spans="1:21" s="1229" customFormat="1" x14ac:dyDescent="0.2">
      <c r="A42" s="1238" t="s">
        <v>16</v>
      </c>
      <c r="B42" s="1238"/>
      <c r="C42" s="80">
        <f>C40+C36</f>
        <v>14224425</v>
      </c>
      <c r="D42" s="1206">
        <f>D36+D40</f>
        <v>1</v>
      </c>
      <c r="E42" s="1227"/>
      <c r="F42" s="1227"/>
      <c r="G42" s="1227"/>
      <c r="H42" s="1227"/>
      <c r="I42" s="1227"/>
    </row>
    <row r="43" spans="1:21" s="1241" customFormat="1" x14ac:dyDescent="0.2">
      <c r="A43" s="1239"/>
      <c r="B43" s="1239"/>
      <c r="C43" s="38"/>
      <c r="D43" s="1240"/>
    </row>
    <row r="44" spans="1:21" s="1241" customFormat="1" x14ac:dyDescent="0.2">
      <c r="A44" s="1242"/>
      <c r="B44" s="1242"/>
      <c r="C44" s="1242"/>
      <c r="D44" s="1242"/>
      <c r="E44" s="1242"/>
    </row>
    <row r="45" spans="1:21" s="1241" customFormat="1" x14ac:dyDescent="0.2">
      <c r="A45" s="1192"/>
      <c r="B45" s="1239"/>
      <c r="C45" s="38"/>
      <c r="D45" s="39"/>
      <c r="E45" s="39"/>
      <c r="F45" s="1243"/>
      <c r="G45" s="1244"/>
    </row>
    <row r="46" spans="1:21" s="1241" customFormat="1" x14ac:dyDescent="0.2">
      <c r="B46" s="1239"/>
      <c r="C46" s="38"/>
      <c r="D46" s="1244"/>
      <c r="E46" s="1244"/>
      <c r="F46" s="1244"/>
      <c r="G46" s="1244"/>
    </row>
    <row r="47" spans="1:21" s="1241" customFormat="1" x14ac:dyDescent="0.2">
      <c r="A47" s="1199"/>
      <c r="B47" s="1239"/>
      <c r="C47" s="38"/>
      <c r="D47" s="1229"/>
      <c r="E47" s="1229"/>
      <c r="F47" s="1229"/>
      <c r="G47" s="1229"/>
    </row>
    <row r="48" spans="1:21" x14ac:dyDescent="0.2">
      <c r="B48" s="1245"/>
      <c r="C48" s="42"/>
      <c r="D48" s="1199"/>
      <c r="E48" s="1199"/>
      <c r="F48" s="1199"/>
      <c r="G48" s="1199"/>
    </row>
    <row r="49" spans="2:7" x14ac:dyDescent="0.2">
      <c r="B49" s="1199"/>
      <c r="C49" s="1246"/>
      <c r="D49" s="1199"/>
      <c r="E49" s="1199"/>
      <c r="F49" s="1199"/>
      <c r="G49" s="1199"/>
    </row>
  </sheetData>
  <mergeCells count="1">
    <mergeCell ref="A1:E1"/>
  </mergeCells>
  <pageMargins left="0.7" right="0.7" top="0.75" bottom="0.75" header="0.3" footer="0.3"/>
  <pageSetup orientation="portrait" r:id="rId1"/>
  <headerFooter>
    <oddFooter>&amp;C&amp;1#&amp;"Calibri"&amp;12&amp;K008000Internal Use</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65">
    <pageSetUpPr fitToPage="1"/>
  </sheetPr>
  <dimension ref="A1:V28"/>
  <sheetViews>
    <sheetView zoomScale="90" zoomScaleNormal="90" workbookViewId="0">
      <selection activeCell="C67" sqref="C67:E67"/>
    </sheetView>
  </sheetViews>
  <sheetFormatPr defaultRowHeight="12.75" x14ac:dyDescent="0.2"/>
  <cols>
    <col min="1" max="1" width="6.28515625" customWidth="1"/>
    <col min="2" max="2" width="12.7109375" customWidth="1"/>
    <col min="3" max="3" width="60.7109375" customWidth="1"/>
    <col min="4" max="10" width="11.7109375" hidden="1" customWidth="1"/>
    <col min="11" max="17" width="11.7109375" customWidth="1"/>
    <col min="18" max="18" width="11.7109375" style="3" customWidth="1"/>
    <col min="19" max="19" width="11.7109375" customWidth="1"/>
    <col min="20" max="22" width="11.85546875" customWidth="1"/>
  </cols>
  <sheetData>
    <row r="1" spans="1:22" ht="23.25" x14ac:dyDescent="0.35">
      <c r="C1" s="501"/>
    </row>
    <row r="2" spans="1:22" ht="21" customHeight="1" x14ac:dyDescent="0.3">
      <c r="A2" s="3"/>
      <c r="B2" s="3"/>
      <c r="C2" s="2474" t="s">
        <v>435</v>
      </c>
      <c r="D2" s="2474"/>
      <c r="E2" s="2474"/>
      <c r="F2" s="2474"/>
      <c r="G2" s="2474"/>
      <c r="H2" s="2474"/>
      <c r="I2" s="2474"/>
      <c r="J2" s="2474"/>
      <c r="K2" s="2474"/>
      <c r="L2" s="2474"/>
      <c r="M2" s="2474"/>
      <c r="N2" s="2474"/>
      <c r="O2" s="2474"/>
      <c r="P2" s="2474"/>
      <c r="Q2" s="2474"/>
      <c r="R2" s="2474"/>
      <c r="S2" s="2474"/>
    </row>
    <row r="3" spans="1:22" ht="24" customHeight="1" x14ac:dyDescent="0.3">
      <c r="A3" s="3"/>
      <c r="B3" s="2502"/>
      <c r="C3" s="2627" t="s">
        <v>668</v>
      </c>
      <c r="D3" s="2627"/>
      <c r="E3" s="2627"/>
      <c r="F3" s="2627"/>
      <c r="G3" s="2627"/>
      <c r="H3" s="2627"/>
      <c r="I3" s="2627"/>
      <c r="J3" s="2627"/>
      <c r="K3" s="2627"/>
      <c r="L3" s="2627"/>
      <c r="M3" s="2627"/>
      <c r="N3" s="2627"/>
      <c r="O3" s="2627"/>
      <c r="P3" s="2627"/>
      <c r="Q3" s="2627"/>
      <c r="R3" s="2627"/>
      <c r="S3" s="2627"/>
    </row>
    <row r="4" spans="1:22" ht="24" customHeight="1" thickBot="1" x14ac:dyDescent="0.35">
      <c r="A4" s="3"/>
      <c r="B4" s="2502"/>
      <c r="C4" s="213"/>
      <c r="D4" s="2599"/>
      <c r="E4" s="33"/>
      <c r="F4" s="33"/>
      <c r="G4" s="33"/>
      <c r="H4" s="33"/>
      <c r="I4" s="33"/>
      <c r="J4" s="33"/>
      <c r="K4" s="33"/>
      <c r="L4" s="33"/>
      <c r="M4" s="33"/>
      <c r="N4" s="33"/>
      <c r="O4" s="33"/>
      <c r="P4" s="33"/>
      <c r="Q4" s="33"/>
      <c r="R4" s="1023"/>
      <c r="S4" s="33"/>
    </row>
    <row r="5" spans="1:22" ht="21" customHeight="1" thickBot="1" x14ac:dyDescent="0.35">
      <c r="A5" s="3"/>
      <c r="B5" s="2502"/>
      <c r="C5" s="2600" t="s">
        <v>242</v>
      </c>
      <c r="D5" s="2601"/>
      <c r="E5" s="2601"/>
      <c r="F5" s="2601"/>
      <c r="G5" s="2601"/>
      <c r="H5" s="2601"/>
      <c r="I5" s="2601"/>
      <c r="J5" s="2601"/>
      <c r="K5" s="2601"/>
      <c r="L5" s="2601"/>
      <c r="M5" s="2601"/>
      <c r="N5" s="2601"/>
      <c r="O5" s="2601"/>
      <c r="P5" s="2602"/>
      <c r="Q5" s="2601"/>
      <c r="R5" s="2601"/>
      <c r="S5" s="2602"/>
      <c r="T5" s="2602"/>
      <c r="U5" s="2602"/>
      <c r="V5" s="2602"/>
    </row>
    <row r="6" spans="1:22" ht="14.25" customHeight="1" x14ac:dyDescent="0.3">
      <c r="A6" s="3"/>
      <c r="B6" s="2502"/>
      <c r="C6" s="949"/>
      <c r="D6" s="981">
        <v>2006</v>
      </c>
      <c r="E6" s="981">
        <v>2007</v>
      </c>
      <c r="F6" s="981">
        <v>2008</v>
      </c>
      <c r="G6" s="981">
        <v>2009</v>
      </c>
      <c r="H6" s="981">
        <v>2010</v>
      </c>
      <c r="I6" s="981">
        <v>2011</v>
      </c>
      <c r="J6" s="981">
        <v>2012</v>
      </c>
      <c r="K6" s="981">
        <v>2013</v>
      </c>
      <c r="L6" s="981">
        <v>2014</v>
      </c>
      <c r="M6" s="981">
        <v>2015</v>
      </c>
      <c r="N6" s="981">
        <v>2016</v>
      </c>
      <c r="O6" s="981">
        <v>2017</v>
      </c>
      <c r="P6" s="981">
        <v>2018</v>
      </c>
      <c r="Q6" s="981">
        <v>2019</v>
      </c>
      <c r="R6" s="981">
        <v>2020</v>
      </c>
      <c r="S6" s="981">
        <v>2021</v>
      </c>
      <c r="T6" s="981">
        <v>2022</v>
      </c>
      <c r="U6" s="981">
        <v>2023</v>
      </c>
      <c r="V6" s="981">
        <v>2024</v>
      </c>
    </row>
    <row r="7" spans="1:22" ht="14.25" customHeight="1" thickBot="1" x14ac:dyDescent="0.35">
      <c r="A7" s="15"/>
      <c r="B7" s="15"/>
      <c r="C7" s="213"/>
      <c r="D7" s="195" t="s">
        <v>186</v>
      </c>
      <c r="E7" s="195" t="s">
        <v>186</v>
      </c>
      <c r="F7" s="195" t="s">
        <v>186</v>
      </c>
      <c r="G7" s="195" t="s">
        <v>186</v>
      </c>
      <c r="H7" s="195" t="s">
        <v>186</v>
      </c>
      <c r="I7" s="195" t="s">
        <v>186</v>
      </c>
      <c r="J7" s="195" t="e">
        <f>'SCG Table D2'!J7</f>
        <v>#REF!</v>
      </c>
      <c r="K7" s="195" t="str">
        <f>'SCG Table D2'!K7</f>
        <v>Actual</v>
      </c>
      <c r="L7" s="195" t="str">
        <f>'SCG Table D2'!L7</f>
        <v>Actual</v>
      </c>
      <c r="M7" s="195" t="str">
        <f>'SCG Table D2'!M7</f>
        <v>Actual</v>
      </c>
      <c r="N7" s="195" t="str">
        <f>'SCG Table D2'!N7</f>
        <v>Actual</v>
      </c>
      <c r="O7" s="195" t="str">
        <f>'SCG Table D2'!O7</f>
        <v>Actual</v>
      </c>
      <c r="P7" s="195" t="str">
        <f>'SCG Table D2'!P7</f>
        <v>Actual</v>
      </c>
      <c r="Q7" s="195" t="str">
        <f>'SCG Table D2'!Q7</f>
        <v>Actual</v>
      </c>
      <c r="R7" s="195" t="str">
        <f>'SCG Table D2'!R7</f>
        <v>Actual</v>
      </c>
      <c r="S7" s="195" t="str">
        <f>'SCG Table D2'!S7</f>
        <v>Actual</v>
      </c>
      <c r="T7" s="195" t="s">
        <v>188</v>
      </c>
      <c r="U7" s="195" t="s">
        <v>188</v>
      </c>
      <c r="V7" s="195" t="s">
        <v>188</v>
      </c>
    </row>
    <row r="8" spans="1:22" ht="17.25" customHeight="1" thickBot="1" x14ac:dyDescent="0.3">
      <c r="A8" s="982"/>
      <c r="B8" s="982"/>
      <c r="C8" s="2674" t="s">
        <v>115</v>
      </c>
      <c r="D8" s="2641"/>
      <c r="E8" s="2641"/>
      <c r="F8" s="2641"/>
      <c r="G8" s="2641"/>
      <c r="H8" s="2641"/>
      <c r="I8" s="2641"/>
      <c r="J8" s="2641"/>
      <c r="K8" s="2641"/>
      <c r="L8" s="2641"/>
      <c r="M8" s="2641"/>
      <c r="N8" s="2641"/>
      <c r="O8" s="2229"/>
      <c r="P8" s="2229"/>
      <c r="Q8" s="2229"/>
      <c r="R8" s="2229"/>
      <c r="S8" s="2229"/>
      <c r="T8" s="2229"/>
      <c r="U8" s="2229"/>
      <c r="V8" s="2229"/>
    </row>
    <row r="9" spans="1:22" ht="17.25" customHeight="1" x14ac:dyDescent="0.2">
      <c r="A9" s="985" t="s">
        <v>347</v>
      </c>
      <c r="B9" s="982"/>
      <c r="C9" s="100" t="s">
        <v>222</v>
      </c>
      <c r="D9" s="2217">
        <v>253</v>
      </c>
      <c r="E9" s="2217">
        <v>545</v>
      </c>
      <c r="F9" s="2217">
        <v>1910</v>
      </c>
      <c r="G9" s="2217">
        <v>3511</v>
      </c>
      <c r="H9" s="2217">
        <v>2034</v>
      </c>
      <c r="I9" s="2217">
        <v>3268</v>
      </c>
      <c r="J9" s="2217">
        <v>2479</v>
      </c>
      <c r="K9" s="2217">
        <v>3647</v>
      </c>
      <c r="L9" s="2217">
        <v>2395</v>
      </c>
      <c r="M9" s="2217">
        <v>1187</v>
      </c>
      <c r="N9" s="2217">
        <v>1329</v>
      </c>
      <c r="O9" s="2217">
        <v>1319</v>
      </c>
      <c r="P9" s="2217">
        <v>2818</v>
      </c>
      <c r="Q9" s="2217">
        <v>5314</v>
      </c>
      <c r="R9" s="2217">
        <v>868</v>
      </c>
      <c r="S9" s="2217">
        <v>1726</v>
      </c>
      <c r="T9" s="2210">
        <v>909.34994576871861</v>
      </c>
      <c r="U9" s="2210">
        <v>1461.8021090567786</v>
      </c>
      <c r="V9" s="2210">
        <v>1644.9832204458683</v>
      </c>
    </row>
    <row r="10" spans="1:22" ht="17.25" customHeight="1" x14ac:dyDescent="0.2">
      <c r="A10" s="985" t="s">
        <v>347</v>
      </c>
      <c r="B10" s="982"/>
      <c r="C10" s="155" t="s">
        <v>149</v>
      </c>
      <c r="D10" s="2210">
        <v>88</v>
      </c>
      <c r="E10" s="2210">
        <v>430</v>
      </c>
      <c r="F10" s="2210">
        <v>1870</v>
      </c>
      <c r="G10" s="2210">
        <v>1421</v>
      </c>
      <c r="H10" s="2210">
        <v>2538</v>
      </c>
      <c r="I10" s="2210">
        <v>2369</v>
      </c>
      <c r="J10" s="2615">
        <v>2049</v>
      </c>
      <c r="K10" s="2210">
        <f>1291+1328</f>
        <v>2619</v>
      </c>
      <c r="L10" s="2615">
        <f>1722+2235</f>
        <v>3957</v>
      </c>
      <c r="M10" s="2615">
        <f>724+3034</f>
        <v>3758</v>
      </c>
      <c r="N10" s="2210">
        <v>1783</v>
      </c>
      <c r="O10" s="2223">
        <v>1600</v>
      </c>
      <c r="P10" s="2223">
        <v>1467</v>
      </c>
      <c r="Q10" s="2223">
        <v>1729</v>
      </c>
      <c r="R10" s="2223">
        <v>4577</v>
      </c>
      <c r="S10" s="2223">
        <v>2110</v>
      </c>
      <c r="T10" s="2223">
        <v>1108.533463326726</v>
      </c>
      <c r="U10" s="2223">
        <v>1805.1776895321034</v>
      </c>
      <c r="V10" s="2223">
        <v>1865.8592258133988</v>
      </c>
    </row>
    <row r="11" spans="1:22" ht="17.25" customHeight="1" x14ac:dyDescent="0.2">
      <c r="A11" s="985" t="s">
        <v>347</v>
      </c>
      <c r="B11" s="982"/>
      <c r="C11" s="155" t="s">
        <v>595</v>
      </c>
      <c r="D11" s="2210"/>
      <c r="E11" s="2210"/>
      <c r="F11" s="2210"/>
      <c r="G11" s="2210">
        <v>0</v>
      </c>
      <c r="H11" s="2210">
        <v>0</v>
      </c>
      <c r="I11" s="2210">
        <v>0</v>
      </c>
      <c r="J11" s="2210">
        <v>80</v>
      </c>
      <c r="K11" s="2210">
        <v>155</v>
      </c>
      <c r="L11" s="2210">
        <v>747</v>
      </c>
      <c r="M11" s="2210">
        <v>1218</v>
      </c>
      <c r="N11" s="2210">
        <v>3099</v>
      </c>
      <c r="O11" s="2223">
        <v>2128</v>
      </c>
      <c r="P11" s="2223">
        <v>5004</v>
      </c>
      <c r="Q11" s="2223">
        <v>6777</v>
      </c>
      <c r="R11" s="2223">
        <v>13504</v>
      </c>
      <c r="S11" s="2223">
        <v>5075</v>
      </c>
      <c r="T11" s="2223">
        <v>1939.0411417871651</v>
      </c>
      <c r="U11" s="2223">
        <v>1686.1192305753973</v>
      </c>
      <c r="V11" s="2223">
        <v>1686.1192305753973</v>
      </c>
    </row>
    <row r="12" spans="1:22" ht="17.25" customHeight="1" x14ac:dyDescent="0.2">
      <c r="A12" s="985" t="s">
        <v>347</v>
      </c>
      <c r="B12" s="981"/>
      <c r="C12" s="871" t="s">
        <v>227</v>
      </c>
      <c r="D12" s="2227">
        <v>0</v>
      </c>
      <c r="E12" s="2227">
        <v>0</v>
      </c>
      <c r="F12" s="2227">
        <v>0</v>
      </c>
      <c r="G12" s="2227">
        <v>71</v>
      </c>
      <c r="H12" s="2227">
        <v>32</v>
      </c>
      <c r="I12" s="2227">
        <v>114</v>
      </c>
      <c r="J12" s="2617">
        <v>40</v>
      </c>
      <c r="K12" s="2227">
        <v>116</v>
      </c>
      <c r="L12" s="2617">
        <v>336</v>
      </c>
      <c r="M12" s="2617">
        <v>54</v>
      </c>
      <c r="N12" s="2227">
        <v>294</v>
      </c>
      <c r="O12" s="2224">
        <v>43</v>
      </c>
      <c r="P12" s="2224">
        <v>136</v>
      </c>
      <c r="Q12" s="2224">
        <v>126</v>
      </c>
      <c r="R12" s="2224">
        <v>121</v>
      </c>
      <c r="S12" s="2224">
        <v>358</v>
      </c>
      <c r="T12" s="2224">
        <v>424</v>
      </c>
      <c r="U12" s="2224">
        <v>275</v>
      </c>
      <c r="V12" s="2224">
        <v>110</v>
      </c>
    </row>
    <row r="13" spans="1:22" ht="17.25" customHeight="1" x14ac:dyDescent="0.2">
      <c r="A13" s="985" t="s">
        <v>347</v>
      </c>
      <c r="B13" s="982"/>
      <c r="C13" s="155" t="s">
        <v>529</v>
      </c>
      <c r="D13" s="2210">
        <v>0</v>
      </c>
      <c r="E13" s="2210">
        <v>0</v>
      </c>
      <c r="F13" s="2210">
        <v>0</v>
      </c>
      <c r="G13" s="2210">
        <v>0</v>
      </c>
      <c r="H13" s="2210">
        <v>0</v>
      </c>
      <c r="I13" s="2210">
        <v>0</v>
      </c>
      <c r="J13" s="2210">
        <v>0</v>
      </c>
      <c r="K13" s="2210">
        <v>0</v>
      </c>
      <c r="L13" s="2210">
        <v>0</v>
      </c>
      <c r="M13" s="2210">
        <v>0</v>
      </c>
      <c r="N13" s="2210">
        <v>0</v>
      </c>
      <c r="O13" s="2223">
        <v>0</v>
      </c>
      <c r="P13" s="2223">
        <v>0</v>
      </c>
      <c r="Q13" s="2223">
        <v>14250</v>
      </c>
      <c r="R13" s="2223"/>
      <c r="S13" s="2223">
        <v>16000</v>
      </c>
      <c r="T13" s="2223">
        <v>16212</v>
      </c>
      <c r="U13" s="2223">
        <v>15402</v>
      </c>
      <c r="V13" s="2223">
        <v>14632</v>
      </c>
    </row>
    <row r="14" spans="1:22" ht="17.25" hidden="1" customHeight="1" thickBot="1" x14ac:dyDescent="0.25">
      <c r="A14" s="985" t="s">
        <v>347</v>
      </c>
      <c r="B14" s="982"/>
      <c r="C14" s="969" t="s">
        <v>110</v>
      </c>
      <c r="D14" s="2228">
        <v>0</v>
      </c>
      <c r="E14" s="2228">
        <v>0</v>
      </c>
      <c r="F14" s="2228">
        <v>109</v>
      </c>
      <c r="G14" s="2228">
        <v>266</v>
      </c>
      <c r="H14" s="2228">
        <v>236</v>
      </c>
      <c r="I14" s="2228">
        <v>235</v>
      </c>
      <c r="J14" s="2619"/>
      <c r="K14" s="2228"/>
      <c r="L14" s="2619"/>
      <c r="M14" s="2619"/>
      <c r="N14" s="2228"/>
      <c r="O14" s="2225"/>
      <c r="P14" s="2225"/>
      <c r="Q14" s="2225"/>
      <c r="R14" s="2225"/>
      <c r="S14" s="2225"/>
      <c r="T14" s="2225">
        <f>'2022 Summary Table B'!$M26</f>
        <v>0</v>
      </c>
      <c r="U14" s="2225">
        <f>'2023 Summary Table B'!$M26</f>
        <v>0</v>
      </c>
      <c r="V14" s="2225">
        <f>'2024 Summary Table B'!$M26</f>
        <v>0</v>
      </c>
    </row>
    <row r="15" spans="1:22" ht="17.25" customHeight="1" thickBot="1" x14ac:dyDescent="0.3">
      <c r="A15" s="985" t="s">
        <v>347</v>
      </c>
      <c r="B15" s="982"/>
      <c r="C15" s="233" t="s">
        <v>30</v>
      </c>
      <c r="D15" s="2621">
        <f t="shared" ref="D15:S15" si="0">SUM(D9:D14)</f>
        <v>341</v>
      </c>
      <c r="E15" s="2621">
        <f t="shared" si="0"/>
        <v>975</v>
      </c>
      <c r="F15" s="2621">
        <f t="shared" si="0"/>
        <v>3889</v>
      </c>
      <c r="G15" s="2621">
        <f t="shared" si="0"/>
        <v>5269</v>
      </c>
      <c r="H15" s="2621">
        <f t="shared" si="0"/>
        <v>4840</v>
      </c>
      <c r="I15" s="2621">
        <f t="shared" si="0"/>
        <v>5986</v>
      </c>
      <c r="J15" s="2621">
        <f t="shared" si="0"/>
        <v>4648</v>
      </c>
      <c r="K15" s="2621">
        <f t="shared" si="0"/>
        <v>6537</v>
      </c>
      <c r="L15" s="2621">
        <f t="shared" si="0"/>
        <v>7435</v>
      </c>
      <c r="M15" s="2621">
        <f t="shared" si="0"/>
        <v>6217</v>
      </c>
      <c r="N15" s="2621">
        <f t="shared" si="0"/>
        <v>6505</v>
      </c>
      <c r="O15" s="2621">
        <f t="shared" si="0"/>
        <v>5090</v>
      </c>
      <c r="P15" s="2621">
        <f t="shared" si="0"/>
        <v>9425</v>
      </c>
      <c r="Q15" s="2621">
        <f t="shared" si="0"/>
        <v>28196</v>
      </c>
      <c r="R15" s="2621">
        <f t="shared" si="0"/>
        <v>19070</v>
      </c>
      <c r="S15" s="2621">
        <f t="shared" si="0"/>
        <v>25269</v>
      </c>
      <c r="T15" s="2621">
        <f t="shared" ref="T15:V15" si="1">SUM(T9:T14)</f>
        <v>20592.92455088261</v>
      </c>
      <c r="U15" s="2621">
        <f t="shared" si="1"/>
        <v>20630.099029164281</v>
      </c>
      <c r="V15" s="2621">
        <f t="shared" si="1"/>
        <v>19938.961676834664</v>
      </c>
    </row>
    <row r="16" spans="1:22" ht="17.25" customHeight="1" thickBot="1" x14ac:dyDescent="0.3">
      <c r="A16" s="994" t="s">
        <v>347</v>
      </c>
      <c r="B16" s="981"/>
      <c r="C16" s="164"/>
      <c r="D16" s="2214"/>
      <c r="E16" s="2214"/>
      <c r="F16" s="2214"/>
      <c r="G16" s="2214"/>
      <c r="H16" s="2214"/>
      <c r="I16" s="2214"/>
      <c r="J16" s="2214"/>
      <c r="K16" s="2214"/>
      <c r="L16" s="2214"/>
      <c r="M16" s="2214"/>
      <c r="N16" s="2214"/>
      <c r="O16" s="2214"/>
      <c r="P16" s="2214"/>
      <c r="Q16" s="2214"/>
      <c r="R16" s="2214"/>
      <c r="S16" s="2214"/>
      <c r="T16" s="2214"/>
      <c r="U16" s="2214"/>
      <c r="V16" s="2214"/>
    </row>
    <row r="17" spans="1:22" ht="17.25" customHeight="1" thickBot="1" x14ac:dyDescent="0.3">
      <c r="A17" s="981"/>
      <c r="B17" s="981"/>
      <c r="C17" s="1027" t="s">
        <v>6</v>
      </c>
      <c r="D17" s="2215"/>
      <c r="E17" s="2215"/>
      <c r="F17" s="2215"/>
      <c r="G17" s="2215"/>
      <c r="H17" s="2215"/>
      <c r="I17" s="2215"/>
      <c r="J17" s="2215"/>
      <c r="K17" s="2215"/>
      <c r="L17" s="2215"/>
      <c r="M17" s="2226"/>
      <c r="N17" s="2226"/>
      <c r="O17" s="2226"/>
      <c r="P17" s="2226"/>
      <c r="Q17" s="2226"/>
      <c r="R17" s="2226"/>
      <c r="S17" s="2226"/>
      <c r="T17" s="2226"/>
      <c r="U17" s="2226"/>
      <c r="V17" s="2226"/>
    </row>
    <row r="18" spans="1:22" ht="17.25" customHeight="1" x14ac:dyDescent="0.2">
      <c r="A18" s="28"/>
      <c r="B18" s="981"/>
      <c r="C18" s="695" t="s">
        <v>112</v>
      </c>
      <c r="D18" s="2216">
        <v>0</v>
      </c>
      <c r="E18" s="2216">
        <v>0</v>
      </c>
      <c r="F18" s="2216">
        <v>12</v>
      </c>
      <c r="G18" s="2216">
        <v>28</v>
      </c>
      <c r="H18" s="2216">
        <v>45</v>
      </c>
      <c r="I18" s="2216">
        <v>46</v>
      </c>
      <c r="J18" s="2216">
        <v>90</v>
      </c>
      <c r="K18" s="2216">
        <v>100</v>
      </c>
      <c r="L18" s="2216">
        <v>87</v>
      </c>
      <c r="M18" s="2216">
        <v>40</v>
      </c>
      <c r="N18" s="2216">
        <v>67</v>
      </c>
      <c r="O18" s="2216">
        <v>32</v>
      </c>
      <c r="P18" s="2216">
        <v>75</v>
      </c>
      <c r="Q18" s="2216">
        <v>223</v>
      </c>
      <c r="R18" s="2216">
        <v>216</v>
      </c>
      <c r="S18" s="2216">
        <v>321</v>
      </c>
      <c r="T18" s="2216">
        <v>497.70300535114086</v>
      </c>
      <c r="U18" s="2216">
        <v>699.54325873919163</v>
      </c>
      <c r="V18" s="2216">
        <v>709.13633400180242</v>
      </c>
    </row>
    <row r="19" spans="1:22" ht="17.25" customHeight="1" thickBot="1" x14ac:dyDescent="0.25">
      <c r="A19" s="1003"/>
      <c r="B19" s="981"/>
      <c r="C19" s="2759" t="s">
        <v>116</v>
      </c>
      <c r="D19" s="2276">
        <v>0</v>
      </c>
      <c r="E19" s="2210">
        <v>0</v>
      </c>
      <c r="F19" s="2210">
        <v>1</v>
      </c>
      <c r="G19" s="2210">
        <v>2</v>
      </c>
      <c r="H19" s="2210">
        <v>9</v>
      </c>
      <c r="I19" s="2210">
        <v>11</v>
      </c>
      <c r="J19" s="2210">
        <v>36</v>
      </c>
      <c r="K19" s="2210">
        <v>31</v>
      </c>
      <c r="L19" s="2210">
        <v>40</v>
      </c>
      <c r="M19" s="2210">
        <v>22</v>
      </c>
      <c r="N19" s="2210">
        <v>28</v>
      </c>
      <c r="O19" s="2210">
        <v>18</v>
      </c>
      <c r="P19" s="2210">
        <v>48</v>
      </c>
      <c r="Q19" s="2210">
        <v>11</v>
      </c>
      <c r="R19" s="2210">
        <v>47</v>
      </c>
      <c r="S19" s="2210">
        <v>14</v>
      </c>
      <c r="T19" s="2210">
        <v>29.137590510982928</v>
      </c>
      <c r="U19" s="2210">
        <v>56.679697268412703</v>
      </c>
      <c r="V19" s="2210">
        <v>57.493514819134361</v>
      </c>
    </row>
    <row r="20" spans="1:22" ht="17.25" customHeight="1" x14ac:dyDescent="0.2">
      <c r="A20" s="1003" t="s">
        <v>348</v>
      </c>
      <c r="B20" s="981"/>
      <c r="C20" s="2196" t="s">
        <v>581</v>
      </c>
      <c r="D20" s="2622">
        <v>0</v>
      </c>
      <c r="E20" s="2216">
        <v>0</v>
      </c>
      <c r="F20" s="2216">
        <v>1</v>
      </c>
      <c r="G20" s="2216">
        <v>0</v>
      </c>
      <c r="H20" s="2217">
        <v>1</v>
      </c>
      <c r="I20" s="2217">
        <v>3</v>
      </c>
      <c r="J20" s="2217">
        <v>4</v>
      </c>
      <c r="K20" s="2217">
        <v>3</v>
      </c>
      <c r="L20" s="2217">
        <v>4</v>
      </c>
      <c r="M20" s="2217">
        <v>2</v>
      </c>
      <c r="N20" s="2217">
        <v>9</v>
      </c>
      <c r="O20" s="2217">
        <v>3</v>
      </c>
      <c r="P20" s="2217">
        <v>22</v>
      </c>
      <c r="Q20" s="2217">
        <v>10</v>
      </c>
      <c r="R20" s="2217">
        <v>4</v>
      </c>
      <c r="S20" s="2217">
        <v>16</v>
      </c>
      <c r="T20" s="2217">
        <v>8.9772214909522585</v>
      </c>
      <c r="U20" s="2217">
        <v>14.246782429616903</v>
      </c>
      <c r="V20" s="2217">
        <v>14.525502814660754</v>
      </c>
    </row>
    <row r="21" spans="1:22" ht="17.25" customHeight="1" thickBot="1" x14ac:dyDescent="0.25">
      <c r="A21" s="1003" t="s">
        <v>348</v>
      </c>
      <c r="B21" s="981"/>
      <c r="C21" s="930" t="s">
        <v>245</v>
      </c>
      <c r="D21" s="2210">
        <v>0</v>
      </c>
      <c r="E21" s="2210">
        <v>0</v>
      </c>
      <c r="F21" s="2210">
        <v>0</v>
      </c>
      <c r="G21" s="2210">
        <v>0</v>
      </c>
      <c r="H21" s="2210">
        <v>0</v>
      </c>
      <c r="I21" s="2210">
        <v>0</v>
      </c>
      <c r="J21" s="2218">
        <v>27</v>
      </c>
      <c r="K21" s="2218">
        <v>72</v>
      </c>
      <c r="L21" s="2218">
        <v>57</v>
      </c>
      <c r="M21" s="2218">
        <v>28</v>
      </c>
      <c r="N21" s="2218">
        <v>51</v>
      </c>
      <c r="O21" s="2218">
        <v>72</v>
      </c>
      <c r="P21" s="2218">
        <v>62</v>
      </c>
      <c r="Q21" s="2218">
        <v>44.8</v>
      </c>
      <c r="R21" s="2218">
        <v>46</v>
      </c>
      <c r="S21" s="2218">
        <v>148</v>
      </c>
      <c r="T21" s="2218">
        <v>96.706575384615377</v>
      </c>
      <c r="U21" s="2218">
        <v>91.283283283928981</v>
      </c>
      <c r="V21" s="2218">
        <v>92.185224288563248</v>
      </c>
    </row>
    <row r="22" spans="1:22" ht="17.25" customHeight="1" thickBot="1" x14ac:dyDescent="0.3">
      <c r="A22" s="1003" t="s">
        <v>348</v>
      </c>
      <c r="B22" s="981"/>
      <c r="C22" s="26" t="s">
        <v>206</v>
      </c>
      <c r="D22" s="2624" t="e">
        <f>#REF!+#REF!+D21</f>
        <v>#REF!</v>
      </c>
      <c r="E22" s="2624" t="e">
        <f>#REF!+#REF!+E21</f>
        <v>#REF!</v>
      </c>
      <c r="F22" s="2624" t="e">
        <f>#REF!+#REF!+F21</f>
        <v>#REF!</v>
      </c>
      <c r="G22" s="2624" t="e">
        <f>#REF!+#REF!+G21</f>
        <v>#REF!</v>
      </c>
      <c r="H22" s="2624" t="e">
        <f>#REF!+#REF!+H21</f>
        <v>#REF!</v>
      </c>
      <c r="I22" s="2624" t="e">
        <f>#REF!+#REF!+I21</f>
        <v>#REF!</v>
      </c>
      <c r="J22" s="2624" t="e">
        <f>#REF!+#REF!+J21</f>
        <v>#REF!</v>
      </c>
      <c r="K22" s="2624">
        <f>SUM(K18:K21)</f>
        <v>206</v>
      </c>
      <c r="L22" s="2624">
        <f t="shared" ref="L22:V22" si="2">SUM(L18:L21)</f>
        <v>188</v>
      </c>
      <c r="M22" s="2624">
        <f t="shared" si="2"/>
        <v>92</v>
      </c>
      <c r="N22" s="2624">
        <f t="shared" si="2"/>
        <v>155</v>
      </c>
      <c r="O22" s="2624">
        <f t="shared" si="2"/>
        <v>125</v>
      </c>
      <c r="P22" s="2624">
        <f t="shared" si="2"/>
        <v>207</v>
      </c>
      <c r="Q22" s="2624">
        <f t="shared" si="2"/>
        <v>288.8</v>
      </c>
      <c r="R22" s="2624">
        <f t="shared" si="2"/>
        <v>313</v>
      </c>
      <c r="S22" s="2624">
        <f t="shared" si="2"/>
        <v>499</v>
      </c>
      <c r="T22" s="2624">
        <f t="shared" si="2"/>
        <v>632.52439273769141</v>
      </c>
      <c r="U22" s="2624">
        <f t="shared" si="2"/>
        <v>861.75302172115028</v>
      </c>
      <c r="V22" s="2624">
        <f t="shared" si="2"/>
        <v>873.34057592416082</v>
      </c>
    </row>
    <row r="23" spans="1:22" s="3" customFormat="1" ht="17.25" customHeight="1" thickBot="1" x14ac:dyDescent="0.3">
      <c r="A23" s="981"/>
      <c r="B23" s="981"/>
      <c r="C23" s="1017"/>
      <c r="D23" s="2625"/>
      <c r="E23" s="2625"/>
      <c r="F23" s="2625"/>
      <c r="G23" s="2625"/>
      <c r="H23" s="2625"/>
      <c r="I23" s="2625"/>
      <c r="J23" s="2625"/>
      <c r="K23" s="2625"/>
      <c r="L23" s="2625"/>
      <c r="M23" s="2625"/>
      <c r="N23" s="2625"/>
      <c r="O23" s="2625"/>
      <c r="P23" s="2625"/>
      <c r="Q23" s="2625"/>
      <c r="R23" s="2625"/>
      <c r="S23" s="2625"/>
      <c r="T23" s="2625"/>
      <c r="U23" s="2625"/>
      <c r="V23" s="2625"/>
    </row>
    <row r="24" spans="1:22" ht="17.25" customHeight="1" x14ac:dyDescent="0.2">
      <c r="A24" s="28"/>
      <c r="B24" s="981"/>
      <c r="C24" s="2626" t="s">
        <v>349</v>
      </c>
      <c r="D24" s="2220"/>
      <c r="E24" s="2220"/>
      <c r="F24" s="2220"/>
      <c r="G24" s="2220"/>
      <c r="H24" s="2220"/>
      <c r="I24" s="2220"/>
      <c r="J24" s="2220"/>
      <c r="K24" s="2220"/>
      <c r="L24" s="2220"/>
      <c r="M24" s="2220"/>
      <c r="N24" s="2220"/>
      <c r="O24" s="2220"/>
      <c r="P24" s="2220"/>
      <c r="Q24" s="2220"/>
      <c r="R24" s="2220"/>
      <c r="S24" s="2220"/>
      <c r="T24" s="2220"/>
      <c r="U24" s="2220"/>
      <c r="V24" s="2220"/>
    </row>
    <row r="25" spans="1:22" ht="17.25" customHeight="1" x14ac:dyDescent="0.2">
      <c r="A25" s="1009"/>
      <c r="B25" s="1010"/>
      <c r="C25" s="1011" t="s">
        <v>7</v>
      </c>
      <c r="D25" s="2221">
        <f t="shared" ref="D25:V25" si="3">D15</f>
        <v>341</v>
      </c>
      <c r="E25" s="2221">
        <f t="shared" si="3"/>
        <v>975</v>
      </c>
      <c r="F25" s="2221">
        <f t="shared" si="3"/>
        <v>3889</v>
      </c>
      <c r="G25" s="2221">
        <f t="shared" si="3"/>
        <v>5269</v>
      </c>
      <c r="H25" s="2221">
        <f t="shared" si="3"/>
        <v>4840</v>
      </c>
      <c r="I25" s="2221">
        <f t="shared" si="3"/>
        <v>5986</v>
      </c>
      <c r="J25" s="2221">
        <f t="shared" si="3"/>
        <v>4648</v>
      </c>
      <c r="K25" s="2221">
        <f t="shared" si="3"/>
        <v>6537</v>
      </c>
      <c r="L25" s="2221">
        <f t="shared" si="3"/>
        <v>7435</v>
      </c>
      <c r="M25" s="2221">
        <f t="shared" si="3"/>
        <v>6217</v>
      </c>
      <c r="N25" s="2221">
        <f t="shared" si="3"/>
        <v>6505</v>
      </c>
      <c r="O25" s="2221">
        <f t="shared" si="3"/>
        <v>5090</v>
      </c>
      <c r="P25" s="2221">
        <f t="shared" si="3"/>
        <v>9425</v>
      </c>
      <c r="Q25" s="2221">
        <f t="shared" si="3"/>
        <v>28196</v>
      </c>
      <c r="R25" s="2221">
        <f t="shared" si="3"/>
        <v>19070</v>
      </c>
      <c r="S25" s="2221">
        <f t="shared" si="3"/>
        <v>25269</v>
      </c>
      <c r="T25" s="2221">
        <f t="shared" si="3"/>
        <v>20592.92455088261</v>
      </c>
      <c r="U25" s="2221">
        <f t="shared" si="3"/>
        <v>20630.099029164281</v>
      </c>
      <c r="V25" s="2221">
        <f t="shared" si="3"/>
        <v>19938.961676834664</v>
      </c>
    </row>
    <row r="26" spans="1:22" ht="17.25" customHeight="1" x14ac:dyDescent="0.2">
      <c r="A26" s="1009"/>
      <c r="B26" s="1010"/>
      <c r="C26" s="1011" t="s">
        <v>8</v>
      </c>
      <c r="D26" s="2221" t="e">
        <f t="shared" ref="D26:N26" si="4">D22</f>
        <v>#REF!</v>
      </c>
      <c r="E26" s="2221" t="e">
        <f t="shared" si="4"/>
        <v>#REF!</v>
      </c>
      <c r="F26" s="2221" t="e">
        <f t="shared" si="4"/>
        <v>#REF!</v>
      </c>
      <c r="G26" s="2221" t="e">
        <f t="shared" si="4"/>
        <v>#REF!</v>
      </c>
      <c r="H26" s="2221" t="e">
        <f t="shared" si="4"/>
        <v>#REF!</v>
      </c>
      <c r="I26" s="2221" t="e">
        <f t="shared" si="4"/>
        <v>#REF!</v>
      </c>
      <c r="J26" s="2221" t="e">
        <f t="shared" si="4"/>
        <v>#REF!</v>
      </c>
      <c r="K26" s="2221">
        <f t="shared" si="4"/>
        <v>206</v>
      </c>
      <c r="L26" s="2221">
        <f t="shared" si="4"/>
        <v>188</v>
      </c>
      <c r="M26" s="2221">
        <f t="shared" si="4"/>
        <v>92</v>
      </c>
      <c r="N26" s="2221">
        <f t="shared" si="4"/>
        <v>155</v>
      </c>
      <c r="O26" s="2221">
        <f>O22</f>
        <v>125</v>
      </c>
      <c r="P26" s="2221">
        <f>P22</f>
        <v>207</v>
      </c>
      <c r="Q26" s="2221">
        <f>Q22</f>
        <v>288.8</v>
      </c>
      <c r="R26" s="2221">
        <f>R22</f>
        <v>313</v>
      </c>
      <c r="S26" s="2221">
        <f>S22</f>
        <v>499</v>
      </c>
      <c r="T26" s="2221">
        <f t="shared" ref="T26:V26" si="5">T22</f>
        <v>632.52439273769141</v>
      </c>
      <c r="U26" s="2221">
        <f t="shared" si="5"/>
        <v>861.75302172115028</v>
      </c>
      <c r="V26" s="2221">
        <f t="shared" si="5"/>
        <v>873.34057592416082</v>
      </c>
    </row>
    <row r="27" spans="1:22" ht="17.25" customHeight="1" thickBot="1" x14ac:dyDescent="0.25">
      <c r="A27" s="28"/>
      <c r="B27" s="981"/>
      <c r="C27" s="1013" t="s">
        <v>350</v>
      </c>
      <c r="D27" s="2222" t="e">
        <f t="shared" ref="D27:N27" si="6">SUM(D25:D26)</f>
        <v>#REF!</v>
      </c>
      <c r="E27" s="2222" t="e">
        <f t="shared" si="6"/>
        <v>#REF!</v>
      </c>
      <c r="F27" s="2222" t="e">
        <f t="shared" si="6"/>
        <v>#REF!</v>
      </c>
      <c r="G27" s="2222" t="e">
        <f t="shared" si="6"/>
        <v>#REF!</v>
      </c>
      <c r="H27" s="2222" t="e">
        <f t="shared" si="6"/>
        <v>#REF!</v>
      </c>
      <c r="I27" s="2222" t="e">
        <f t="shared" si="6"/>
        <v>#REF!</v>
      </c>
      <c r="J27" s="2222" t="e">
        <f t="shared" si="6"/>
        <v>#REF!</v>
      </c>
      <c r="K27" s="2222">
        <f t="shared" si="6"/>
        <v>6743</v>
      </c>
      <c r="L27" s="2222">
        <f t="shared" si="6"/>
        <v>7623</v>
      </c>
      <c r="M27" s="2222">
        <f t="shared" si="6"/>
        <v>6309</v>
      </c>
      <c r="N27" s="2222">
        <f t="shared" si="6"/>
        <v>6660</v>
      </c>
      <c r="O27" s="2222">
        <f>SUM(O25:O26)</f>
        <v>5215</v>
      </c>
      <c r="P27" s="2222">
        <f>SUM(P25:P26)</f>
        <v>9632</v>
      </c>
      <c r="Q27" s="2222">
        <f>SUM(Q25:Q26)</f>
        <v>28484.799999999999</v>
      </c>
      <c r="R27" s="2222">
        <f>SUM(R25:R26)</f>
        <v>19383</v>
      </c>
      <c r="S27" s="2222">
        <f>SUM(S25:S26)</f>
        <v>25768</v>
      </c>
      <c r="T27" s="2222">
        <f t="shared" ref="T27:V27" si="7">SUM(T25:T26)</f>
        <v>21225.4489436203</v>
      </c>
      <c r="U27" s="2222">
        <f t="shared" si="7"/>
        <v>21491.852050885431</v>
      </c>
      <c r="V27" s="2222">
        <f t="shared" si="7"/>
        <v>20812.302252758825</v>
      </c>
    </row>
    <row r="28" spans="1:22" x14ac:dyDescent="0.2">
      <c r="L28" s="3"/>
      <c r="M28" s="3"/>
      <c r="R28"/>
    </row>
  </sheetData>
  <printOptions horizontalCentered="1"/>
  <pageMargins left="0.5" right="0.5" top="0.75" bottom="0.75" header="0.5" footer="0.25"/>
  <pageSetup scale="66" orientation="landscape" r:id="rId1"/>
  <headerFooter alignWithMargins="0">
    <oddFooter>&amp;C&amp;1#&amp;"Calibri"&amp;12&amp;K008000Internal Use</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392CF-EAD5-4B44-B69C-D59D4C9B6BA2}">
  <sheetPr>
    <tabColor rgb="FFFF66FF"/>
  </sheetPr>
  <dimension ref="B2:AK87"/>
  <sheetViews>
    <sheetView showGridLines="0" topLeftCell="A55" zoomScale="75" zoomScaleNormal="75" zoomScalePageLayoutView="80" workbookViewId="0">
      <selection activeCell="I33" sqref="I33:I40"/>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811</v>
      </c>
      <c r="C2" s="2977"/>
      <c r="D2" s="2977"/>
      <c r="E2" s="2977"/>
      <c r="F2" s="2766"/>
      <c r="G2" s="37"/>
      <c r="H2" s="37"/>
      <c r="J2" s="2767"/>
      <c r="L2" s="37"/>
      <c r="M2" s="37"/>
    </row>
    <row r="3" spans="2:37" ht="28.5" customHeight="1" x14ac:dyDescent="0.35">
      <c r="B3" s="2769" t="s">
        <v>769</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CNG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CNG Performance Incentive is $701,104 and is based on achieving 100% of all performance 
targets and earning an incentive of 5.0% of the total EE program budget of $14,022,077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812</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5" ca="1" si="0">C7*$C$16</f>
        <v>350551.92938361911</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490772.70113706676</v>
      </c>
      <c r="E8" s="2779"/>
      <c r="F8" s="2779"/>
      <c r="G8" s="2780"/>
      <c r="H8" s="37"/>
      <c r="J8" s="2767"/>
      <c r="L8" s="37"/>
      <c r="M8" s="37"/>
      <c r="T8" s="2828" t="s">
        <v>813</v>
      </c>
      <c r="U8" s="2828"/>
      <c r="V8" s="2828"/>
      <c r="W8" s="2828"/>
      <c r="X8" s="2828"/>
      <c r="Y8" s="2828"/>
      <c r="Z8" s="2828"/>
      <c r="AA8" s="2828"/>
      <c r="AB8" s="2828"/>
      <c r="AC8" s="2828"/>
      <c r="AD8" s="2828"/>
      <c r="AE8" s="2829">
        <f ca="1">D10</f>
        <v>701103.85876723821</v>
      </c>
      <c r="AF8" s="2828"/>
      <c r="AG8" s="2828"/>
      <c r="AH8" s="2828"/>
      <c r="AI8" s="2828"/>
      <c r="AJ8" s="2828"/>
      <c r="AK8" s="2828"/>
    </row>
    <row r="9" spans="2:37" ht="30" customHeight="1" x14ac:dyDescent="0.2">
      <c r="B9" s="2776">
        <v>95</v>
      </c>
      <c r="C9" s="2777">
        <v>4.4999999999999998E-2</v>
      </c>
      <c r="D9" s="2778">
        <f t="shared" ca="1" si="0"/>
        <v>630993.4728905143</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701103.85876723821</v>
      </c>
      <c r="E10" s="2779"/>
      <c r="F10" s="2779"/>
      <c r="G10" s="2780"/>
      <c r="H10" s="37"/>
      <c r="J10" s="2767"/>
      <c r="L10" s="37"/>
      <c r="M10" s="37"/>
      <c r="T10" s="2828" t="s">
        <v>815</v>
      </c>
      <c r="U10" s="2828"/>
      <c r="V10" s="2828"/>
      <c r="W10" s="2828"/>
      <c r="X10" s="2828"/>
      <c r="Y10" s="2828"/>
      <c r="Z10" s="2828"/>
      <c r="AA10" s="2828"/>
      <c r="AB10" s="2828"/>
      <c r="AC10" s="2829">
        <f ca="1">C16</f>
        <v>14022077.175344763</v>
      </c>
      <c r="AD10" s="2828"/>
      <c r="AE10" s="2828"/>
      <c r="AF10" s="2828"/>
      <c r="AG10" s="2828"/>
      <c r="AH10" s="2828"/>
      <c r="AI10" s="2828"/>
      <c r="AJ10" s="2828"/>
      <c r="AK10" s="2828"/>
    </row>
    <row r="11" spans="2:37" ht="29.25" customHeight="1" x14ac:dyDescent="0.2">
      <c r="B11" s="2776">
        <v>105</v>
      </c>
      <c r="C11" s="2777">
        <v>5.5E-2</v>
      </c>
      <c r="D11" s="2778">
        <f t="shared" ca="1" si="0"/>
        <v>771214.24464396201</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821693.7224752031</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901619.5623746682</v>
      </c>
      <c r="E13" s="2786"/>
      <c r="F13" s="2786"/>
      <c r="G13" s="2780"/>
      <c r="H13" s="37"/>
      <c r="J13" s="2767"/>
      <c r="L13" s="37"/>
      <c r="M13" s="37"/>
    </row>
    <row r="14" spans="2:37" ht="19.5" customHeight="1" x14ac:dyDescent="0.2">
      <c r="B14" s="3057">
        <v>135</v>
      </c>
      <c r="C14" s="3059">
        <v>7.0000000000000007E-2</v>
      </c>
      <c r="D14" s="2778">
        <f t="shared" ca="1" si="0"/>
        <v>981545.40227413352</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'CNG Table A'!G51-'CNG Table A'!G49-'CNG Table A'!G48-'CNG Table A'!G47-'CNG Table A'!G45</f>
        <v>14022077.175344763</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'CNG Table A'!G18</f>
        <v>8394779.5619477313</v>
      </c>
      <c r="D28" s="3004" t="s">
        <v>3</v>
      </c>
      <c r="E28" s="3005"/>
      <c r="F28" s="3005"/>
      <c r="G28" s="3006"/>
      <c r="H28" s="3010" t="s">
        <v>780</v>
      </c>
      <c r="I28" s="3010" t="s">
        <v>781</v>
      </c>
      <c r="J28" s="3026">
        <v>0.21440000000000001</v>
      </c>
      <c r="K28" s="3001">
        <f ca="1">$D$10*J28</f>
        <v>150316.66731969587</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1952730</v>
      </c>
      <c r="F30" s="3014"/>
      <c r="G30" s="2800">
        <f>(E30*E$37)/I$33</f>
        <v>0.16195968960152157</v>
      </c>
      <c r="H30" s="3011"/>
      <c r="I30" s="3011"/>
      <c r="J30" s="3027"/>
      <c r="K30" s="3002"/>
      <c r="L30" s="37"/>
      <c r="M30" s="37"/>
    </row>
    <row r="31" spans="2:13" ht="18.75" customHeight="1" thickBot="1" x14ac:dyDescent="0.3">
      <c r="B31" s="2999"/>
      <c r="C31" s="3002"/>
      <c r="D31" s="2799" t="s">
        <v>160</v>
      </c>
      <c r="E31" s="3013">
        <v>3201184.3745549438</v>
      </c>
      <c r="F31" s="3014"/>
      <c r="G31" s="2800">
        <f>(E31*E$37)/I$33</f>
        <v>0.26550666382969473</v>
      </c>
      <c r="H31" s="3011"/>
      <c r="I31" s="3011"/>
      <c r="J31" s="3027"/>
      <c r="K31" s="3002"/>
      <c r="L31" s="37"/>
      <c r="M31" s="37"/>
    </row>
    <row r="32" spans="2:13" ht="18.75" customHeight="1" thickBot="1" x14ac:dyDescent="0.3">
      <c r="B32" s="2999"/>
      <c r="C32" s="3002"/>
      <c r="D32" s="2799" t="s">
        <v>782</v>
      </c>
      <c r="E32" s="3013">
        <v>2222109.5928131635</v>
      </c>
      <c r="F32" s="3014"/>
      <c r="G32" s="2800">
        <f>(E32*E$37)/I$33</f>
        <v>0.18430206936575128</v>
      </c>
      <c r="H32" s="3011"/>
      <c r="I32" s="3012"/>
      <c r="J32" s="3027"/>
      <c r="K32" s="3002"/>
      <c r="L32" s="37"/>
      <c r="M32" s="37"/>
    </row>
    <row r="33" spans="2:17" ht="18.75" customHeight="1" thickBot="1" x14ac:dyDescent="0.3">
      <c r="B33" s="2999"/>
      <c r="C33" s="3002"/>
      <c r="D33" s="2799" t="s">
        <v>783</v>
      </c>
      <c r="E33" s="3013">
        <v>4397015.0785391936</v>
      </c>
      <c r="F33" s="3014"/>
      <c r="G33" s="2800">
        <f>(E33*E$37)/I$33</f>
        <v>0.36468902372238754</v>
      </c>
      <c r="H33" s="3011"/>
      <c r="I33" s="3015">
        <f>E38</f>
        <v>18433783.125725143</v>
      </c>
      <c r="J33" s="3027"/>
      <c r="K33" s="3002"/>
      <c r="L33" s="37"/>
      <c r="M33" s="37"/>
    </row>
    <row r="34" spans="2:17" ht="28.5" customHeight="1" thickBot="1" x14ac:dyDescent="0.3">
      <c r="B34" s="2999"/>
      <c r="C34" s="3002"/>
      <c r="D34" s="2801" t="s">
        <v>784</v>
      </c>
      <c r="E34" s="3013">
        <v>283849.95140913501</v>
      </c>
      <c r="F34" s="3014"/>
      <c r="G34" s="2800">
        <f>(E34*E$37)/I$33</f>
        <v>2.3542553258069723E-2</v>
      </c>
      <c r="H34" s="3011"/>
      <c r="I34" s="3016"/>
      <c r="J34" s="3027"/>
      <c r="K34" s="3002"/>
      <c r="L34" s="37"/>
      <c r="M34" s="37"/>
    </row>
    <row r="35" spans="2:17" ht="18.75" customHeight="1" thickBot="1" x14ac:dyDescent="0.3">
      <c r="B35" s="2999"/>
      <c r="C35" s="3002"/>
      <c r="D35" s="2802" t="s">
        <v>785</v>
      </c>
      <c r="E35" s="3018">
        <f>ROUND(SUM(E30:E34),0)</f>
        <v>12056889</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1.5289004589596158</v>
      </c>
      <c r="F37" s="2806" t="s">
        <v>787</v>
      </c>
      <c r="G37" s="2807"/>
      <c r="H37" s="3011"/>
      <c r="I37" s="3016"/>
      <c r="J37" s="3027"/>
      <c r="K37" s="3002"/>
      <c r="L37" s="37"/>
      <c r="M37" s="37"/>
    </row>
    <row r="38" spans="2:17" ht="21.75" customHeight="1" thickBot="1" x14ac:dyDescent="0.25">
      <c r="B38" s="2999"/>
      <c r="C38" s="3002"/>
      <c r="D38" s="2808" t="s">
        <v>788</v>
      </c>
      <c r="E38" s="2809">
        <v>18433783.125725143</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10039003.563777411</v>
      </c>
      <c r="J40" s="2812">
        <v>0.21440000000000001</v>
      </c>
      <c r="K40" s="2809">
        <f ca="1">$D$10*J40</f>
        <v>150316.66731969587</v>
      </c>
      <c r="L40" s="37"/>
      <c r="M40" s="37"/>
    </row>
    <row r="41" spans="2:17" ht="120" customHeight="1" thickBot="1" x14ac:dyDescent="0.25">
      <c r="B41" s="2813" t="s">
        <v>160</v>
      </c>
      <c r="C41" s="2809">
        <f>'CNG Table A'!G14</f>
        <v>2689118.5486931698</v>
      </c>
      <c r="D41" s="3029" t="s">
        <v>791</v>
      </c>
      <c r="E41" s="3029"/>
      <c r="F41" s="3029"/>
      <c r="G41" s="3029"/>
      <c r="H41" s="2814" t="s">
        <v>792</v>
      </c>
      <c r="I41" s="2815" t="s">
        <v>793</v>
      </c>
      <c r="J41" s="2816">
        <v>4.4999999999999998E-2</v>
      </c>
      <c r="K41" s="2817">
        <f ca="1">$D$10*J41</f>
        <v>31549.673644525719</v>
      </c>
      <c r="L41" s="37"/>
      <c r="M41" s="37"/>
    </row>
    <row r="42" spans="2:17" ht="91.5" customHeight="1" thickBot="1" x14ac:dyDescent="0.25">
      <c r="B42" s="2801" t="s">
        <v>794</v>
      </c>
      <c r="C42" s="2809">
        <f>'CNG Table A'!G16</f>
        <v>3735755.1693553999</v>
      </c>
      <c r="D42" s="3029" t="s">
        <v>791</v>
      </c>
      <c r="E42" s="3029"/>
      <c r="F42" s="3029"/>
      <c r="G42" s="3029"/>
      <c r="H42" s="2814" t="s">
        <v>792</v>
      </c>
      <c r="I42" s="2815" t="s">
        <v>793</v>
      </c>
      <c r="J42" s="2816">
        <v>4.4999999999999998E-2</v>
      </c>
      <c r="K42" s="2817">
        <f ca="1">$D$10*J42</f>
        <v>31549.673644525719</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'CNG Table A'!G24</f>
        <v>3690488.7823557458</v>
      </c>
      <c r="D46" s="2801" t="s">
        <v>285</v>
      </c>
      <c r="E46" s="3036">
        <v>2902462.925201443</v>
      </c>
      <c r="F46" s="3037"/>
      <c r="G46" s="2800">
        <f>(E46*$E$52)/$I$48</f>
        <v>0.47744881735962635</v>
      </c>
      <c r="H46" s="3010" t="s">
        <v>797</v>
      </c>
      <c r="I46" s="3038" t="s">
        <v>798</v>
      </c>
      <c r="J46" s="3026">
        <v>0.18559999999999999</v>
      </c>
      <c r="K46" s="3001">
        <f ca="1">$D$10*J46</f>
        <v>130124.87618719941</v>
      </c>
    </row>
    <row r="47" spans="2:17" ht="28.5" customHeight="1" thickBot="1" x14ac:dyDescent="0.3">
      <c r="B47" s="2999"/>
      <c r="C47" s="3002"/>
      <c r="D47" s="2801" t="s">
        <v>275</v>
      </c>
      <c r="E47" s="3036">
        <v>1379111.0325144839</v>
      </c>
      <c r="F47" s="3037"/>
      <c r="G47" s="2800">
        <f>(E47*$E$52)/$I$48</f>
        <v>0.22686075531385264</v>
      </c>
      <c r="H47" s="3011"/>
      <c r="I47" s="3038"/>
      <c r="J47" s="3027"/>
      <c r="K47" s="3002"/>
    </row>
    <row r="48" spans="2:17" ht="36.75" thickBot="1" x14ac:dyDescent="0.3">
      <c r="B48" s="2999"/>
      <c r="C48" s="3002"/>
      <c r="D48" s="2801" t="s">
        <v>799</v>
      </c>
      <c r="E48" s="3036">
        <v>1048091.3832364063</v>
      </c>
      <c r="F48" s="3037"/>
      <c r="G48" s="2800">
        <f>(E48*$E$52)/$I$48</f>
        <v>0.17240874536797277</v>
      </c>
      <c r="H48" s="3011"/>
      <c r="I48" s="3015">
        <f>E53</f>
        <v>9004188.2186865434</v>
      </c>
      <c r="J48" s="3027"/>
      <c r="K48" s="3002"/>
    </row>
    <row r="49" spans="2:16" ht="30.75" customHeight="1" thickBot="1" x14ac:dyDescent="0.3">
      <c r="B49" s="2999"/>
      <c r="C49" s="3002"/>
      <c r="D49" s="2801" t="s">
        <v>245</v>
      </c>
      <c r="E49" s="3036">
        <v>749442.35294117639</v>
      </c>
      <c r="F49" s="3037"/>
      <c r="G49" s="2800">
        <f>(E49*$E$52)/$I$48</f>
        <v>0.12328163160469865</v>
      </c>
      <c r="H49" s="3011"/>
      <c r="I49" s="3016"/>
      <c r="J49" s="3027"/>
      <c r="K49" s="3002"/>
    </row>
    <row r="50" spans="2:16" ht="27.75" customHeight="1" thickBot="1" x14ac:dyDescent="0.3">
      <c r="B50" s="2999"/>
      <c r="C50" s="3002"/>
      <c r="D50" s="2802" t="s">
        <v>785</v>
      </c>
      <c r="E50" s="3039">
        <f>ROUND(SUM(E46:E49),0)</f>
        <v>6079108</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1.4811693127818331</v>
      </c>
      <c r="F52" s="2823" t="s">
        <v>787</v>
      </c>
      <c r="G52" s="3041"/>
      <c r="H52" s="3011"/>
      <c r="I52" s="3016"/>
      <c r="J52" s="3027"/>
      <c r="K52" s="3002"/>
    </row>
    <row r="53" spans="2:16" ht="28.5" customHeight="1" thickBot="1" x14ac:dyDescent="0.25">
      <c r="B53" s="2999"/>
      <c r="C53" s="3002"/>
      <c r="D53" s="2801" t="s">
        <v>788</v>
      </c>
      <c r="E53" s="3043">
        <v>9004188.2186865434</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5313699.4363307972</v>
      </c>
      <c r="J55" s="2812">
        <v>0.18559999999999999</v>
      </c>
      <c r="K55" s="2814">
        <f ca="1">$D$10*J55</f>
        <v>130124.87618719941</v>
      </c>
      <c r="M55" s="2824"/>
      <c r="P55" s="32"/>
    </row>
    <row r="56" spans="2:16" ht="25.5" customHeight="1" thickBot="1" x14ac:dyDescent="0.25">
      <c r="B56" s="3047" t="s">
        <v>245</v>
      </c>
      <c r="C56" s="3048">
        <f>'CNG Table A'!G23</f>
        <v>433484.85750000004</v>
      </c>
      <c r="D56" s="3038" t="s">
        <v>801</v>
      </c>
      <c r="E56" s="3038"/>
      <c r="F56" s="3038"/>
      <c r="G56" s="3038"/>
      <c r="H56" s="3001" t="s">
        <v>802</v>
      </c>
      <c r="I56" s="3052" t="s">
        <v>803</v>
      </c>
      <c r="J56" s="3026">
        <v>0.05</v>
      </c>
      <c r="K56" s="3001">
        <f ca="1">$D$10*J56</f>
        <v>35055.192938361914</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'CNG Table A'!G20+'CNG Table A'!G21</f>
        <v>2720422.4267890989</v>
      </c>
      <c r="D61" s="3038" t="s">
        <v>805</v>
      </c>
      <c r="E61" s="3038"/>
      <c r="F61" s="3038"/>
      <c r="G61" s="3038"/>
      <c r="H61" s="2809" t="s">
        <v>802</v>
      </c>
      <c r="I61" s="2814" t="s">
        <v>803</v>
      </c>
      <c r="J61" s="2812">
        <v>0.05</v>
      </c>
      <c r="K61" s="2809">
        <f ca="1">$D$10*J61</f>
        <v>35055.192938361914</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7011.0385876723822</v>
      </c>
      <c r="P62" s="32"/>
    </row>
    <row r="63" spans="2:16" ht="34.5" customHeight="1" thickBot="1" x14ac:dyDescent="0.3">
      <c r="B63" s="3049" t="s">
        <v>809</v>
      </c>
      <c r="C63" s="3050"/>
      <c r="D63" s="3050"/>
      <c r="E63" s="3050"/>
      <c r="F63" s="3050"/>
      <c r="G63" s="3050"/>
      <c r="H63" s="3051"/>
      <c r="I63" s="2825"/>
      <c r="J63" s="2826">
        <f>SUM(J28:J62)</f>
        <v>1</v>
      </c>
      <c r="K63" s="2827">
        <f ca="1">SUM(K28:K62)</f>
        <v>701103.8587672381</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B65E1-B1C2-4E7B-97D7-E0FA64A2C0AB}">
  <sheetPr>
    <tabColor rgb="FFFF66FF"/>
  </sheetPr>
  <dimension ref="B2:AK87"/>
  <sheetViews>
    <sheetView showGridLines="0" zoomScale="75" zoomScaleNormal="75" zoomScalePageLayoutView="80" workbookViewId="0">
      <selection activeCell="B12" sqref="B12:D14"/>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811</v>
      </c>
      <c r="C2" s="2977"/>
      <c r="D2" s="2977"/>
      <c r="E2" s="2977"/>
      <c r="F2" s="2766"/>
      <c r="G2" s="37"/>
      <c r="H2" s="37"/>
      <c r="J2" s="2767"/>
      <c r="L2" s="37"/>
      <c r="M2" s="37"/>
    </row>
    <row r="3" spans="2:37" ht="28.5" customHeight="1" x14ac:dyDescent="0.35">
      <c r="B3" s="2769" t="s">
        <v>770</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CNG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CNG Performance Incentive is $775,647 and is based on achieving 100% of all performance 
targets and earning an incentive of 5.0% of the total EE program budget of $15,512,950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812</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4" ca="1" si="0">C7*$C$16</f>
        <v>387823.73980096244</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542953.2357213475</v>
      </c>
      <c r="E8" s="2779"/>
      <c r="F8" s="2779"/>
      <c r="G8" s="2780"/>
      <c r="H8" s="37"/>
      <c r="J8" s="2767"/>
      <c r="L8" s="37"/>
      <c r="M8" s="37"/>
      <c r="T8" s="2828" t="s">
        <v>813</v>
      </c>
      <c r="U8" s="2828"/>
      <c r="V8" s="2828"/>
      <c r="W8" s="2828"/>
      <c r="X8" s="2828"/>
      <c r="Y8" s="2828"/>
      <c r="Z8" s="2828"/>
      <c r="AA8" s="2828"/>
      <c r="AB8" s="2828"/>
      <c r="AC8" s="2828"/>
      <c r="AD8" s="2828"/>
      <c r="AE8" s="2829">
        <f ca="1">D10</f>
        <v>775647.47960192489</v>
      </c>
      <c r="AF8" s="2828"/>
      <c r="AG8" s="2828"/>
      <c r="AH8" s="2828"/>
      <c r="AI8" s="2828"/>
      <c r="AJ8" s="2828"/>
      <c r="AK8" s="2828"/>
    </row>
    <row r="9" spans="2:37" ht="30" customHeight="1" x14ac:dyDescent="0.2">
      <c r="B9" s="2776">
        <v>95</v>
      </c>
      <c r="C9" s="2777">
        <v>4.4999999999999998E-2</v>
      </c>
      <c r="D9" s="2778">
        <f t="shared" ca="1" si="0"/>
        <v>698082.73164173239</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775647.47960192489</v>
      </c>
      <c r="E10" s="2779"/>
      <c r="F10" s="2779"/>
      <c r="G10" s="2780"/>
      <c r="H10" s="37"/>
      <c r="J10" s="2767"/>
      <c r="L10" s="37"/>
      <c r="M10" s="37"/>
      <c r="T10" s="2828" t="s">
        <v>815</v>
      </c>
      <c r="U10" s="2828"/>
      <c r="V10" s="2828"/>
      <c r="W10" s="2828"/>
      <c r="X10" s="2828"/>
      <c r="Y10" s="2828"/>
      <c r="Z10" s="2828"/>
      <c r="AA10" s="2828"/>
      <c r="AB10" s="2828"/>
      <c r="AC10" s="2829">
        <f ca="1">C16</f>
        <v>15512949.592038497</v>
      </c>
      <c r="AD10" s="2828"/>
      <c r="AE10" s="2828"/>
      <c r="AF10" s="2828"/>
      <c r="AG10" s="2828"/>
      <c r="AH10" s="2828"/>
      <c r="AI10" s="2828"/>
      <c r="AJ10" s="2828"/>
      <c r="AK10" s="2828"/>
    </row>
    <row r="11" spans="2:37" ht="29.25" customHeight="1" x14ac:dyDescent="0.2">
      <c r="B11" s="2776">
        <v>105</v>
      </c>
      <c r="C11" s="2777">
        <v>5.5E-2</v>
      </c>
      <c r="D11" s="2778">
        <f t="shared" ca="1" si="0"/>
        <v>853212.22756211739</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909058.84609345591</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997482.65876807529</v>
      </c>
      <c r="E13" s="2786"/>
      <c r="F13" s="2786"/>
      <c r="G13" s="2780"/>
      <c r="H13" s="37"/>
      <c r="J13" s="2767"/>
      <c r="L13" s="37"/>
      <c r="M13" s="37"/>
    </row>
    <row r="14" spans="2:37" ht="19.5" customHeight="1" x14ac:dyDescent="0.2">
      <c r="B14" s="3057">
        <v>135</v>
      </c>
      <c r="C14" s="3059">
        <v>7.0000000000000007E-2</v>
      </c>
      <c r="D14" s="2778">
        <f t="shared" ca="1" si="0"/>
        <v>1085906.471442695</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'CNG Table A'!J51-'CNG Table A'!J49-'CNG Table A'!J48-'CNG Table A'!J47-'CNG Table A'!J45</f>
        <v>15512949.592038497</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'CNG Table A'!J18</f>
        <v>9581686.5439686868</v>
      </c>
      <c r="D28" s="3004" t="s">
        <v>3</v>
      </c>
      <c r="E28" s="3005"/>
      <c r="F28" s="3005"/>
      <c r="G28" s="3006"/>
      <c r="H28" s="3010" t="s">
        <v>780</v>
      </c>
      <c r="I28" s="3010" t="s">
        <v>781</v>
      </c>
      <c r="J28" s="3026">
        <v>0.21440000000000001</v>
      </c>
      <c r="K28" s="3001">
        <f ca="1">$D$10*J28</f>
        <v>166298.81962665269</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1238835</v>
      </c>
      <c r="F30" s="3014"/>
      <c r="G30" s="2800">
        <f>(E30*E$37)/I$33</f>
        <v>0.11915854207852294</v>
      </c>
      <c r="H30" s="3011"/>
      <c r="I30" s="3011"/>
      <c r="J30" s="3027"/>
      <c r="K30" s="3002"/>
      <c r="L30" s="37"/>
      <c r="M30" s="37"/>
    </row>
    <row r="31" spans="2:13" ht="18.75" customHeight="1" thickBot="1" x14ac:dyDescent="0.3">
      <c r="B31" s="2999"/>
      <c r="C31" s="3002"/>
      <c r="D31" s="2799" t="s">
        <v>160</v>
      </c>
      <c r="E31" s="3013">
        <v>2638410.6913423054</v>
      </c>
      <c r="F31" s="3014"/>
      <c r="G31" s="2800">
        <f>(E31*E$37)/I$33</f>
        <v>0.25377808294465115</v>
      </c>
      <c r="H31" s="3011"/>
      <c r="I31" s="3011"/>
      <c r="J31" s="3027"/>
      <c r="K31" s="3002"/>
      <c r="L31" s="37"/>
      <c r="M31" s="37"/>
    </row>
    <row r="32" spans="2:13" ht="18.75" customHeight="1" thickBot="1" x14ac:dyDescent="0.3">
      <c r="B32" s="2999"/>
      <c r="C32" s="3002"/>
      <c r="D32" s="2799" t="s">
        <v>782</v>
      </c>
      <c r="E32" s="3013">
        <v>1808643.5975231181</v>
      </c>
      <c r="F32" s="3014"/>
      <c r="G32" s="2800">
        <f>(E32*E$37)/I$33</f>
        <v>0.17396613287524942</v>
      </c>
      <c r="H32" s="3011"/>
      <c r="I32" s="3012"/>
      <c r="J32" s="3027"/>
      <c r="K32" s="3002"/>
      <c r="L32" s="37"/>
      <c r="M32" s="37"/>
    </row>
    <row r="33" spans="2:17" ht="18.75" customHeight="1" thickBot="1" x14ac:dyDescent="0.3">
      <c r="B33" s="2999"/>
      <c r="C33" s="3002"/>
      <c r="D33" s="2799" t="s">
        <v>783</v>
      </c>
      <c r="E33" s="3013">
        <v>4426330.2951574065</v>
      </c>
      <c r="F33" s="3014"/>
      <c r="G33" s="2800">
        <f>(E33*E$37)/I$33</f>
        <v>0.4257508584508467</v>
      </c>
      <c r="H33" s="3011"/>
      <c r="I33" s="3015">
        <f>E38</f>
        <v>16172768.541906908</v>
      </c>
      <c r="J33" s="3027"/>
      <c r="K33" s="3002"/>
      <c r="L33" s="37"/>
      <c r="M33" s="37"/>
    </row>
    <row r="34" spans="2:17" ht="28.5" customHeight="1" thickBot="1" x14ac:dyDescent="0.3">
      <c r="B34" s="2999"/>
      <c r="C34" s="3002"/>
      <c r="D34" s="2801" t="s">
        <v>784</v>
      </c>
      <c r="E34" s="3013">
        <v>284307.09426627791</v>
      </c>
      <c r="F34" s="3014"/>
      <c r="G34" s="2800">
        <f>(E34*E$37)/I$33</f>
        <v>2.7346352706656554E-2</v>
      </c>
      <c r="H34" s="3011"/>
      <c r="I34" s="3016"/>
      <c r="J34" s="3027"/>
      <c r="K34" s="3002"/>
      <c r="L34" s="37"/>
      <c r="M34" s="37"/>
    </row>
    <row r="35" spans="2:17" ht="18.75" customHeight="1" thickBot="1" x14ac:dyDescent="0.3">
      <c r="B35" s="2999"/>
      <c r="C35" s="3002"/>
      <c r="D35" s="2802" t="s">
        <v>785</v>
      </c>
      <c r="E35" s="3018">
        <f>ROUND(SUM(E30:E34),0)</f>
        <v>10396527</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1.5555933767023264</v>
      </c>
      <c r="F37" s="2806" t="s">
        <v>787</v>
      </c>
      <c r="G37" s="2807"/>
      <c r="H37" s="3011"/>
      <c r="I37" s="3016"/>
      <c r="J37" s="3027"/>
      <c r="K37" s="3002"/>
      <c r="L37" s="37"/>
      <c r="M37" s="37"/>
    </row>
    <row r="38" spans="2:17" ht="21.75" customHeight="1" thickBot="1" x14ac:dyDescent="0.25">
      <c r="B38" s="2999"/>
      <c r="C38" s="3002"/>
      <c r="D38" s="2808" t="s">
        <v>788</v>
      </c>
      <c r="E38" s="2809">
        <v>16172768.541906908</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6591081.9979382213</v>
      </c>
      <c r="J40" s="2812">
        <v>0.21440000000000001</v>
      </c>
      <c r="K40" s="2809">
        <f ca="1">$D$10*J40</f>
        <v>166298.81962665269</v>
      </c>
      <c r="L40" s="37"/>
      <c r="M40" s="37"/>
    </row>
    <row r="41" spans="2:17" ht="120" customHeight="1" thickBot="1" x14ac:dyDescent="0.25">
      <c r="B41" s="2813" t="s">
        <v>160</v>
      </c>
      <c r="C41" s="2809">
        <f>'CNG Table A'!J14</f>
        <v>3317020.5047965101</v>
      </c>
      <c r="D41" s="3029" t="s">
        <v>791</v>
      </c>
      <c r="E41" s="3029"/>
      <c r="F41" s="3029"/>
      <c r="G41" s="3029"/>
      <c r="H41" s="2814" t="s">
        <v>792</v>
      </c>
      <c r="I41" s="2815" t="s">
        <v>793</v>
      </c>
      <c r="J41" s="2816">
        <v>4.4999999999999998E-2</v>
      </c>
      <c r="K41" s="2817">
        <f ca="1">$D$10*J41</f>
        <v>34904.136582086619</v>
      </c>
      <c r="L41" s="37"/>
      <c r="M41" s="37"/>
    </row>
    <row r="42" spans="2:17" ht="91.5" customHeight="1" thickBot="1" x14ac:dyDescent="0.25">
      <c r="B42" s="2801" t="s">
        <v>794</v>
      </c>
      <c r="C42" s="2809">
        <f>'CNG Table A'!J16</f>
        <v>4737409.9147097096</v>
      </c>
      <c r="D42" s="3029" t="s">
        <v>791</v>
      </c>
      <c r="E42" s="3029"/>
      <c r="F42" s="3029"/>
      <c r="G42" s="3029"/>
      <c r="H42" s="2814" t="s">
        <v>792</v>
      </c>
      <c r="I42" s="2815" t="s">
        <v>793</v>
      </c>
      <c r="J42" s="2816">
        <v>4.4999999999999998E-2</v>
      </c>
      <c r="K42" s="2817">
        <f ca="1">$D$10*J42</f>
        <v>34904.136582086619</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'CNG Table A'!J24</f>
        <v>4212169.957028525</v>
      </c>
      <c r="D46" s="2801" t="s">
        <v>285</v>
      </c>
      <c r="E46" s="3036">
        <v>3275354.0618877769</v>
      </c>
      <c r="F46" s="3037"/>
      <c r="G46" s="2800">
        <f>(E46*$E$52)/$I$48</f>
        <v>0.4403271999209214</v>
      </c>
      <c r="H46" s="3010" t="s">
        <v>797</v>
      </c>
      <c r="I46" s="3038" t="s">
        <v>798</v>
      </c>
      <c r="J46" s="3026">
        <v>0.18559999999999999</v>
      </c>
      <c r="K46" s="3001">
        <f ca="1">$D$10*J46</f>
        <v>143960.17221411725</v>
      </c>
    </row>
    <row r="47" spans="2:17" ht="28.5" customHeight="1" thickBot="1" x14ac:dyDescent="0.3">
      <c r="B47" s="2999"/>
      <c r="C47" s="3002"/>
      <c r="D47" s="2801" t="s">
        <v>275</v>
      </c>
      <c r="E47" s="3036">
        <v>1636658.9473812506</v>
      </c>
      <c r="F47" s="3037"/>
      <c r="G47" s="2800">
        <f>(E47*$E$52)/$I$48</f>
        <v>0.22002673234982945</v>
      </c>
      <c r="H47" s="3011"/>
      <c r="I47" s="3038"/>
      <c r="J47" s="3027"/>
      <c r="K47" s="3002"/>
    </row>
    <row r="48" spans="2:17" ht="36.75" thickBot="1" x14ac:dyDescent="0.3">
      <c r="B48" s="2999"/>
      <c r="C48" s="3002"/>
      <c r="D48" s="2801" t="s">
        <v>799</v>
      </c>
      <c r="E48" s="3036">
        <v>1645677.0690597619</v>
      </c>
      <c r="F48" s="3037"/>
      <c r="G48" s="2800">
        <f>(E48*$E$52)/$I$48</f>
        <v>0.22123909723991905</v>
      </c>
      <c r="H48" s="3011"/>
      <c r="I48" s="3015">
        <f>E53</f>
        <v>11185208.862015933</v>
      </c>
      <c r="J48" s="3027"/>
      <c r="K48" s="3002"/>
    </row>
    <row r="49" spans="2:16" ht="30.75" customHeight="1" thickBot="1" x14ac:dyDescent="0.3">
      <c r="B49" s="2999"/>
      <c r="C49" s="3002"/>
      <c r="D49" s="2801" t="s">
        <v>245</v>
      </c>
      <c r="E49" s="3036">
        <v>880765.17791691003</v>
      </c>
      <c r="F49" s="3037"/>
      <c r="G49" s="2800">
        <f>(E49*$E$52)/$I$48</f>
        <v>0.11840700493811016</v>
      </c>
      <c r="H49" s="3011"/>
      <c r="I49" s="3016"/>
      <c r="J49" s="3027"/>
      <c r="K49" s="3002"/>
    </row>
    <row r="50" spans="2:16" ht="27.75" customHeight="1" thickBot="1" x14ac:dyDescent="0.3">
      <c r="B50" s="2999"/>
      <c r="C50" s="3002"/>
      <c r="D50" s="2802" t="s">
        <v>785</v>
      </c>
      <c r="E50" s="3039">
        <f>ROUND(SUM(E46:E49),0)</f>
        <v>7438455</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1.5037005483014865</v>
      </c>
      <c r="F52" s="2823" t="s">
        <v>787</v>
      </c>
      <c r="G52" s="3041"/>
      <c r="H52" s="3011"/>
      <c r="I52" s="3016"/>
      <c r="J52" s="3027"/>
      <c r="K52" s="3002"/>
    </row>
    <row r="53" spans="2:16" ht="28.5" customHeight="1" thickBot="1" x14ac:dyDescent="0.25">
      <c r="B53" s="2999"/>
      <c r="C53" s="3002"/>
      <c r="D53" s="2801" t="s">
        <v>788</v>
      </c>
      <c r="E53" s="3043">
        <v>11185208.862015933</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6973038.9049874078</v>
      </c>
      <c r="J55" s="2812">
        <v>0.18559999999999999</v>
      </c>
      <c r="K55" s="2814">
        <f ca="1">$D$10*J55</f>
        <v>143960.17221411725</v>
      </c>
      <c r="M55" s="2824"/>
      <c r="P55" s="32"/>
    </row>
    <row r="56" spans="2:16" ht="25.5" customHeight="1" thickBot="1" x14ac:dyDescent="0.25">
      <c r="B56" s="3047" t="s">
        <v>245</v>
      </c>
      <c r="C56" s="3048">
        <f>'CNG Table A'!J23</f>
        <v>475581.6991567784</v>
      </c>
      <c r="D56" s="3038" t="s">
        <v>801</v>
      </c>
      <c r="E56" s="3038"/>
      <c r="F56" s="3038"/>
      <c r="G56" s="3038"/>
      <c r="H56" s="3001" t="s">
        <v>802</v>
      </c>
      <c r="I56" s="3052" t="s">
        <v>803</v>
      </c>
      <c r="J56" s="3026">
        <v>0.05</v>
      </c>
      <c r="K56" s="3001">
        <f ca="1">$D$10*J56</f>
        <v>38782.373980096243</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'CNG Table A'!J20+'CNG Table A'!J21</f>
        <v>3127825.4568665284</v>
      </c>
      <c r="D61" s="3038" t="s">
        <v>805</v>
      </c>
      <c r="E61" s="3038"/>
      <c r="F61" s="3038"/>
      <c r="G61" s="3038"/>
      <c r="H61" s="2809" t="s">
        <v>802</v>
      </c>
      <c r="I61" s="2814" t="s">
        <v>803</v>
      </c>
      <c r="J61" s="2812">
        <v>0.05</v>
      </c>
      <c r="K61" s="2809">
        <f ca="1">$D$10*J61</f>
        <v>38782.373980096243</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7756.474796019249</v>
      </c>
      <c r="P62" s="32"/>
    </row>
    <row r="63" spans="2:16" ht="34.5" customHeight="1" thickBot="1" x14ac:dyDescent="0.3">
      <c r="B63" s="3049" t="s">
        <v>809</v>
      </c>
      <c r="C63" s="3050"/>
      <c r="D63" s="3050"/>
      <c r="E63" s="3050"/>
      <c r="F63" s="3050"/>
      <c r="G63" s="3050"/>
      <c r="H63" s="3051"/>
      <c r="I63" s="2825"/>
      <c r="J63" s="2826">
        <f>SUM(J28:J62)</f>
        <v>1</v>
      </c>
      <c r="K63" s="2827">
        <f ca="1">SUM(K28:K62)</f>
        <v>775647.47960192477</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26D9F-1B80-46A3-BB95-44944736CFD2}">
  <sheetPr>
    <tabColor rgb="FFFF66FF"/>
  </sheetPr>
  <dimension ref="B2:AK87"/>
  <sheetViews>
    <sheetView showGridLines="0" zoomScale="75" zoomScaleNormal="75" zoomScalePageLayoutView="80" workbookViewId="0">
      <selection activeCell="B12" sqref="B12:D14"/>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811</v>
      </c>
      <c r="C2" s="2977"/>
      <c r="D2" s="2977"/>
      <c r="E2" s="2977"/>
      <c r="F2" s="2766"/>
      <c r="G2" s="37"/>
      <c r="H2" s="37"/>
      <c r="J2" s="2767"/>
      <c r="L2" s="37"/>
      <c r="M2" s="37"/>
    </row>
    <row r="3" spans="2:37" ht="28.5" customHeight="1" x14ac:dyDescent="0.35">
      <c r="B3" s="2769" t="s">
        <v>771</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CNG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CNG Performance Incentive is $778,909 and is based on achieving 100% of all performance 
targets and earning an incentive of 5.0% of the total EE program budget of $15,578,181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812</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4" ca="1" si="0">C7*$C$16</f>
        <v>389454.53180624364</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545236.34452874109</v>
      </c>
      <c r="E8" s="2779"/>
      <c r="F8" s="2779"/>
      <c r="G8" s="2780"/>
      <c r="H8" s="37"/>
      <c r="J8" s="2767"/>
      <c r="L8" s="37"/>
      <c r="M8" s="37"/>
      <c r="T8" s="2828" t="s">
        <v>813</v>
      </c>
      <c r="U8" s="2828"/>
      <c r="V8" s="2828"/>
      <c r="W8" s="2828"/>
      <c r="X8" s="2828"/>
      <c r="Y8" s="2828"/>
      <c r="Z8" s="2828"/>
      <c r="AA8" s="2828"/>
      <c r="AB8" s="2828"/>
      <c r="AC8" s="2828"/>
      <c r="AD8" s="2828"/>
      <c r="AE8" s="2829">
        <f ca="1">D10</f>
        <v>778909.06361248728</v>
      </c>
      <c r="AF8" s="2828"/>
      <c r="AG8" s="2828"/>
      <c r="AH8" s="2828"/>
      <c r="AI8" s="2828"/>
      <c r="AJ8" s="2828"/>
      <c r="AK8" s="2828"/>
    </row>
    <row r="9" spans="2:37" ht="30" customHeight="1" x14ac:dyDescent="0.2">
      <c r="B9" s="2776">
        <v>95</v>
      </c>
      <c r="C9" s="2777">
        <v>4.4999999999999998E-2</v>
      </c>
      <c r="D9" s="2778">
        <f t="shared" ca="1" si="0"/>
        <v>701018.15725123847</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778909.06361248728</v>
      </c>
      <c r="E10" s="2779"/>
      <c r="F10" s="2779"/>
      <c r="G10" s="2780"/>
      <c r="H10" s="37"/>
      <c r="J10" s="2767"/>
      <c r="L10" s="37"/>
      <c r="M10" s="37"/>
      <c r="T10" s="2828" t="s">
        <v>815</v>
      </c>
      <c r="U10" s="2828"/>
      <c r="V10" s="2828"/>
      <c r="W10" s="2828"/>
      <c r="X10" s="2828"/>
      <c r="Y10" s="2828"/>
      <c r="Z10" s="2828"/>
      <c r="AA10" s="2828"/>
      <c r="AB10" s="2828"/>
      <c r="AC10" s="2829">
        <f ca="1">C16</f>
        <v>15578181.272249745</v>
      </c>
      <c r="AD10" s="2828"/>
      <c r="AE10" s="2828"/>
      <c r="AF10" s="2828"/>
      <c r="AG10" s="2828"/>
      <c r="AH10" s="2828"/>
      <c r="AI10" s="2828"/>
      <c r="AJ10" s="2828"/>
      <c r="AK10" s="2828"/>
    </row>
    <row r="11" spans="2:37" ht="29.25" customHeight="1" x14ac:dyDescent="0.2">
      <c r="B11" s="2776">
        <v>105</v>
      </c>
      <c r="C11" s="2777">
        <v>5.5E-2</v>
      </c>
      <c r="D11" s="2778">
        <f t="shared" ca="1" si="0"/>
        <v>856799.96997373598</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912881.42255383509</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1001677.0558056586</v>
      </c>
      <c r="E13" s="2786"/>
      <c r="F13" s="2786"/>
      <c r="G13" s="2780"/>
      <c r="H13" s="37"/>
      <c r="J13" s="2767"/>
      <c r="L13" s="37"/>
      <c r="M13" s="37"/>
    </row>
    <row r="14" spans="2:37" ht="19.5" customHeight="1" x14ac:dyDescent="0.2">
      <c r="B14" s="3057">
        <v>135</v>
      </c>
      <c r="C14" s="3059">
        <v>7.0000000000000007E-2</v>
      </c>
      <c r="D14" s="2778">
        <f t="shared" ca="1" si="0"/>
        <v>1090472.6890574822</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'CNG Table A'!M51-'CNG Table A'!M49-'CNG Table A'!M48-'CNG Table A'!M47-'CNG Table A'!M45</f>
        <v>15578181.272249745</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'CNG Table A'!M18</f>
        <v>9549324.1933758017</v>
      </c>
      <c r="D28" s="3004" t="s">
        <v>3</v>
      </c>
      <c r="E28" s="3005"/>
      <c r="F28" s="3005"/>
      <c r="G28" s="3006"/>
      <c r="H28" s="3010" t="s">
        <v>780</v>
      </c>
      <c r="I28" s="3010" t="s">
        <v>781</v>
      </c>
      <c r="J28" s="3026">
        <v>0.21440000000000001</v>
      </c>
      <c r="K28" s="3001">
        <f ca="1">$D$10*J28</f>
        <v>166998.10323851727</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504660.00000000006</v>
      </c>
      <c r="F30" s="3014"/>
      <c r="G30" s="2800">
        <f>(E30*E$37)/I$33</f>
        <v>5.2173751225099978E-2</v>
      </c>
      <c r="H30" s="3011"/>
      <c r="I30" s="3011"/>
      <c r="J30" s="3027"/>
      <c r="K30" s="3002"/>
      <c r="L30" s="37"/>
      <c r="M30" s="37"/>
    </row>
    <row r="31" spans="2:13" ht="18.75" customHeight="1" thickBot="1" x14ac:dyDescent="0.3">
      <c r="B31" s="2999"/>
      <c r="C31" s="3002"/>
      <c r="D31" s="2799" t="s">
        <v>160</v>
      </c>
      <c r="E31" s="3013">
        <v>2642992.8033421943</v>
      </c>
      <c r="F31" s="3014"/>
      <c r="G31" s="2800">
        <f>(E31*E$37)/I$33</f>
        <v>0.27324307258610792</v>
      </c>
      <c r="H31" s="3011"/>
      <c r="I31" s="3011"/>
      <c r="J31" s="3027"/>
      <c r="K31" s="3002"/>
      <c r="L31" s="37"/>
      <c r="M31" s="37"/>
    </row>
    <row r="32" spans="2:13" ht="18.75" customHeight="1" thickBot="1" x14ac:dyDescent="0.3">
      <c r="B32" s="2999"/>
      <c r="C32" s="3002"/>
      <c r="D32" s="2799" t="s">
        <v>782</v>
      </c>
      <c r="E32" s="3013">
        <v>1799572.2190146968</v>
      </c>
      <c r="F32" s="3014"/>
      <c r="G32" s="2800">
        <f>(E32*E$37)/I$33</f>
        <v>0.1860469093379184</v>
      </c>
      <c r="H32" s="3011"/>
      <c r="I32" s="3012"/>
      <c r="J32" s="3027"/>
      <c r="K32" s="3002"/>
      <c r="L32" s="37"/>
      <c r="M32" s="37"/>
    </row>
    <row r="33" spans="2:17" ht="18.75" customHeight="1" thickBot="1" x14ac:dyDescent="0.3">
      <c r="B33" s="2999"/>
      <c r="C33" s="3002"/>
      <c r="D33" s="2799" t="s">
        <v>783</v>
      </c>
      <c r="E33" s="3013">
        <v>4452578.595024744</v>
      </c>
      <c r="F33" s="3014"/>
      <c r="G33" s="2800">
        <f>(E33*E$37)/I$33</f>
        <v>0.46032522475929566</v>
      </c>
      <c r="H33" s="3011"/>
      <c r="I33" s="3015">
        <f>E38</f>
        <v>15226092.538181184</v>
      </c>
      <c r="J33" s="3027"/>
      <c r="K33" s="3002"/>
      <c r="L33" s="37"/>
      <c r="M33" s="37"/>
    </row>
    <row r="34" spans="2:17" ht="28.5" customHeight="1" thickBot="1" x14ac:dyDescent="0.3">
      <c r="B34" s="2999"/>
      <c r="C34" s="3002"/>
      <c r="D34" s="2801" t="s">
        <v>784</v>
      </c>
      <c r="E34" s="3013">
        <v>272876.19047619047</v>
      </c>
      <c r="F34" s="3014"/>
      <c r="G34" s="2800">
        <f>(E34*E$37)/I$33</f>
        <v>2.8211022227158392E-2</v>
      </c>
      <c r="H34" s="3011"/>
      <c r="I34" s="3016"/>
      <c r="J34" s="3027"/>
      <c r="K34" s="3002"/>
      <c r="L34" s="37"/>
      <c r="M34" s="37"/>
    </row>
    <row r="35" spans="2:17" ht="18.75" customHeight="1" thickBot="1" x14ac:dyDescent="0.3">
      <c r="B35" s="2999"/>
      <c r="C35" s="3002"/>
      <c r="D35" s="2802" t="s">
        <v>785</v>
      </c>
      <c r="E35" s="3018">
        <f>ROUND(SUM(E30:E34),0)</f>
        <v>9672680</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1.5741338014057307</v>
      </c>
      <c r="F37" s="2806" t="s">
        <v>787</v>
      </c>
      <c r="G37" s="2807"/>
      <c r="H37" s="3011"/>
      <c r="I37" s="3016"/>
      <c r="J37" s="3027"/>
      <c r="K37" s="3002"/>
      <c r="L37" s="37"/>
      <c r="M37" s="37"/>
    </row>
    <row r="38" spans="2:17" ht="21.75" customHeight="1" thickBot="1" x14ac:dyDescent="0.25">
      <c r="B38" s="2999"/>
      <c r="C38" s="3002"/>
      <c r="D38" s="2808" t="s">
        <v>788</v>
      </c>
      <c r="E38" s="2809">
        <v>15226092.538181184</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5676768.3448053822</v>
      </c>
      <c r="J40" s="2812">
        <v>0.21440000000000001</v>
      </c>
      <c r="K40" s="2809">
        <f ca="1">$D$10*J40</f>
        <v>166998.10323851727</v>
      </c>
      <c r="L40" s="37"/>
      <c r="M40" s="37"/>
    </row>
    <row r="41" spans="2:17" ht="120" customHeight="1" thickBot="1" x14ac:dyDescent="0.25">
      <c r="B41" s="2813" t="s">
        <v>160</v>
      </c>
      <c r="C41" s="2809">
        <f>'CNG Table A'!M14</f>
        <v>3331236.7278325986</v>
      </c>
      <c r="D41" s="3029" t="s">
        <v>791</v>
      </c>
      <c r="E41" s="3029"/>
      <c r="F41" s="3029"/>
      <c r="G41" s="3029"/>
      <c r="H41" s="2814" t="s">
        <v>792</v>
      </c>
      <c r="I41" s="2815" t="s">
        <v>793</v>
      </c>
      <c r="J41" s="2816">
        <v>4.4999999999999998E-2</v>
      </c>
      <c r="K41" s="2817">
        <f ca="1">$D$10*J41</f>
        <v>35050.90786256193</v>
      </c>
      <c r="L41" s="37"/>
      <c r="M41" s="37"/>
    </row>
    <row r="42" spans="2:17" ht="91.5" customHeight="1" thickBot="1" x14ac:dyDescent="0.25">
      <c r="B42" s="2801" t="s">
        <v>794</v>
      </c>
      <c r="C42" s="2809">
        <f>'CNG Table A'!M16</f>
        <v>4862141.4270319892</v>
      </c>
      <c r="D42" s="3029" t="s">
        <v>791</v>
      </c>
      <c r="E42" s="3029"/>
      <c r="F42" s="3029"/>
      <c r="G42" s="3029"/>
      <c r="H42" s="2814" t="s">
        <v>792</v>
      </c>
      <c r="I42" s="2815" t="s">
        <v>793</v>
      </c>
      <c r="J42" s="2816">
        <v>4.4999999999999998E-2</v>
      </c>
      <c r="K42" s="2817">
        <f ca="1">$D$10*J42</f>
        <v>35050.90786256193</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'CNG Table A'!M24</f>
        <v>4324023.0400326578</v>
      </c>
      <c r="D46" s="2801" t="s">
        <v>285</v>
      </c>
      <c r="E46" s="3036">
        <v>3330849.9329671147</v>
      </c>
      <c r="F46" s="3037"/>
      <c r="G46" s="2800">
        <f>(E46*$E$52)/$I$48</f>
        <v>0.44083393139106841</v>
      </c>
      <c r="H46" s="3010" t="s">
        <v>797</v>
      </c>
      <c r="I46" s="3038" t="s">
        <v>798</v>
      </c>
      <c r="J46" s="3026">
        <v>0.18559999999999999</v>
      </c>
      <c r="K46" s="3001">
        <f ca="1">$D$10*J46</f>
        <v>144565.52220647762</v>
      </c>
    </row>
    <row r="47" spans="2:17" ht="28.5" customHeight="1" thickBot="1" x14ac:dyDescent="0.3">
      <c r="B47" s="2999"/>
      <c r="C47" s="3002"/>
      <c r="D47" s="2801" t="s">
        <v>275</v>
      </c>
      <c r="E47" s="3036">
        <v>1664389.6330501966</v>
      </c>
      <c r="F47" s="3037"/>
      <c r="G47" s="2800">
        <f>(E47*$E$52)/$I$48</f>
        <v>0.22027994057674644</v>
      </c>
      <c r="H47" s="3011"/>
      <c r="I47" s="3038"/>
      <c r="J47" s="3027"/>
      <c r="K47" s="3002"/>
    </row>
    <row r="48" spans="2:17" ht="36.75" thickBot="1" x14ac:dyDescent="0.3">
      <c r="B48" s="2999"/>
      <c r="C48" s="3002"/>
      <c r="D48" s="2801" t="s">
        <v>799</v>
      </c>
      <c r="E48" s="3036">
        <v>1673560.5530242787</v>
      </c>
      <c r="F48" s="3037"/>
      <c r="G48" s="2800">
        <f>(E48*$E$52)/$I$48</f>
        <v>0.22149370066441457</v>
      </c>
      <c r="H48" s="3011"/>
      <c r="I48" s="3015">
        <f>E53</f>
        <v>11516917.300179383</v>
      </c>
      <c r="J48" s="3027"/>
      <c r="K48" s="3002"/>
    </row>
    <row r="49" spans="2:16" ht="30.75" customHeight="1" thickBot="1" x14ac:dyDescent="0.3">
      <c r="B49" s="2999"/>
      <c r="C49" s="3002"/>
      <c r="D49" s="2801" t="s">
        <v>245</v>
      </c>
      <c r="E49" s="3036">
        <v>886992.39451362903</v>
      </c>
      <c r="F49" s="3037"/>
      <c r="G49" s="2800">
        <f>(E49*$E$52)/$I$48</f>
        <v>0.11739236298739644</v>
      </c>
      <c r="H49" s="3011"/>
      <c r="I49" s="3016"/>
      <c r="J49" s="3027"/>
      <c r="K49" s="3002"/>
    </row>
    <row r="50" spans="2:16" ht="27.75" customHeight="1" thickBot="1" x14ac:dyDescent="0.3">
      <c r="B50" s="2999"/>
      <c r="C50" s="3002"/>
      <c r="D50" s="2802" t="s">
        <v>785</v>
      </c>
      <c r="E50" s="3039">
        <f>ROUND(SUM(E46:E49),0)</f>
        <v>7555793</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1.5242499761678732</v>
      </c>
      <c r="F52" s="2823" t="s">
        <v>787</v>
      </c>
      <c r="G52" s="3041"/>
      <c r="H52" s="3011"/>
      <c r="I52" s="3016"/>
      <c r="J52" s="3027"/>
      <c r="K52" s="3002"/>
    </row>
    <row r="53" spans="2:16" ht="28.5" customHeight="1" thickBot="1" x14ac:dyDescent="0.25">
      <c r="B53" s="2999"/>
      <c r="C53" s="3002"/>
      <c r="D53" s="2801" t="s">
        <v>788</v>
      </c>
      <c r="E53" s="3043">
        <v>11516917.300179383</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7192894.260146725</v>
      </c>
      <c r="J55" s="2812">
        <v>0.18559999999999999</v>
      </c>
      <c r="K55" s="2814">
        <f ca="1">$D$10*J55</f>
        <v>144565.52220647762</v>
      </c>
      <c r="M55" s="2824"/>
      <c r="P55" s="32"/>
    </row>
    <row r="56" spans="2:16" ht="25.5" customHeight="1" thickBot="1" x14ac:dyDescent="0.25">
      <c r="B56" s="3047" t="s">
        <v>245</v>
      </c>
      <c r="C56" s="3048">
        <f>'CNG Table A'!M23</f>
        <v>484607.63636258419</v>
      </c>
      <c r="D56" s="3038" t="s">
        <v>801</v>
      </c>
      <c r="E56" s="3038"/>
      <c r="F56" s="3038"/>
      <c r="G56" s="3038"/>
      <c r="H56" s="3001" t="s">
        <v>802</v>
      </c>
      <c r="I56" s="3052" t="s">
        <v>803</v>
      </c>
      <c r="J56" s="3026">
        <v>0.05</v>
      </c>
      <c r="K56" s="3001">
        <f ca="1">$D$10*J56</f>
        <v>38945.453180624369</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'CNG Table A'!M20+'CNG Table A'!M21</f>
        <v>3215176.2894281382</v>
      </c>
      <c r="D61" s="3038" t="s">
        <v>805</v>
      </c>
      <c r="E61" s="3038"/>
      <c r="F61" s="3038"/>
      <c r="G61" s="3038"/>
      <c r="H61" s="2809" t="s">
        <v>802</v>
      </c>
      <c r="I61" s="2814" t="s">
        <v>803</v>
      </c>
      <c r="J61" s="2812">
        <v>0.05</v>
      </c>
      <c r="K61" s="2809">
        <f ca="1">$D$10*J61</f>
        <v>38945.453180624369</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7789.0906361248726</v>
      </c>
      <c r="P62" s="32"/>
    </row>
    <row r="63" spans="2:16" ht="34.5" customHeight="1" thickBot="1" x14ac:dyDescent="0.3">
      <c r="B63" s="3049" t="s">
        <v>809</v>
      </c>
      <c r="C63" s="3050"/>
      <c r="D63" s="3050"/>
      <c r="E63" s="3050"/>
      <c r="F63" s="3050"/>
      <c r="G63" s="3050"/>
      <c r="H63" s="3051"/>
      <c r="I63" s="2825"/>
      <c r="J63" s="2826">
        <f>SUM(J28:J62)</f>
        <v>1</v>
      </c>
      <c r="K63" s="2827">
        <f ca="1">SUM(K28:K62)</f>
        <v>778909.06361248728</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7A337-D97C-464B-B794-FF51C9F6B66B}">
  <sheetPr>
    <tabColor rgb="FFFF66FF"/>
  </sheetPr>
  <dimension ref="B2:AK87"/>
  <sheetViews>
    <sheetView showGridLines="0" topLeftCell="A19" zoomScale="75" zoomScaleNormal="75" zoomScalePageLayoutView="80" workbookViewId="0">
      <selection activeCell="B12" sqref="B12:D14"/>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817</v>
      </c>
      <c r="C2" s="2977"/>
      <c r="D2" s="2977"/>
      <c r="E2" s="2977"/>
      <c r="F2" s="2766"/>
      <c r="G2" s="37"/>
      <c r="H2" s="37"/>
      <c r="J2" s="2767"/>
      <c r="L2" s="37"/>
      <c r="M2" s="37"/>
    </row>
    <row r="3" spans="2:37" ht="28.5" customHeight="1" x14ac:dyDescent="0.35">
      <c r="B3" s="2769" t="s">
        <v>769</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SCG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SCG Performance Incentive is $575,618 and is based on achieving 100% of all performance 
targets and earning an incentive of 5.0% of the total EE program budget of $11,512,369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818</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4" ca="1" si="0">C7*$C$16</f>
        <v>287809.23110009567</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402932.92354013398</v>
      </c>
      <c r="E8" s="2779"/>
      <c r="F8" s="2779"/>
      <c r="G8" s="2780"/>
      <c r="H8" s="37"/>
      <c r="J8" s="2767"/>
      <c r="L8" s="37"/>
      <c r="M8" s="37"/>
      <c r="T8" s="2828" t="s">
        <v>819</v>
      </c>
      <c r="U8" s="2828"/>
      <c r="V8" s="2828"/>
      <c r="W8" s="2828"/>
      <c r="X8" s="2828"/>
      <c r="Y8" s="2828"/>
      <c r="Z8" s="2828"/>
      <c r="AA8" s="2828"/>
      <c r="AB8" s="2828"/>
      <c r="AC8" s="2828"/>
      <c r="AD8" s="2828"/>
      <c r="AE8" s="2829">
        <f ca="1">D10</f>
        <v>575618.46220019134</v>
      </c>
      <c r="AF8" s="2828"/>
      <c r="AG8" s="2828"/>
      <c r="AH8" s="2828"/>
      <c r="AI8" s="2828"/>
      <c r="AJ8" s="2828"/>
      <c r="AK8" s="2828"/>
    </row>
    <row r="9" spans="2:37" ht="30" customHeight="1" x14ac:dyDescent="0.2">
      <c r="B9" s="2776">
        <v>95</v>
      </c>
      <c r="C9" s="2777">
        <v>4.4999999999999998E-2</v>
      </c>
      <c r="D9" s="2778">
        <f t="shared" ca="1" si="0"/>
        <v>518056.61598017218</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575618.46220019134</v>
      </c>
      <c r="E10" s="2779"/>
      <c r="F10" s="2779"/>
      <c r="G10" s="2780"/>
      <c r="H10" s="37"/>
      <c r="J10" s="2767"/>
      <c r="L10" s="37"/>
      <c r="M10" s="37"/>
      <c r="T10" s="2828" t="s">
        <v>815</v>
      </c>
      <c r="U10" s="2828"/>
      <c r="V10" s="2828"/>
      <c r="W10" s="2828"/>
      <c r="X10" s="2828"/>
      <c r="Y10" s="2828"/>
      <c r="Z10" s="2828"/>
      <c r="AA10" s="2828"/>
      <c r="AB10" s="2828"/>
      <c r="AC10" s="2829">
        <f ca="1">C16</f>
        <v>11512369.244003827</v>
      </c>
      <c r="AD10" s="2828"/>
      <c r="AE10" s="2828"/>
      <c r="AF10" s="2828"/>
      <c r="AG10" s="2828"/>
      <c r="AH10" s="2828"/>
      <c r="AI10" s="2828"/>
      <c r="AJ10" s="2828"/>
      <c r="AK10" s="2828"/>
    </row>
    <row r="11" spans="2:37" ht="29.25" customHeight="1" x14ac:dyDescent="0.2">
      <c r="B11" s="2776">
        <v>105</v>
      </c>
      <c r="C11" s="2777">
        <v>5.5E-2</v>
      </c>
      <c r="D11" s="2778">
        <f t="shared" ca="1" si="0"/>
        <v>633180.30842021049</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674624.83769862424</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740245.34238944598</v>
      </c>
      <c r="E13" s="2786"/>
      <c r="F13" s="2786"/>
      <c r="G13" s="2780"/>
      <c r="H13" s="37"/>
      <c r="J13" s="2767"/>
      <c r="L13" s="37"/>
      <c r="M13" s="37"/>
    </row>
    <row r="14" spans="2:37" ht="19.5" customHeight="1" x14ac:dyDescent="0.2">
      <c r="B14" s="3057">
        <v>135</v>
      </c>
      <c r="C14" s="3059">
        <v>7.0000000000000007E-2</v>
      </c>
      <c r="D14" s="2778">
        <f t="shared" ca="1" si="0"/>
        <v>805865.84708026797</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'SCG Table A'!G51-'SCG Table A'!G49-'SCG Table A'!G48-'SCG Table A'!G47-'SCG Table A'!G45</f>
        <v>11512369.244003827</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'SCG Table A'!G18</f>
        <v>6721453.161264291</v>
      </c>
      <c r="D28" s="3004" t="s">
        <v>3</v>
      </c>
      <c r="E28" s="3005"/>
      <c r="F28" s="3005"/>
      <c r="G28" s="3006"/>
      <c r="H28" s="3010" t="s">
        <v>780</v>
      </c>
      <c r="I28" s="3010" t="s">
        <v>781</v>
      </c>
      <c r="J28" s="3026">
        <v>0.21440000000000001</v>
      </c>
      <c r="K28" s="3001">
        <f ca="1">$D$10*J28</f>
        <v>123412.59829572102</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2210520</v>
      </c>
      <c r="F30" s="3014"/>
      <c r="G30" s="2800">
        <f>(E30*E$37)/I$33</f>
        <v>0.20929133393069904</v>
      </c>
      <c r="H30" s="3011"/>
      <c r="I30" s="3011"/>
      <c r="J30" s="3027"/>
      <c r="K30" s="3002"/>
      <c r="L30" s="37"/>
      <c r="M30" s="37"/>
    </row>
    <row r="31" spans="2:13" ht="18.75" customHeight="1" thickBot="1" x14ac:dyDescent="0.3">
      <c r="B31" s="2999"/>
      <c r="C31" s="3002"/>
      <c r="D31" s="2799" t="s">
        <v>160</v>
      </c>
      <c r="E31" s="3013">
        <v>2599741.2349030585</v>
      </c>
      <c r="F31" s="3014"/>
      <c r="G31" s="2800">
        <f>(E31*E$37)/I$33</f>
        <v>0.24614267725580583</v>
      </c>
      <c r="H31" s="3011"/>
      <c r="I31" s="3011"/>
      <c r="J31" s="3027"/>
      <c r="K31" s="3002"/>
      <c r="L31" s="37"/>
      <c r="M31" s="37"/>
    </row>
    <row r="32" spans="2:13" ht="18.75" customHeight="1" thickBot="1" x14ac:dyDescent="0.3">
      <c r="B32" s="2999"/>
      <c r="C32" s="3002"/>
      <c r="D32" s="2799" t="s">
        <v>782</v>
      </c>
      <c r="E32" s="3013">
        <v>2348355.0787246507</v>
      </c>
      <c r="F32" s="3014"/>
      <c r="G32" s="2800">
        <f>(E32*E$37)/I$33</f>
        <v>0.22234151555706977</v>
      </c>
      <c r="H32" s="3011"/>
      <c r="I32" s="3012"/>
      <c r="J32" s="3027"/>
      <c r="K32" s="3002"/>
      <c r="L32" s="37"/>
      <c r="M32" s="37"/>
    </row>
    <row r="33" spans="2:17" ht="18.75" customHeight="1" thickBot="1" x14ac:dyDescent="0.3">
      <c r="B33" s="2999"/>
      <c r="C33" s="3002"/>
      <c r="D33" s="2799" t="s">
        <v>783</v>
      </c>
      <c r="E33" s="3013">
        <v>3148078.6789470152</v>
      </c>
      <c r="F33" s="3014"/>
      <c r="G33" s="2800">
        <f>(E33*E$37)/I$33</f>
        <v>0.29805909289923349</v>
      </c>
      <c r="H33" s="3011"/>
      <c r="I33" s="3015">
        <f>E38</f>
        <v>16163443.827008784</v>
      </c>
      <c r="J33" s="3027"/>
      <c r="K33" s="3002"/>
      <c r="L33" s="37"/>
      <c r="M33" s="37"/>
    </row>
    <row r="34" spans="2:17" ht="28.5" customHeight="1" thickBot="1" x14ac:dyDescent="0.3">
      <c r="B34" s="2999"/>
      <c r="C34" s="3002"/>
      <c r="D34" s="2801" t="s">
        <v>784</v>
      </c>
      <c r="E34" s="3013">
        <v>255232.65306122447</v>
      </c>
      <c r="F34" s="3014"/>
      <c r="G34" s="2800">
        <f>(E34*E$37)/I$33</f>
        <v>2.4165346806115748E-2</v>
      </c>
      <c r="H34" s="3011"/>
      <c r="I34" s="3016"/>
      <c r="J34" s="3027"/>
      <c r="K34" s="3002"/>
      <c r="L34" s="37"/>
      <c r="M34" s="37"/>
    </row>
    <row r="35" spans="2:17" ht="18.75" customHeight="1" thickBot="1" x14ac:dyDescent="0.3">
      <c r="B35" s="2999"/>
      <c r="C35" s="3002"/>
      <c r="D35" s="2802" t="s">
        <v>785</v>
      </c>
      <c r="E35" s="3018">
        <f>ROUND(SUM(E30:E34),0)</f>
        <v>10561928</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1.5303497455207784</v>
      </c>
      <c r="F37" s="2806" t="s">
        <v>787</v>
      </c>
      <c r="G37" s="2807"/>
      <c r="H37" s="3011"/>
      <c r="I37" s="3016"/>
      <c r="J37" s="3027"/>
      <c r="K37" s="3002"/>
      <c r="L37" s="37"/>
      <c r="M37" s="37"/>
    </row>
    <row r="38" spans="2:17" ht="21.75" customHeight="1" thickBot="1" x14ac:dyDescent="0.25">
      <c r="B38" s="2999"/>
      <c r="C38" s="3002"/>
      <c r="D38" s="2808" t="s">
        <v>788</v>
      </c>
      <c r="E38" s="2809">
        <v>16163443.827008784</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9441990.6657444928</v>
      </c>
      <c r="J40" s="2812">
        <v>0.21440000000000001</v>
      </c>
      <c r="K40" s="2809">
        <f ca="1">$D$10*J40</f>
        <v>123412.59829572102</v>
      </c>
      <c r="L40" s="37"/>
      <c r="M40" s="37"/>
    </row>
    <row r="41" spans="2:17" ht="120" customHeight="1" thickBot="1" x14ac:dyDescent="0.25">
      <c r="B41" s="2813" t="s">
        <v>160</v>
      </c>
      <c r="C41" s="2809">
        <f>'SCG Table A'!G14</f>
        <v>1994681.0564015105</v>
      </c>
      <c r="D41" s="3029" t="s">
        <v>791</v>
      </c>
      <c r="E41" s="3029"/>
      <c r="F41" s="3029"/>
      <c r="G41" s="3029"/>
      <c r="H41" s="2814" t="s">
        <v>792</v>
      </c>
      <c r="I41" s="2815" t="s">
        <v>793</v>
      </c>
      <c r="J41" s="2816">
        <v>4.4999999999999998E-2</v>
      </c>
      <c r="K41" s="2817">
        <f ca="1">$D$10*J41</f>
        <v>25902.83079900861</v>
      </c>
      <c r="L41" s="37"/>
      <c r="M41" s="37"/>
    </row>
    <row r="42" spans="2:17" ht="91.5" customHeight="1" thickBot="1" x14ac:dyDescent="0.25">
      <c r="B42" s="2801" t="s">
        <v>794</v>
      </c>
      <c r="C42" s="2809">
        <f>'SCG Table A'!G16</f>
        <v>2663429.4900000002</v>
      </c>
      <c r="D42" s="3029" t="s">
        <v>791</v>
      </c>
      <c r="E42" s="3029"/>
      <c r="F42" s="3029"/>
      <c r="G42" s="3029"/>
      <c r="H42" s="2814" t="s">
        <v>792</v>
      </c>
      <c r="I42" s="2815" t="s">
        <v>793</v>
      </c>
      <c r="J42" s="2816">
        <v>4.4999999999999998E-2</v>
      </c>
      <c r="K42" s="2817">
        <f ca="1">$D$10*J42</f>
        <v>25902.83079900861</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'SCG Table A'!G24</f>
        <v>2707681.0126982504</v>
      </c>
      <c r="D46" s="2801" t="s">
        <v>285</v>
      </c>
      <c r="E46" s="3036">
        <v>2189074.8714584969</v>
      </c>
      <c r="F46" s="3037"/>
      <c r="G46" s="2800">
        <f>(E46*$E$52)/$I$48</f>
        <v>0.44430610881910293</v>
      </c>
      <c r="H46" s="3010" t="s">
        <v>797</v>
      </c>
      <c r="I46" s="3038" t="s">
        <v>798</v>
      </c>
      <c r="J46" s="3026">
        <v>0.18559999999999999</v>
      </c>
      <c r="K46" s="3001">
        <f ca="1">$D$10*J46</f>
        <v>106834.7865843555</v>
      </c>
    </row>
    <row r="47" spans="2:17" ht="28.5" customHeight="1" thickBot="1" x14ac:dyDescent="0.3">
      <c r="B47" s="2999"/>
      <c r="C47" s="3002"/>
      <c r="D47" s="2801" t="s">
        <v>275</v>
      </c>
      <c r="E47" s="3036">
        <v>1465853.958276361</v>
      </c>
      <c r="F47" s="3037"/>
      <c r="G47" s="2800">
        <f>(E47*$E$52)/$I$48</f>
        <v>0.29751740188992321</v>
      </c>
      <c r="H47" s="3011"/>
      <c r="I47" s="3038"/>
      <c r="J47" s="3027"/>
      <c r="K47" s="3002"/>
    </row>
    <row r="48" spans="2:17" ht="36.75" thickBot="1" x14ac:dyDescent="0.3">
      <c r="B48" s="2999"/>
      <c r="C48" s="3002"/>
      <c r="D48" s="2801" t="s">
        <v>799</v>
      </c>
      <c r="E48" s="3036">
        <v>708726.80882693105</v>
      </c>
      <c r="F48" s="3037"/>
      <c r="G48" s="2800">
        <f>(E48*$E$52)/$I$48</f>
        <v>0.14384690754586832</v>
      </c>
      <c r="H48" s="3011"/>
      <c r="I48" s="3015">
        <f>E53</f>
        <v>7113704.4210970066</v>
      </c>
      <c r="J48" s="3027"/>
      <c r="K48" s="3002"/>
    </row>
    <row r="49" spans="2:16" ht="30.75" customHeight="1" thickBot="1" x14ac:dyDescent="0.3">
      <c r="B49" s="2999"/>
      <c r="C49" s="3002"/>
      <c r="D49" s="2801" t="s">
        <v>245</v>
      </c>
      <c r="E49" s="3036">
        <v>563296.72565860697</v>
      </c>
      <c r="F49" s="3037"/>
      <c r="G49" s="2800">
        <f>(E49*$E$52)/$I$48</f>
        <v>0.11432965566918593</v>
      </c>
      <c r="H49" s="3011"/>
      <c r="I49" s="3016"/>
      <c r="J49" s="3027"/>
      <c r="K49" s="3002"/>
    </row>
    <row r="50" spans="2:16" ht="27.75" customHeight="1" thickBot="1" x14ac:dyDescent="0.3">
      <c r="B50" s="2999"/>
      <c r="C50" s="3002"/>
      <c r="D50" s="2802" t="s">
        <v>785</v>
      </c>
      <c r="E50" s="3039">
        <f>ROUND(SUM(E46:E49),0)</f>
        <v>4926952</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1.4438347321218081</v>
      </c>
      <c r="F52" s="2823" t="s">
        <v>787</v>
      </c>
      <c r="G52" s="3041"/>
      <c r="H52" s="3011"/>
      <c r="I52" s="3016"/>
      <c r="J52" s="3027"/>
      <c r="K52" s="3002"/>
    </row>
    <row r="53" spans="2:16" ht="28.5" customHeight="1" thickBot="1" x14ac:dyDescent="0.25">
      <c r="B53" s="2999"/>
      <c r="C53" s="3002"/>
      <c r="D53" s="2801" t="s">
        <v>788</v>
      </c>
      <c r="E53" s="3043">
        <v>7113704.4210970066</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4406023.4083987568</v>
      </c>
      <c r="J55" s="2812">
        <v>0.18559999999999999</v>
      </c>
      <c r="K55" s="2814">
        <f ca="1">$D$10*J55</f>
        <v>106834.7865843555</v>
      </c>
      <c r="M55" s="2824"/>
      <c r="P55" s="32"/>
    </row>
    <row r="56" spans="2:16" ht="25.5" customHeight="1" thickBot="1" x14ac:dyDescent="0.25">
      <c r="B56" s="3047" t="s">
        <v>245</v>
      </c>
      <c r="C56" s="3048">
        <f>'SCG Table A'!G23</f>
        <v>314296.37</v>
      </c>
      <c r="D56" s="3038" t="s">
        <v>801</v>
      </c>
      <c r="E56" s="3038"/>
      <c r="F56" s="3038"/>
      <c r="G56" s="3038"/>
      <c r="H56" s="3001" t="s">
        <v>802</v>
      </c>
      <c r="I56" s="3052" t="s">
        <v>803</v>
      </c>
      <c r="J56" s="3026">
        <v>0.05</v>
      </c>
      <c r="K56" s="3001">
        <f ca="1">$D$10*J56</f>
        <v>28780.923110009568</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'SCG Table A'!G20+'SCG Table A'!G21</f>
        <v>2023826.2833135412</v>
      </c>
      <c r="D61" s="3038" t="s">
        <v>805</v>
      </c>
      <c r="E61" s="3038"/>
      <c r="F61" s="3038"/>
      <c r="G61" s="3038"/>
      <c r="H61" s="2809" t="s">
        <v>802</v>
      </c>
      <c r="I61" s="2814" t="s">
        <v>803</v>
      </c>
      <c r="J61" s="2812">
        <v>0.05</v>
      </c>
      <c r="K61" s="2809">
        <f ca="1">$D$10*J61</f>
        <v>28780.923110009568</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5756.1846220019133</v>
      </c>
      <c r="P62" s="32"/>
    </row>
    <row r="63" spans="2:16" ht="34.5" customHeight="1" thickBot="1" x14ac:dyDescent="0.3">
      <c r="B63" s="3049" t="s">
        <v>809</v>
      </c>
      <c r="C63" s="3050"/>
      <c r="D63" s="3050"/>
      <c r="E63" s="3050"/>
      <c r="F63" s="3050"/>
      <c r="G63" s="3050"/>
      <c r="H63" s="3051"/>
      <c r="I63" s="2825"/>
      <c r="J63" s="2826">
        <f>SUM(J28:J62)</f>
        <v>1</v>
      </c>
      <c r="K63" s="2827">
        <f ca="1">SUM(K28:K62)</f>
        <v>575618.46220019134</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C80E9-B91E-484E-9F90-BE84114CCF4D}">
  <sheetPr>
    <tabColor rgb="FFFF66FF"/>
  </sheetPr>
  <dimension ref="B2:AK87"/>
  <sheetViews>
    <sheetView showGridLines="0" zoomScale="75" zoomScaleNormal="75" zoomScalePageLayoutView="80" workbookViewId="0">
      <selection activeCell="B12" sqref="B12:D14"/>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817</v>
      </c>
      <c r="C2" s="2977"/>
      <c r="D2" s="2977"/>
      <c r="E2" s="2977"/>
      <c r="F2" s="2766"/>
      <c r="G2" s="37"/>
      <c r="H2" s="37"/>
      <c r="J2" s="2767"/>
      <c r="L2" s="37"/>
      <c r="M2" s="37"/>
    </row>
    <row r="3" spans="2:37" ht="28.5" customHeight="1" x14ac:dyDescent="0.35">
      <c r="B3" s="2769" t="s">
        <v>770</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SCG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SCG Performance Incentive is $695,218 and is based on achieving 100% of all performance 
targets and earning an incentive of 5.0% of the total EE program budget of $13,904,353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818</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4" ca="1" si="0">C7*$C$16</f>
        <v>347608.82874964614</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486652.36024950462</v>
      </c>
      <c r="E8" s="2779"/>
      <c r="F8" s="2779"/>
      <c r="G8" s="2780"/>
      <c r="H8" s="37"/>
      <c r="J8" s="2767"/>
      <c r="L8" s="37"/>
      <c r="M8" s="37"/>
      <c r="T8" s="2828" t="s">
        <v>819</v>
      </c>
      <c r="U8" s="2828"/>
      <c r="V8" s="2828"/>
      <c r="W8" s="2828"/>
      <c r="X8" s="2828"/>
      <c r="Y8" s="2828"/>
      <c r="Z8" s="2828"/>
      <c r="AA8" s="2828"/>
      <c r="AB8" s="2828"/>
      <c r="AC8" s="2828"/>
      <c r="AD8" s="2828"/>
      <c r="AE8" s="2829">
        <f ca="1">D10</f>
        <v>695217.65749929228</v>
      </c>
      <c r="AF8" s="2828"/>
      <c r="AG8" s="2828"/>
      <c r="AH8" s="2828"/>
      <c r="AI8" s="2828"/>
      <c r="AJ8" s="2828"/>
      <c r="AK8" s="2828"/>
    </row>
    <row r="9" spans="2:37" ht="30" customHeight="1" x14ac:dyDescent="0.2">
      <c r="B9" s="2776">
        <v>95</v>
      </c>
      <c r="C9" s="2777">
        <v>4.4999999999999998E-2</v>
      </c>
      <c r="D9" s="2778">
        <f t="shared" ca="1" si="0"/>
        <v>625695.89174936293</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695217.65749929228</v>
      </c>
      <c r="E10" s="2779"/>
      <c r="F10" s="2779"/>
      <c r="G10" s="2780"/>
      <c r="H10" s="37"/>
      <c r="J10" s="2767"/>
      <c r="L10" s="37"/>
      <c r="M10" s="37"/>
      <c r="T10" s="2828" t="s">
        <v>815</v>
      </c>
      <c r="U10" s="2828"/>
      <c r="V10" s="2828"/>
      <c r="W10" s="2828"/>
      <c r="X10" s="2828"/>
      <c r="Y10" s="2828"/>
      <c r="Z10" s="2828"/>
      <c r="AA10" s="2828"/>
      <c r="AB10" s="2828"/>
      <c r="AC10" s="2829">
        <f ca="1">C16</f>
        <v>13904353.149985844</v>
      </c>
      <c r="AD10" s="2828"/>
      <c r="AE10" s="2828"/>
      <c r="AF10" s="2828"/>
      <c r="AG10" s="2828"/>
      <c r="AH10" s="2828"/>
      <c r="AI10" s="2828"/>
      <c r="AJ10" s="2828"/>
      <c r="AK10" s="2828"/>
    </row>
    <row r="11" spans="2:37" ht="29.25" customHeight="1" x14ac:dyDescent="0.2">
      <c r="B11" s="2776">
        <v>105</v>
      </c>
      <c r="C11" s="2777">
        <v>5.5E-2</v>
      </c>
      <c r="D11" s="2778">
        <f t="shared" ca="1" si="0"/>
        <v>764739.42324922141</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814795.09458917042</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894049.90754408971</v>
      </c>
      <c r="E13" s="2786"/>
      <c r="F13" s="2786"/>
      <c r="G13" s="2780"/>
      <c r="H13" s="37"/>
      <c r="J13" s="2767"/>
      <c r="L13" s="37"/>
      <c r="M13" s="37"/>
    </row>
    <row r="14" spans="2:37" ht="19.5" customHeight="1" x14ac:dyDescent="0.2">
      <c r="B14" s="3057">
        <v>135</v>
      </c>
      <c r="C14" s="3059">
        <v>7.0000000000000007E-2</v>
      </c>
      <c r="D14" s="2778">
        <f t="shared" ca="1" si="0"/>
        <v>973304.72049900924</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'SCG Table A'!J51-'SCG Table A'!J49-'SCG Table A'!J48-'SCG Table A'!J47-'SCG Table A'!J45</f>
        <v>13904353.149985844</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'SCG Table A'!J18</f>
        <v>8594411.3415863086</v>
      </c>
      <c r="D28" s="3004" t="s">
        <v>3</v>
      </c>
      <c r="E28" s="3005"/>
      <c r="F28" s="3005"/>
      <c r="G28" s="3006"/>
      <c r="H28" s="3010" t="s">
        <v>780</v>
      </c>
      <c r="I28" s="3010" t="s">
        <v>781</v>
      </c>
      <c r="J28" s="3026">
        <v>0.21440000000000001</v>
      </c>
      <c r="K28" s="3001">
        <f ca="1">$D$10*J28</f>
        <v>149054.66576784826</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1438125</v>
      </c>
      <c r="F30" s="3014"/>
      <c r="G30" s="2800">
        <f>(E30*E$37)/I$33</f>
        <v>0.15262929937035805</v>
      </c>
      <c r="H30" s="3011"/>
      <c r="I30" s="3011"/>
      <c r="J30" s="3027"/>
      <c r="K30" s="3002"/>
      <c r="L30" s="37"/>
      <c r="M30" s="37"/>
    </row>
    <row r="31" spans="2:13" ht="18.75" customHeight="1" thickBot="1" x14ac:dyDescent="0.3">
      <c r="B31" s="2999"/>
      <c r="C31" s="3002"/>
      <c r="D31" s="2799" t="s">
        <v>160</v>
      </c>
      <c r="E31" s="3013">
        <v>2538803.5892885276</v>
      </c>
      <c r="F31" s="3014"/>
      <c r="G31" s="2800">
        <f>(E31*E$37)/I$33</f>
        <v>0.26944515467852809</v>
      </c>
      <c r="H31" s="3011"/>
      <c r="I31" s="3011"/>
      <c r="J31" s="3027"/>
      <c r="K31" s="3002"/>
      <c r="L31" s="37"/>
      <c r="M31" s="37"/>
    </row>
    <row r="32" spans="2:13" ht="18.75" customHeight="1" thickBot="1" x14ac:dyDescent="0.3">
      <c r="B32" s="2999"/>
      <c r="C32" s="3002"/>
      <c r="D32" s="2799" t="s">
        <v>782</v>
      </c>
      <c r="E32" s="3013">
        <v>2042043.654013223</v>
      </c>
      <c r="F32" s="3014"/>
      <c r="G32" s="2800">
        <f>(E32*E$37)/I$33</f>
        <v>0.21672364515999934</v>
      </c>
      <c r="H32" s="3011"/>
      <c r="I32" s="3012"/>
      <c r="J32" s="3027"/>
      <c r="K32" s="3002"/>
      <c r="L32" s="37"/>
      <c r="M32" s="37"/>
    </row>
    <row r="33" spans="2:17" ht="18.75" customHeight="1" thickBot="1" x14ac:dyDescent="0.3">
      <c r="B33" s="2999"/>
      <c r="C33" s="3002"/>
      <c r="D33" s="2799" t="s">
        <v>783</v>
      </c>
      <c r="E33" s="3013">
        <v>3145918.446242562</v>
      </c>
      <c r="F33" s="3014"/>
      <c r="G33" s="2800">
        <f>(E33*E$37)/I$33</f>
        <v>0.333878715915715</v>
      </c>
      <c r="H33" s="3011"/>
      <c r="I33" s="3015">
        <f>E38</f>
        <v>14642863.747954408</v>
      </c>
      <c r="J33" s="3027"/>
      <c r="K33" s="3002"/>
      <c r="L33" s="37"/>
      <c r="M33" s="37"/>
    </row>
    <row r="34" spans="2:17" ht="28.5" customHeight="1" thickBot="1" x14ac:dyDescent="0.3">
      <c r="B34" s="2999"/>
      <c r="C34" s="3002"/>
      <c r="D34" s="2801" t="s">
        <v>784</v>
      </c>
      <c r="E34" s="3013">
        <v>257448.3965014577</v>
      </c>
      <c r="F34" s="3014"/>
      <c r="G34" s="2800">
        <f>(E34*E$37)/I$33</f>
        <v>2.7323194007502563E-2</v>
      </c>
      <c r="H34" s="3011"/>
      <c r="I34" s="3016"/>
      <c r="J34" s="3027"/>
      <c r="K34" s="3002"/>
      <c r="L34" s="37"/>
      <c r="M34" s="37"/>
    </row>
    <row r="35" spans="2:17" ht="18.75" customHeight="1" thickBot="1" x14ac:dyDescent="0.3">
      <c r="B35" s="2999"/>
      <c r="C35" s="3002"/>
      <c r="D35" s="2802" t="s">
        <v>785</v>
      </c>
      <c r="E35" s="3018">
        <f>ROUND(SUM(E30:E34),0)</f>
        <v>9422339</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1.5540582596268726</v>
      </c>
      <c r="F37" s="2806" t="s">
        <v>787</v>
      </c>
      <c r="G37" s="2807"/>
      <c r="H37" s="3011"/>
      <c r="I37" s="3016"/>
      <c r="J37" s="3027"/>
      <c r="K37" s="3002"/>
      <c r="L37" s="37"/>
      <c r="M37" s="37"/>
    </row>
    <row r="38" spans="2:17" ht="21.75" customHeight="1" thickBot="1" x14ac:dyDescent="0.25">
      <c r="B38" s="2999"/>
      <c r="C38" s="3002"/>
      <c r="D38" s="2808" t="s">
        <v>788</v>
      </c>
      <c r="E38" s="2809">
        <v>14642863.747954408</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6048452.4063680992</v>
      </c>
      <c r="J40" s="2812">
        <v>0.21440000000000001</v>
      </c>
      <c r="K40" s="2809">
        <f ca="1">$D$10*J40</f>
        <v>149054.66576784826</v>
      </c>
      <c r="L40" s="37"/>
      <c r="M40" s="37"/>
    </row>
    <row r="41" spans="2:17" ht="120" customHeight="1" thickBot="1" x14ac:dyDescent="0.25">
      <c r="B41" s="2813" t="s">
        <v>160</v>
      </c>
      <c r="C41" s="2809">
        <f>'SCG Table A'!J14</f>
        <v>3018666.8668640885</v>
      </c>
      <c r="D41" s="3029" t="s">
        <v>791</v>
      </c>
      <c r="E41" s="3029"/>
      <c r="F41" s="3029"/>
      <c r="G41" s="3029"/>
      <c r="H41" s="2814" t="s">
        <v>792</v>
      </c>
      <c r="I41" s="2815" t="s">
        <v>793</v>
      </c>
      <c r="J41" s="2816">
        <v>4.4999999999999998E-2</v>
      </c>
      <c r="K41" s="2817">
        <f ca="1">$D$10*J41</f>
        <v>31284.79458746815</v>
      </c>
      <c r="L41" s="37"/>
      <c r="M41" s="37"/>
    </row>
    <row r="42" spans="2:17" ht="91.5" customHeight="1" thickBot="1" x14ac:dyDescent="0.25">
      <c r="B42" s="2801" t="s">
        <v>794</v>
      </c>
      <c r="C42" s="2809">
        <f>'SCG Table A'!J16</f>
        <v>3876844.8191903494</v>
      </c>
      <c r="D42" s="3029" t="s">
        <v>791</v>
      </c>
      <c r="E42" s="3029"/>
      <c r="F42" s="3029"/>
      <c r="G42" s="3029"/>
      <c r="H42" s="2814" t="s">
        <v>792</v>
      </c>
      <c r="I42" s="2815" t="s">
        <v>793</v>
      </c>
      <c r="J42" s="2816">
        <v>4.4999999999999998E-2</v>
      </c>
      <c r="K42" s="2817">
        <f ca="1">$D$10*J42</f>
        <v>31284.79458746815</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'SCG Table A'!J24</f>
        <v>3478440.7283582515</v>
      </c>
      <c r="D46" s="2801" t="s">
        <v>285</v>
      </c>
      <c r="E46" s="3036">
        <v>2823758.1456295531</v>
      </c>
      <c r="F46" s="3037"/>
      <c r="G46" s="2800">
        <f>(E46*$E$52)/$I$48</f>
        <v>0.43395539122485999</v>
      </c>
      <c r="H46" s="3010" t="s">
        <v>797</v>
      </c>
      <c r="I46" s="3038" t="s">
        <v>798</v>
      </c>
      <c r="J46" s="3026">
        <v>0.18559999999999999</v>
      </c>
      <c r="K46" s="3001">
        <f ca="1">$D$10*J46</f>
        <v>129032.39723186864</v>
      </c>
    </row>
    <row r="47" spans="2:17" ht="28.5" customHeight="1" thickBot="1" x14ac:dyDescent="0.3">
      <c r="B47" s="2999"/>
      <c r="C47" s="3002"/>
      <c r="D47" s="2801" t="s">
        <v>275</v>
      </c>
      <c r="E47" s="3036">
        <v>1968463.7372303305</v>
      </c>
      <c r="F47" s="3037"/>
      <c r="G47" s="2800">
        <f>(E47*$E$52)/$I$48</f>
        <v>0.30251367402830093</v>
      </c>
      <c r="H47" s="3011"/>
      <c r="I47" s="3038"/>
      <c r="J47" s="3027"/>
      <c r="K47" s="3002"/>
    </row>
    <row r="48" spans="2:17" ht="36.75" thickBot="1" x14ac:dyDescent="0.3">
      <c r="B48" s="2999"/>
      <c r="C48" s="3002"/>
      <c r="D48" s="2801" t="s">
        <v>799</v>
      </c>
      <c r="E48" s="3036">
        <v>1222994.3528671118</v>
      </c>
      <c r="F48" s="3037"/>
      <c r="G48" s="2800">
        <f>(E48*$E$52)/$I$48</f>
        <v>0.18794987583680525</v>
      </c>
      <c r="H48" s="3011"/>
      <c r="I48" s="3015">
        <f>E53</f>
        <v>9541015.6480174661</v>
      </c>
      <c r="J48" s="3027"/>
      <c r="K48" s="3002"/>
    </row>
    <row r="49" spans="2:16" ht="30.75" customHeight="1" thickBot="1" x14ac:dyDescent="0.3">
      <c r="B49" s="2999"/>
      <c r="C49" s="3002"/>
      <c r="D49" s="2801" t="s">
        <v>245</v>
      </c>
      <c r="E49" s="3036">
        <v>491808.20123042434</v>
      </c>
      <c r="F49" s="3037"/>
      <c r="G49" s="2800">
        <f>(E49*$E$52)/$I$48</f>
        <v>7.5581126061687237E-2</v>
      </c>
      <c r="H49" s="3011"/>
      <c r="I49" s="3016"/>
      <c r="J49" s="3027"/>
      <c r="K49" s="3002"/>
    </row>
    <row r="50" spans="2:16" ht="27.75" customHeight="1" thickBot="1" x14ac:dyDescent="0.3">
      <c r="B50" s="2999"/>
      <c r="C50" s="3002"/>
      <c r="D50" s="2802" t="s">
        <v>785</v>
      </c>
      <c r="E50" s="3039">
        <f>ROUND(SUM(E46:E49),0)</f>
        <v>6507024</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1.4662640936958995</v>
      </c>
      <c r="F52" s="2823" t="s">
        <v>787</v>
      </c>
      <c r="G52" s="3041"/>
      <c r="H52" s="3011"/>
      <c r="I52" s="3016"/>
      <c r="J52" s="3027"/>
      <c r="K52" s="3002"/>
    </row>
    <row r="53" spans="2:16" ht="28.5" customHeight="1" thickBot="1" x14ac:dyDescent="0.25">
      <c r="B53" s="2999"/>
      <c r="C53" s="3002"/>
      <c r="D53" s="2801" t="s">
        <v>788</v>
      </c>
      <c r="E53" s="3043">
        <v>9541015.6480174661</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6062574.9196592141</v>
      </c>
      <c r="J55" s="2812">
        <v>0.18559999999999999</v>
      </c>
      <c r="K55" s="2814">
        <f ca="1">$D$10*J55</f>
        <v>129032.39723186864</v>
      </c>
      <c r="M55" s="2824"/>
      <c r="P55" s="32"/>
    </row>
    <row r="56" spans="2:16" ht="25.5" customHeight="1" thickBot="1" x14ac:dyDescent="0.25">
      <c r="B56" s="3047" t="s">
        <v>245</v>
      </c>
      <c r="C56" s="3048">
        <f>'SCG Table A'!J23</f>
        <v>296670.67067276919</v>
      </c>
      <c r="D56" s="3038" t="s">
        <v>801</v>
      </c>
      <c r="E56" s="3038"/>
      <c r="F56" s="3038"/>
      <c r="G56" s="3038"/>
      <c r="H56" s="3001" t="s">
        <v>802</v>
      </c>
      <c r="I56" s="3052" t="s">
        <v>803</v>
      </c>
      <c r="J56" s="3026">
        <v>0.05</v>
      </c>
      <c r="K56" s="3001">
        <f ca="1">$D$10*J56</f>
        <v>34760.882874964613</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'SCG Table A'!J20+'SCG Table A'!J21</f>
        <v>2699798.9058429021</v>
      </c>
      <c r="D61" s="3038" t="s">
        <v>805</v>
      </c>
      <c r="E61" s="3038"/>
      <c r="F61" s="3038"/>
      <c r="G61" s="3038"/>
      <c r="H61" s="2809" t="s">
        <v>802</v>
      </c>
      <c r="I61" s="2814" t="s">
        <v>803</v>
      </c>
      <c r="J61" s="2812">
        <v>0.05</v>
      </c>
      <c r="K61" s="2809">
        <f ca="1">$D$10*J61</f>
        <v>34760.882874964613</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6952.1765749929227</v>
      </c>
      <c r="P62" s="32"/>
    </row>
    <row r="63" spans="2:16" ht="34.5" customHeight="1" thickBot="1" x14ac:dyDescent="0.3">
      <c r="B63" s="3049" t="s">
        <v>809</v>
      </c>
      <c r="C63" s="3050"/>
      <c r="D63" s="3050"/>
      <c r="E63" s="3050"/>
      <c r="F63" s="3050"/>
      <c r="G63" s="3050"/>
      <c r="H63" s="3051"/>
      <c r="I63" s="2825"/>
      <c r="J63" s="2826">
        <f>SUM(J28:J62)</f>
        <v>1</v>
      </c>
      <c r="K63" s="2827">
        <f ca="1">SUM(K28:K62)</f>
        <v>695217.65749929228</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A943-BB8F-482E-91ED-FBC2DD1E03FE}">
  <sheetPr>
    <tabColor rgb="FFFF66FF"/>
  </sheetPr>
  <dimension ref="B2:AK87"/>
  <sheetViews>
    <sheetView showGridLines="0" zoomScale="75" zoomScaleNormal="75" zoomScalePageLayoutView="80" workbookViewId="0">
      <selection activeCell="B4" sqref="B4:K4"/>
    </sheetView>
  </sheetViews>
  <sheetFormatPr defaultRowHeight="12.75" x14ac:dyDescent="0.2"/>
  <cols>
    <col min="2" max="2" width="24.7109375" customWidth="1"/>
    <col min="3" max="3" width="17.85546875" style="37" customWidth="1"/>
    <col min="4" max="4" width="33.140625" customWidth="1"/>
    <col min="5" max="5" width="17.85546875" customWidth="1"/>
    <col min="6" max="6" width="9" customWidth="1"/>
    <col min="7" max="7" width="23.28515625" customWidth="1"/>
    <col min="8" max="8" width="22.42578125" customWidth="1"/>
    <col min="9" max="9" width="31.5703125" style="37" customWidth="1"/>
    <col min="10" max="10" width="13.28515625" style="2" customWidth="1"/>
    <col min="11" max="11" width="16" style="2768" customWidth="1"/>
    <col min="14" max="14" width="7.5703125" customWidth="1"/>
    <col min="15" max="15" width="0.5703125" customWidth="1"/>
    <col min="16" max="16" width="11.5703125" bestFit="1" customWidth="1"/>
    <col min="29" max="29" width="12.7109375" bestFit="1" customWidth="1"/>
    <col min="31" max="31" width="10.42578125" bestFit="1" customWidth="1"/>
    <col min="256" max="256" width="24.7109375" customWidth="1"/>
    <col min="257" max="257" width="17.85546875" customWidth="1"/>
    <col min="258" max="258" width="20.7109375" customWidth="1"/>
    <col min="259" max="259" width="16.5703125" customWidth="1"/>
    <col min="260" max="260" width="7.140625" customWidth="1"/>
    <col min="261" max="261" width="15.140625" customWidth="1"/>
    <col min="262" max="262" width="6.28515625" customWidth="1"/>
    <col min="263" max="263" width="19.7109375" customWidth="1"/>
    <col min="264" max="264" width="22.42578125" customWidth="1"/>
    <col min="265" max="265" width="31.5703125" customWidth="1"/>
    <col min="266" max="266" width="10.85546875" customWidth="1"/>
    <col min="267" max="267" width="16" customWidth="1"/>
    <col min="270" max="270" width="7.5703125" customWidth="1"/>
    <col min="271" max="271" width="0.5703125" customWidth="1"/>
    <col min="272" max="272" width="11.5703125" bestFit="1" customWidth="1"/>
    <col min="512" max="512" width="24.7109375" customWidth="1"/>
    <col min="513" max="513" width="17.85546875" customWidth="1"/>
    <col min="514" max="514" width="20.7109375" customWidth="1"/>
    <col min="515" max="515" width="16.5703125" customWidth="1"/>
    <col min="516" max="516" width="7.140625" customWidth="1"/>
    <col min="517" max="517" width="15.140625" customWidth="1"/>
    <col min="518" max="518" width="6.28515625" customWidth="1"/>
    <col min="519" max="519" width="19.7109375" customWidth="1"/>
    <col min="520" max="520" width="22.42578125" customWidth="1"/>
    <col min="521" max="521" width="31.5703125" customWidth="1"/>
    <col min="522" max="522" width="10.85546875" customWidth="1"/>
    <col min="523" max="523" width="16" customWidth="1"/>
    <col min="526" max="526" width="7.5703125" customWidth="1"/>
    <col min="527" max="527" width="0.5703125" customWidth="1"/>
    <col min="528" max="528" width="11.5703125" bestFit="1" customWidth="1"/>
    <col min="768" max="768" width="24.7109375" customWidth="1"/>
    <col min="769" max="769" width="17.85546875" customWidth="1"/>
    <col min="770" max="770" width="20.7109375" customWidth="1"/>
    <col min="771" max="771" width="16.5703125" customWidth="1"/>
    <col min="772" max="772" width="7.140625" customWidth="1"/>
    <col min="773" max="773" width="15.140625" customWidth="1"/>
    <col min="774" max="774" width="6.28515625" customWidth="1"/>
    <col min="775" max="775" width="19.7109375" customWidth="1"/>
    <col min="776" max="776" width="22.42578125" customWidth="1"/>
    <col min="777" max="777" width="31.5703125" customWidth="1"/>
    <col min="778" max="778" width="10.85546875" customWidth="1"/>
    <col min="779" max="779" width="16" customWidth="1"/>
    <col min="782" max="782" width="7.5703125" customWidth="1"/>
    <col min="783" max="783" width="0.5703125" customWidth="1"/>
    <col min="784" max="784" width="11.5703125" bestFit="1" customWidth="1"/>
    <col min="1024" max="1024" width="24.7109375" customWidth="1"/>
    <col min="1025" max="1025" width="17.85546875" customWidth="1"/>
    <col min="1026" max="1026" width="20.7109375" customWidth="1"/>
    <col min="1027" max="1027" width="16.5703125" customWidth="1"/>
    <col min="1028" max="1028" width="7.140625" customWidth="1"/>
    <col min="1029" max="1029" width="15.140625" customWidth="1"/>
    <col min="1030" max="1030" width="6.28515625" customWidth="1"/>
    <col min="1031" max="1031" width="19.7109375" customWidth="1"/>
    <col min="1032" max="1032" width="22.42578125" customWidth="1"/>
    <col min="1033" max="1033" width="31.5703125" customWidth="1"/>
    <col min="1034" max="1034" width="10.85546875" customWidth="1"/>
    <col min="1035" max="1035" width="16" customWidth="1"/>
    <col min="1038" max="1038" width="7.5703125" customWidth="1"/>
    <col min="1039" max="1039" width="0.5703125" customWidth="1"/>
    <col min="1040" max="1040" width="11.5703125" bestFit="1" customWidth="1"/>
    <col min="1280" max="1280" width="24.7109375" customWidth="1"/>
    <col min="1281" max="1281" width="17.85546875" customWidth="1"/>
    <col min="1282" max="1282" width="20.7109375" customWidth="1"/>
    <col min="1283" max="1283" width="16.5703125" customWidth="1"/>
    <col min="1284" max="1284" width="7.140625" customWidth="1"/>
    <col min="1285" max="1285" width="15.140625" customWidth="1"/>
    <col min="1286" max="1286" width="6.28515625" customWidth="1"/>
    <col min="1287" max="1287" width="19.7109375" customWidth="1"/>
    <col min="1288" max="1288" width="22.42578125" customWidth="1"/>
    <col min="1289" max="1289" width="31.5703125" customWidth="1"/>
    <col min="1290" max="1290" width="10.85546875" customWidth="1"/>
    <col min="1291" max="1291" width="16" customWidth="1"/>
    <col min="1294" max="1294" width="7.5703125" customWidth="1"/>
    <col min="1295" max="1295" width="0.5703125" customWidth="1"/>
    <col min="1296" max="1296" width="11.5703125" bestFit="1" customWidth="1"/>
    <col min="1536" max="1536" width="24.7109375" customWidth="1"/>
    <col min="1537" max="1537" width="17.85546875" customWidth="1"/>
    <col min="1538" max="1538" width="20.7109375" customWidth="1"/>
    <col min="1539" max="1539" width="16.5703125" customWidth="1"/>
    <col min="1540" max="1540" width="7.140625" customWidth="1"/>
    <col min="1541" max="1541" width="15.140625" customWidth="1"/>
    <col min="1542" max="1542" width="6.28515625" customWidth="1"/>
    <col min="1543" max="1543" width="19.7109375" customWidth="1"/>
    <col min="1544" max="1544" width="22.42578125" customWidth="1"/>
    <col min="1545" max="1545" width="31.5703125" customWidth="1"/>
    <col min="1546" max="1546" width="10.85546875" customWidth="1"/>
    <col min="1547" max="1547" width="16" customWidth="1"/>
    <col min="1550" max="1550" width="7.5703125" customWidth="1"/>
    <col min="1551" max="1551" width="0.5703125" customWidth="1"/>
    <col min="1552" max="1552" width="11.5703125" bestFit="1" customWidth="1"/>
    <col min="1792" max="1792" width="24.7109375" customWidth="1"/>
    <col min="1793" max="1793" width="17.85546875" customWidth="1"/>
    <col min="1794" max="1794" width="20.7109375" customWidth="1"/>
    <col min="1795" max="1795" width="16.5703125" customWidth="1"/>
    <col min="1796" max="1796" width="7.140625" customWidth="1"/>
    <col min="1797" max="1797" width="15.140625" customWidth="1"/>
    <col min="1798" max="1798" width="6.28515625" customWidth="1"/>
    <col min="1799" max="1799" width="19.7109375" customWidth="1"/>
    <col min="1800" max="1800" width="22.42578125" customWidth="1"/>
    <col min="1801" max="1801" width="31.5703125" customWidth="1"/>
    <col min="1802" max="1802" width="10.85546875" customWidth="1"/>
    <col min="1803" max="1803" width="16" customWidth="1"/>
    <col min="1806" max="1806" width="7.5703125" customWidth="1"/>
    <col min="1807" max="1807" width="0.5703125" customWidth="1"/>
    <col min="1808" max="1808" width="11.5703125" bestFit="1" customWidth="1"/>
    <col min="2048" max="2048" width="24.7109375" customWidth="1"/>
    <col min="2049" max="2049" width="17.85546875" customWidth="1"/>
    <col min="2050" max="2050" width="20.7109375" customWidth="1"/>
    <col min="2051" max="2051" width="16.5703125" customWidth="1"/>
    <col min="2052" max="2052" width="7.140625" customWidth="1"/>
    <col min="2053" max="2053" width="15.140625" customWidth="1"/>
    <col min="2054" max="2054" width="6.28515625" customWidth="1"/>
    <col min="2055" max="2055" width="19.7109375" customWidth="1"/>
    <col min="2056" max="2056" width="22.42578125" customWidth="1"/>
    <col min="2057" max="2057" width="31.5703125" customWidth="1"/>
    <col min="2058" max="2058" width="10.85546875" customWidth="1"/>
    <col min="2059" max="2059" width="16" customWidth="1"/>
    <col min="2062" max="2062" width="7.5703125" customWidth="1"/>
    <col min="2063" max="2063" width="0.5703125" customWidth="1"/>
    <col min="2064" max="2064" width="11.5703125" bestFit="1" customWidth="1"/>
    <col min="2304" max="2304" width="24.7109375" customWidth="1"/>
    <col min="2305" max="2305" width="17.85546875" customWidth="1"/>
    <col min="2306" max="2306" width="20.7109375" customWidth="1"/>
    <col min="2307" max="2307" width="16.5703125" customWidth="1"/>
    <col min="2308" max="2308" width="7.140625" customWidth="1"/>
    <col min="2309" max="2309" width="15.140625" customWidth="1"/>
    <col min="2310" max="2310" width="6.28515625" customWidth="1"/>
    <col min="2311" max="2311" width="19.7109375" customWidth="1"/>
    <col min="2312" max="2312" width="22.42578125" customWidth="1"/>
    <col min="2313" max="2313" width="31.5703125" customWidth="1"/>
    <col min="2314" max="2314" width="10.85546875" customWidth="1"/>
    <col min="2315" max="2315" width="16" customWidth="1"/>
    <col min="2318" max="2318" width="7.5703125" customWidth="1"/>
    <col min="2319" max="2319" width="0.5703125" customWidth="1"/>
    <col min="2320" max="2320" width="11.5703125" bestFit="1" customWidth="1"/>
    <col min="2560" max="2560" width="24.7109375" customWidth="1"/>
    <col min="2561" max="2561" width="17.85546875" customWidth="1"/>
    <col min="2562" max="2562" width="20.7109375" customWidth="1"/>
    <col min="2563" max="2563" width="16.5703125" customWidth="1"/>
    <col min="2564" max="2564" width="7.140625" customWidth="1"/>
    <col min="2565" max="2565" width="15.140625" customWidth="1"/>
    <col min="2566" max="2566" width="6.28515625" customWidth="1"/>
    <col min="2567" max="2567" width="19.7109375" customWidth="1"/>
    <col min="2568" max="2568" width="22.42578125" customWidth="1"/>
    <col min="2569" max="2569" width="31.5703125" customWidth="1"/>
    <col min="2570" max="2570" width="10.85546875" customWidth="1"/>
    <col min="2571" max="2571" width="16" customWidth="1"/>
    <col min="2574" max="2574" width="7.5703125" customWidth="1"/>
    <col min="2575" max="2575" width="0.5703125" customWidth="1"/>
    <col min="2576" max="2576" width="11.5703125" bestFit="1" customWidth="1"/>
    <col min="2816" max="2816" width="24.7109375" customWidth="1"/>
    <col min="2817" max="2817" width="17.85546875" customWidth="1"/>
    <col min="2818" max="2818" width="20.7109375" customWidth="1"/>
    <col min="2819" max="2819" width="16.5703125" customWidth="1"/>
    <col min="2820" max="2820" width="7.140625" customWidth="1"/>
    <col min="2821" max="2821" width="15.140625" customWidth="1"/>
    <col min="2822" max="2822" width="6.28515625" customWidth="1"/>
    <col min="2823" max="2823" width="19.7109375" customWidth="1"/>
    <col min="2824" max="2824" width="22.42578125" customWidth="1"/>
    <col min="2825" max="2825" width="31.5703125" customWidth="1"/>
    <col min="2826" max="2826" width="10.85546875" customWidth="1"/>
    <col min="2827" max="2827" width="16" customWidth="1"/>
    <col min="2830" max="2830" width="7.5703125" customWidth="1"/>
    <col min="2831" max="2831" width="0.5703125" customWidth="1"/>
    <col min="2832" max="2832" width="11.5703125" bestFit="1" customWidth="1"/>
    <col min="3072" max="3072" width="24.7109375" customWidth="1"/>
    <col min="3073" max="3073" width="17.85546875" customWidth="1"/>
    <col min="3074" max="3074" width="20.7109375" customWidth="1"/>
    <col min="3075" max="3075" width="16.5703125" customWidth="1"/>
    <col min="3076" max="3076" width="7.140625" customWidth="1"/>
    <col min="3077" max="3077" width="15.140625" customWidth="1"/>
    <col min="3078" max="3078" width="6.28515625" customWidth="1"/>
    <col min="3079" max="3079" width="19.7109375" customWidth="1"/>
    <col min="3080" max="3080" width="22.42578125" customWidth="1"/>
    <col min="3081" max="3081" width="31.5703125" customWidth="1"/>
    <col min="3082" max="3082" width="10.85546875" customWidth="1"/>
    <col min="3083" max="3083" width="16" customWidth="1"/>
    <col min="3086" max="3086" width="7.5703125" customWidth="1"/>
    <col min="3087" max="3087" width="0.5703125" customWidth="1"/>
    <col min="3088" max="3088" width="11.5703125" bestFit="1" customWidth="1"/>
    <col min="3328" max="3328" width="24.7109375" customWidth="1"/>
    <col min="3329" max="3329" width="17.85546875" customWidth="1"/>
    <col min="3330" max="3330" width="20.7109375" customWidth="1"/>
    <col min="3331" max="3331" width="16.5703125" customWidth="1"/>
    <col min="3332" max="3332" width="7.140625" customWidth="1"/>
    <col min="3333" max="3333" width="15.140625" customWidth="1"/>
    <col min="3334" max="3334" width="6.28515625" customWidth="1"/>
    <col min="3335" max="3335" width="19.7109375" customWidth="1"/>
    <col min="3336" max="3336" width="22.42578125" customWidth="1"/>
    <col min="3337" max="3337" width="31.5703125" customWidth="1"/>
    <col min="3338" max="3338" width="10.85546875" customWidth="1"/>
    <col min="3339" max="3339" width="16" customWidth="1"/>
    <col min="3342" max="3342" width="7.5703125" customWidth="1"/>
    <col min="3343" max="3343" width="0.5703125" customWidth="1"/>
    <col min="3344" max="3344" width="11.5703125" bestFit="1" customWidth="1"/>
    <col min="3584" max="3584" width="24.7109375" customWidth="1"/>
    <col min="3585" max="3585" width="17.85546875" customWidth="1"/>
    <col min="3586" max="3586" width="20.7109375" customWidth="1"/>
    <col min="3587" max="3587" width="16.5703125" customWidth="1"/>
    <col min="3588" max="3588" width="7.140625" customWidth="1"/>
    <col min="3589" max="3589" width="15.140625" customWidth="1"/>
    <col min="3590" max="3590" width="6.28515625" customWidth="1"/>
    <col min="3591" max="3591" width="19.7109375" customWidth="1"/>
    <col min="3592" max="3592" width="22.42578125" customWidth="1"/>
    <col min="3593" max="3593" width="31.5703125" customWidth="1"/>
    <col min="3594" max="3594" width="10.85546875" customWidth="1"/>
    <col min="3595" max="3595" width="16" customWidth="1"/>
    <col min="3598" max="3598" width="7.5703125" customWidth="1"/>
    <col min="3599" max="3599" width="0.5703125" customWidth="1"/>
    <col min="3600" max="3600" width="11.5703125" bestFit="1" customWidth="1"/>
    <col min="3840" max="3840" width="24.7109375" customWidth="1"/>
    <col min="3841" max="3841" width="17.85546875" customWidth="1"/>
    <col min="3842" max="3842" width="20.7109375" customWidth="1"/>
    <col min="3843" max="3843" width="16.5703125" customWidth="1"/>
    <col min="3844" max="3844" width="7.140625" customWidth="1"/>
    <col min="3845" max="3845" width="15.140625" customWidth="1"/>
    <col min="3846" max="3846" width="6.28515625" customWidth="1"/>
    <col min="3847" max="3847" width="19.7109375" customWidth="1"/>
    <col min="3848" max="3848" width="22.42578125" customWidth="1"/>
    <col min="3849" max="3849" width="31.5703125" customWidth="1"/>
    <col min="3850" max="3850" width="10.85546875" customWidth="1"/>
    <col min="3851" max="3851" width="16" customWidth="1"/>
    <col min="3854" max="3854" width="7.5703125" customWidth="1"/>
    <col min="3855" max="3855" width="0.5703125" customWidth="1"/>
    <col min="3856" max="3856" width="11.5703125" bestFit="1" customWidth="1"/>
    <col min="4096" max="4096" width="24.7109375" customWidth="1"/>
    <col min="4097" max="4097" width="17.85546875" customWidth="1"/>
    <col min="4098" max="4098" width="20.7109375" customWidth="1"/>
    <col min="4099" max="4099" width="16.5703125" customWidth="1"/>
    <col min="4100" max="4100" width="7.140625" customWidth="1"/>
    <col min="4101" max="4101" width="15.140625" customWidth="1"/>
    <col min="4102" max="4102" width="6.28515625" customWidth="1"/>
    <col min="4103" max="4103" width="19.7109375" customWidth="1"/>
    <col min="4104" max="4104" width="22.42578125" customWidth="1"/>
    <col min="4105" max="4105" width="31.5703125" customWidth="1"/>
    <col min="4106" max="4106" width="10.85546875" customWidth="1"/>
    <col min="4107" max="4107" width="16" customWidth="1"/>
    <col min="4110" max="4110" width="7.5703125" customWidth="1"/>
    <col min="4111" max="4111" width="0.5703125" customWidth="1"/>
    <col min="4112" max="4112" width="11.5703125" bestFit="1" customWidth="1"/>
    <col min="4352" max="4352" width="24.7109375" customWidth="1"/>
    <col min="4353" max="4353" width="17.85546875" customWidth="1"/>
    <col min="4354" max="4354" width="20.7109375" customWidth="1"/>
    <col min="4355" max="4355" width="16.5703125" customWidth="1"/>
    <col min="4356" max="4356" width="7.140625" customWidth="1"/>
    <col min="4357" max="4357" width="15.140625" customWidth="1"/>
    <col min="4358" max="4358" width="6.28515625" customWidth="1"/>
    <col min="4359" max="4359" width="19.7109375" customWidth="1"/>
    <col min="4360" max="4360" width="22.42578125" customWidth="1"/>
    <col min="4361" max="4361" width="31.5703125" customWidth="1"/>
    <col min="4362" max="4362" width="10.85546875" customWidth="1"/>
    <col min="4363" max="4363" width="16" customWidth="1"/>
    <col min="4366" max="4366" width="7.5703125" customWidth="1"/>
    <col min="4367" max="4367" width="0.5703125" customWidth="1"/>
    <col min="4368" max="4368" width="11.5703125" bestFit="1" customWidth="1"/>
    <col min="4608" max="4608" width="24.7109375" customWidth="1"/>
    <col min="4609" max="4609" width="17.85546875" customWidth="1"/>
    <col min="4610" max="4610" width="20.7109375" customWidth="1"/>
    <col min="4611" max="4611" width="16.5703125" customWidth="1"/>
    <col min="4612" max="4612" width="7.140625" customWidth="1"/>
    <col min="4613" max="4613" width="15.140625" customWidth="1"/>
    <col min="4614" max="4614" width="6.28515625" customWidth="1"/>
    <col min="4615" max="4615" width="19.7109375" customWidth="1"/>
    <col min="4616" max="4616" width="22.42578125" customWidth="1"/>
    <col min="4617" max="4617" width="31.5703125" customWidth="1"/>
    <col min="4618" max="4618" width="10.85546875" customWidth="1"/>
    <col min="4619" max="4619" width="16" customWidth="1"/>
    <col min="4622" max="4622" width="7.5703125" customWidth="1"/>
    <col min="4623" max="4623" width="0.5703125" customWidth="1"/>
    <col min="4624" max="4624" width="11.5703125" bestFit="1" customWidth="1"/>
    <col min="4864" max="4864" width="24.7109375" customWidth="1"/>
    <col min="4865" max="4865" width="17.85546875" customWidth="1"/>
    <col min="4866" max="4866" width="20.7109375" customWidth="1"/>
    <col min="4867" max="4867" width="16.5703125" customWidth="1"/>
    <col min="4868" max="4868" width="7.140625" customWidth="1"/>
    <col min="4869" max="4869" width="15.140625" customWidth="1"/>
    <col min="4870" max="4870" width="6.28515625" customWidth="1"/>
    <col min="4871" max="4871" width="19.7109375" customWidth="1"/>
    <col min="4872" max="4872" width="22.42578125" customWidth="1"/>
    <col min="4873" max="4873" width="31.5703125" customWidth="1"/>
    <col min="4874" max="4874" width="10.85546875" customWidth="1"/>
    <col min="4875" max="4875" width="16" customWidth="1"/>
    <col min="4878" max="4878" width="7.5703125" customWidth="1"/>
    <col min="4879" max="4879" width="0.5703125" customWidth="1"/>
    <col min="4880" max="4880" width="11.5703125" bestFit="1" customWidth="1"/>
    <col min="5120" max="5120" width="24.7109375" customWidth="1"/>
    <col min="5121" max="5121" width="17.85546875" customWidth="1"/>
    <col min="5122" max="5122" width="20.7109375" customWidth="1"/>
    <col min="5123" max="5123" width="16.5703125" customWidth="1"/>
    <col min="5124" max="5124" width="7.140625" customWidth="1"/>
    <col min="5125" max="5125" width="15.140625" customWidth="1"/>
    <col min="5126" max="5126" width="6.28515625" customWidth="1"/>
    <col min="5127" max="5127" width="19.7109375" customWidth="1"/>
    <col min="5128" max="5128" width="22.42578125" customWidth="1"/>
    <col min="5129" max="5129" width="31.5703125" customWidth="1"/>
    <col min="5130" max="5130" width="10.85546875" customWidth="1"/>
    <col min="5131" max="5131" width="16" customWidth="1"/>
    <col min="5134" max="5134" width="7.5703125" customWidth="1"/>
    <col min="5135" max="5135" width="0.5703125" customWidth="1"/>
    <col min="5136" max="5136" width="11.5703125" bestFit="1" customWidth="1"/>
    <col min="5376" max="5376" width="24.7109375" customWidth="1"/>
    <col min="5377" max="5377" width="17.85546875" customWidth="1"/>
    <col min="5378" max="5378" width="20.7109375" customWidth="1"/>
    <col min="5379" max="5379" width="16.5703125" customWidth="1"/>
    <col min="5380" max="5380" width="7.140625" customWidth="1"/>
    <col min="5381" max="5381" width="15.140625" customWidth="1"/>
    <col min="5382" max="5382" width="6.28515625" customWidth="1"/>
    <col min="5383" max="5383" width="19.7109375" customWidth="1"/>
    <col min="5384" max="5384" width="22.42578125" customWidth="1"/>
    <col min="5385" max="5385" width="31.5703125" customWidth="1"/>
    <col min="5386" max="5386" width="10.85546875" customWidth="1"/>
    <col min="5387" max="5387" width="16" customWidth="1"/>
    <col min="5390" max="5390" width="7.5703125" customWidth="1"/>
    <col min="5391" max="5391" width="0.5703125" customWidth="1"/>
    <col min="5392" max="5392" width="11.5703125" bestFit="1" customWidth="1"/>
    <col min="5632" max="5632" width="24.7109375" customWidth="1"/>
    <col min="5633" max="5633" width="17.85546875" customWidth="1"/>
    <col min="5634" max="5634" width="20.7109375" customWidth="1"/>
    <col min="5635" max="5635" width="16.5703125" customWidth="1"/>
    <col min="5636" max="5636" width="7.140625" customWidth="1"/>
    <col min="5637" max="5637" width="15.140625" customWidth="1"/>
    <col min="5638" max="5638" width="6.28515625" customWidth="1"/>
    <col min="5639" max="5639" width="19.7109375" customWidth="1"/>
    <col min="5640" max="5640" width="22.42578125" customWidth="1"/>
    <col min="5641" max="5641" width="31.5703125" customWidth="1"/>
    <col min="5642" max="5642" width="10.85546875" customWidth="1"/>
    <col min="5643" max="5643" width="16" customWidth="1"/>
    <col min="5646" max="5646" width="7.5703125" customWidth="1"/>
    <col min="5647" max="5647" width="0.5703125" customWidth="1"/>
    <col min="5648" max="5648" width="11.5703125" bestFit="1" customWidth="1"/>
    <col min="5888" max="5888" width="24.7109375" customWidth="1"/>
    <col min="5889" max="5889" width="17.85546875" customWidth="1"/>
    <col min="5890" max="5890" width="20.7109375" customWidth="1"/>
    <col min="5891" max="5891" width="16.5703125" customWidth="1"/>
    <col min="5892" max="5892" width="7.140625" customWidth="1"/>
    <col min="5893" max="5893" width="15.140625" customWidth="1"/>
    <col min="5894" max="5894" width="6.28515625" customWidth="1"/>
    <col min="5895" max="5895" width="19.7109375" customWidth="1"/>
    <col min="5896" max="5896" width="22.42578125" customWidth="1"/>
    <col min="5897" max="5897" width="31.5703125" customWidth="1"/>
    <col min="5898" max="5898" width="10.85546875" customWidth="1"/>
    <col min="5899" max="5899" width="16" customWidth="1"/>
    <col min="5902" max="5902" width="7.5703125" customWidth="1"/>
    <col min="5903" max="5903" width="0.5703125" customWidth="1"/>
    <col min="5904" max="5904" width="11.5703125" bestFit="1" customWidth="1"/>
    <col min="6144" max="6144" width="24.7109375" customWidth="1"/>
    <col min="6145" max="6145" width="17.85546875" customWidth="1"/>
    <col min="6146" max="6146" width="20.7109375" customWidth="1"/>
    <col min="6147" max="6147" width="16.5703125" customWidth="1"/>
    <col min="6148" max="6148" width="7.140625" customWidth="1"/>
    <col min="6149" max="6149" width="15.140625" customWidth="1"/>
    <col min="6150" max="6150" width="6.28515625" customWidth="1"/>
    <col min="6151" max="6151" width="19.7109375" customWidth="1"/>
    <col min="6152" max="6152" width="22.42578125" customWidth="1"/>
    <col min="6153" max="6153" width="31.5703125" customWidth="1"/>
    <col min="6154" max="6154" width="10.85546875" customWidth="1"/>
    <col min="6155" max="6155" width="16" customWidth="1"/>
    <col min="6158" max="6158" width="7.5703125" customWidth="1"/>
    <col min="6159" max="6159" width="0.5703125" customWidth="1"/>
    <col min="6160" max="6160" width="11.5703125" bestFit="1" customWidth="1"/>
    <col min="6400" max="6400" width="24.7109375" customWidth="1"/>
    <col min="6401" max="6401" width="17.85546875" customWidth="1"/>
    <col min="6402" max="6402" width="20.7109375" customWidth="1"/>
    <col min="6403" max="6403" width="16.5703125" customWidth="1"/>
    <col min="6404" max="6404" width="7.140625" customWidth="1"/>
    <col min="6405" max="6405" width="15.140625" customWidth="1"/>
    <col min="6406" max="6406" width="6.28515625" customWidth="1"/>
    <col min="6407" max="6407" width="19.7109375" customWidth="1"/>
    <col min="6408" max="6408" width="22.42578125" customWidth="1"/>
    <col min="6409" max="6409" width="31.5703125" customWidth="1"/>
    <col min="6410" max="6410" width="10.85546875" customWidth="1"/>
    <col min="6411" max="6411" width="16" customWidth="1"/>
    <col min="6414" max="6414" width="7.5703125" customWidth="1"/>
    <col min="6415" max="6415" width="0.5703125" customWidth="1"/>
    <col min="6416" max="6416" width="11.5703125" bestFit="1" customWidth="1"/>
    <col min="6656" max="6656" width="24.7109375" customWidth="1"/>
    <col min="6657" max="6657" width="17.85546875" customWidth="1"/>
    <col min="6658" max="6658" width="20.7109375" customWidth="1"/>
    <col min="6659" max="6659" width="16.5703125" customWidth="1"/>
    <col min="6660" max="6660" width="7.140625" customWidth="1"/>
    <col min="6661" max="6661" width="15.140625" customWidth="1"/>
    <col min="6662" max="6662" width="6.28515625" customWidth="1"/>
    <col min="6663" max="6663" width="19.7109375" customWidth="1"/>
    <col min="6664" max="6664" width="22.42578125" customWidth="1"/>
    <col min="6665" max="6665" width="31.5703125" customWidth="1"/>
    <col min="6666" max="6666" width="10.85546875" customWidth="1"/>
    <col min="6667" max="6667" width="16" customWidth="1"/>
    <col min="6670" max="6670" width="7.5703125" customWidth="1"/>
    <col min="6671" max="6671" width="0.5703125" customWidth="1"/>
    <col min="6672" max="6672" width="11.5703125" bestFit="1" customWidth="1"/>
    <col min="6912" max="6912" width="24.7109375" customWidth="1"/>
    <col min="6913" max="6913" width="17.85546875" customWidth="1"/>
    <col min="6914" max="6914" width="20.7109375" customWidth="1"/>
    <col min="6915" max="6915" width="16.5703125" customWidth="1"/>
    <col min="6916" max="6916" width="7.140625" customWidth="1"/>
    <col min="6917" max="6917" width="15.140625" customWidth="1"/>
    <col min="6918" max="6918" width="6.28515625" customWidth="1"/>
    <col min="6919" max="6919" width="19.7109375" customWidth="1"/>
    <col min="6920" max="6920" width="22.42578125" customWidth="1"/>
    <col min="6921" max="6921" width="31.5703125" customWidth="1"/>
    <col min="6922" max="6922" width="10.85546875" customWidth="1"/>
    <col min="6923" max="6923" width="16" customWidth="1"/>
    <col min="6926" max="6926" width="7.5703125" customWidth="1"/>
    <col min="6927" max="6927" width="0.5703125" customWidth="1"/>
    <col min="6928" max="6928" width="11.5703125" bestFit="1" customWidth="1"/>
    <col min="7168" max="7168" width="24.7109375" customWidth="1"/>
    <col min="7169" max="7169" width="17.85546875" customWidth="1"/>
    <col min="7170" max="7170" width="20.7109375" customWidth="1"/>
    <col min="7171" max="7171" width="16.5703125" customWidth="1"/>
    <col min="7172" max="7172" width="7.140625" customWidth="1"/>
    <col min="7173" max="7173" width="15.140625" customWidth="1"/>
    <col min="7174" max="7174" width="6.28515625" customWidth="1"/>
    <col min="7175" max="7175" width="19.7109375" customWidth="1"/>
    <col min="7176" max="7176" width="22.42578125" customWidth="1"/>
    <col min="7177" max="7177" width="31.5703125" customWidth="1"/>
    <col min="7178" max="7178" width="10.85546875" customWidth="1"/>
    <col min="7179" max="7179" width="16" customWidth="1"/>
    <col min="7182" max="7182" width="7.5703125" customWidth="1"/>
    <col min="7183" max="7183" width="0.5703125" customWidth="1"/>
    <col min="7184" max="7184" width="11.5703125" bestFit="1" customWidth="1"/>
    <col min="7424" max="7424" width="24.7109375" customWidth="1"/>
    <col min="7425" max="7425" width="17.85546875" customWidth="1"/>
    <col min="7426" max="7426" width="20.7109375" customWidth="1"/>
    <col min="7427" max="7427" width="16.5703125" customWidth="1"/>
    <col min="7428" max="7428" width="7.140625" customWidth="1"/>
    <col min="7429" max="7429" width="15.140625" customWidth="1"/>
    <col min="7430" max="7430" width="6.28515625" customWidth="1"/>
    <col min="7431" max="7431" width="19.7109375" customWidth="1"/>
    <col min="7432" max="7432" width="22.42578125" customWidth="1"/>
    <col min="7433" max="7433" width="31.5703125" customWidth="1"/>
    <col min="7434" max="7434" width="10.85546875" customWidth="1"/>
    <col min="7435" max="7435" width="16" customWidth="1"/>
    <col min="7438" max="7438" width="7.5703125" customWidth="1"/>
    <col min="7439" max="7439" width="0.5703125" customWidth="1"/>
    <col min="7440" max="7440" width="11.5703125" bestFit="1" customWidth="1"/>
    <col min="7680" max="7680" width="24.7109375" customWidth="1"/>
    <col min="7681" max="7681" width="17.85546875" customWidth="1"/>
    <col min="7682" max="7682" width="20.7109375" customWidth="1"/>
    <col min="7683" max="7683" width="16.5703125" customWidth="1"/>
    <col min="7684" max="7684" width="7.140625" customWidth="1"/>
    <col min="7685" max="7685" width="15.140625" customWidth="1"/>
    <col min="7686" max="7686" width="6.28515625" customWidth="1"/>
    <col min="7687" max="7687" width="19.7109375" customWidth="1"/>
    <col min="7688" max="7688" width="22.42578125" customWidth="1"/>
    <col min="7689" max="7689" width="31.5703125" customWidth="1"/>
    <col min="7690" max="7690" width="10.85546875" customWidth="1"/>
    <col min="7691" max="7691" width="16" customWidth="1"/>
    <col min="7694" max="7694" width="7.5703125" customWidth="1"/>
    <col min="7695" max="7695" width="0.5703125" customWidth="1"/>
    <col min="7696" max="7696" width="11.5703125" bestFit="1" customWidth="1"/>
    <col min="7936" max="7936" width="24.7109375" customWidth="1"/>
    <col min="7937" max="7937" width="17.85546875" customWidth="1"/>
    <col min="7938" max="7938" width="20.7109375" customWidth="1"/>
    <col min="7939" max="7939" width="16.5703125" customWidth="1"/>
    <col min="7940" max="7940" width="7.140625" customWidth="1"/>
    <col min="7941" max="7941" width="15.140625" customWidth="1"/>
    <col min="7942" max="7942" width="6.28515625" customWidth="1"/>
    <col min="7943" max="7943" width="19.7109375" customWidth="1"/>
    <col min="7944" max="7944" width="22.42578125" customWidth="1"/>
    <col min="7945" max="7945" width="31.5703125" customWidth="1"/>
    <col min="7946" max="7946" width="10.85546875" customWidth="1"/>
    <col min="7947" max="7947" width="16" customWidth="1"/>
    <col min="7950" max="7950" width="7.5703125" customWidth="1"/>
    <col min="7951" max="7951" width="0.5703125" customWidth="1"/>
    <col min="7952" max="7952" width="11.5703125" bestFit="1" customWidth="1"/>
    <col min="8192" max="8192" width="24.7109375" customWidth="1"/>
    <col min="8193" max="8193" width="17.85546875" customWidth="1"/>
    <col min="8194" max="8194" width="20.7109375" customWidth="1"/>
    <col min="8195" max="8195" width="16.5703125" customWidth="1"/>
    <col min="8196" max="8196" width="7.140625" customWidth="1"/>
    <col min="8197" max="8197" width="15.140625" customWidth="1"/>
    <col min="8198" max="8198" width="6.28515625" customWidth="1"/>
    <col min="8199" max="8199" width="19.7109375" customWidth="1"/>
    <col min="8200" max="8200" width="22.42578125" customWidth="1"/>
    <col min="8201" max="8201" width="31.5703125" customWidth="1"/>
    <col min="8202" max="8202" width="10.85546875" customWidth="1"/>
    <col min="8203" max="8203" width="16" customWidth="1"/>
    <col min="8206" max="8206" width="7.5703125" customWidth="1"/>
    <col min="8207" max="8207" width="0.5703125" customWidth="1"/>
    <col min="8208" max="8208" width="11.5703125" bestFit="1" customWidth="1"/>
    <col min="8448" max="8448" width="24.7109375" customWidth="1"/>
    <col min="8449" max="8449" width="17.85546875" customWidth="1"/>
    <col min="8450" max="8450" width="20.7109375" customWidth="1"/>
    <col min="8451" max="8451" width="16.5703125" customWidth="1"/>
    <col min="8452" max="8452" width="7.140625" customWidth="1"/>
    <col min="8453" max="8453" width="15.140625" customWidth="1"/>
    <col min="8454" max="8454" width="6.28515625" customWidth="1"/>
    <col min="8455" max="8455" width="19.7109375" customWidth="1"/>
    <col min="8456" max="8456" width="22.42578125" customWidth="1"/>
    <col min="8457" max="8457" width="31.5703125" customWidth="1"/>
    <col min="8458" max="8458" width="10.85546875" customWidth="1"/>
    <col min="8459" max="8459" width="16" customWidth="1"/>
    <col min="8462" max="8462" width="7.5703125" customWidth="1"/>
    <col min="8463" max="8463" width="0.5703125" customWidth="1"/>
    <col min="8464" max="8464" width="11.5703125" bestFit="1" customWidth="1"/>
    <col min="8704" max="8704" width="24.7109375" customWidth="1"/>
    <col min="8705" max="8705" width="17.85546875" customWidth="1"/>
    <col min="8706" max="8706" width="20.7109375" customWidth="1"/>
    <col min="8707" max="8707" width="16.5703125" customWidth="1"/>
    <col min="8708" max="8708" width="7.140625" customWidth="1"/>
    <col min="8709" max="8709" width="15.140625" customWidth="1"/>
    <col min="8710" max="8710" width="6.28515625" customWidth="1"/>
    <col min="8711" max="8711" width="19.7109375" customWidth="1"/>
    <col min="8712" max="8712" width="22.42578125" customWidth="1"/>
    <col min="8713" max="8713" width="31.5703125" customWidth="1"/>
    <col min="8714" max="8714" width="10.85546875" customWidth="1"/>
    <col min="8715" max="8715" width="16" customWidth="1"/>
    <col min="8718" max="8718" width="7.5703125" customWidth="1"/>
    <col min="8719" max="8719" width="0.5703125" customWidth="1"/>
    <col min="8720" max="8720" width="11.5703125" bestFit="1" customWidth="1"/>
    <col min="8960" max="8960" width="24.7109375" customWidth="1"/>
    <col min="8961" max="8961" width="17.85546875" customWidth="1"/>
    <col min="8962" max="8962" width="20.7109375" customWidth="1"/>
    <col min="8963" max="8963" width="16.5703125" customWidth="1"/>
    <col min="8964" max="8964" width="7.140625" customWidth="1"/>
    <col min="8965" max="8965" width="15.140625" customWidth="1"/>
    <col min="8966" max="8966" width="6.28515625" customWidth="1"/>
    <col min="8967" max="8967" width="19.7109375" customWidth="1"/>
    <col min="8968" max="8968" width="22.42578125" customWidth="1"/>
    <col min="8969" max="8969" width="31.5703125" customWidth="1"/>
    <col min="8970" max="8970" width="10.85546875" customWidth="1"/>
    <col min="8971" max="8971" width="16" customWidth="1"/>
    <col min="8974" max="8974" width="7.5703125" customWidth="1"/>
    <col min="8975" max="8975" width="0.5703125" customWidth="1"/>
    <col min="8976" max="8976" width="11.5703125" bestFit="1" customWidth="1"/>
    <col min="9216" max="9216" width="24.7109375" customWidth="1"/>
    <col min="9217" max="9217" width="17.85546875" customWidth="1"/>
    <col min="9218" max="9218" width="20.7109375" customWidth="1"/>
    <col min="9219" max="9219" width="16.5703125" customWidth="1"/>
    <col min="9220" max="9220" width="7.140625" customWidth="1"/>
    <col min="9221" max="9221" width="15.140625" customWidth="1"/>
    <col min="9222" max="9222" width="6.28515625" customWidth="1"/>
    <col min="9223" max="9223" width="19.7109375" customWidth="1"/>
    <col min="9224" max="9224" width="22.42578125" customWidth="1"/>
    <col min="9225" max="9225" width="31.5703125" customWidth="1"/>
    <col min="9226" max="9226" width="10.85546875" customWidth="1"/>
    <col min="9227" max="9227" width="16" customWidth="1"/>
    <col min="9230" max="9230" width="7.5703125" customWidth="1"/>
    <col min="9231" max="9231" width="0.5703125" customWidth="1"/>
    <col min="9232" max="9232" width="11.5703125" bestFit="1" customWidth="1"/>
    <col min="9472" max="9472" width="24.7109375" customWidth="1"/>
    <col min="9473" max="9473" width="17.85546875" customWidth="1"/>
    <col min="9474" max="9474" width="20.7109375" customWidth="1"/>
    <col min="9475" max="9475" width="16.5703125" customWidth="1"/>
    <col min="9476" max="9476" width="7.140625" customWidth="1"/>
    <col min="9477" max="9477" width="15.140625" customWidth="1"/>
    <col min="9478" max="9478" width="6.28515625" customWidth="1"/>
    <col min="9479" max="9479" width="19.7109375" customWidth="1"/>
    <col min="9480" max="9480" width="22.42578125" customWidth="1"/>
    <col min="9481" max="9481" width="31.5703125" customWidth="1"/>
    <col min="9482" max="9482" width="10.85546875" customWidth="1"/>
    <col min="9483" max="9483" width="16" customWidth="1"/>
    <col min="9486" max="9486" width="7.5703125" customWidth="1"/>
    <col min="9487" max="9487" width="0.5703125" customWidth="1"/>
    <col min="9488" max="9488" width="11.5703125" bestFit="1" customWidth="1"/>
    <col min="9728" max="9728" width="24.7109375" customWidth="1"/>
    <col min="9729" max="9729" width="17.85546875" customWidth="1"/>
    <col min="9730" max="9730" width="20.7109375" customWidth="1"/>
    <col min="9731" max="9731" width="16.5703125" customWidth="1"/>
    <col min="9732" max="9732" width="7.140625" customWidth="1"/>
    <col min="9733" max="9733" width="15.140625" customWidth="1"/>
    <col min="9734" max="9734" width="6.28515625" customWidth="1"/>
    <col min="9735" max="9735" width="19.7109375" customWidth="1"/>
    <col min="9736" max="9736" width="22.42578125" customWidth="1"/>
    <col min="9737" max="9737" width="31.5703125" customWidth="1"/>
    <col min="9738" max="9738" width="10.85546875" customWidth="1"/>
    <col min="9739" max="9739" width="16" customWidth="1"/>
    <col min="9742" max="9742" width="7.5703125" customWidth="1"/>
    <col min="9743" max="9743" width="0.5703125" customWidth="1"/>
    <col min="9744" max="9744" width="11.5703125" bestFit="1" customWidth="1"/>
    <col min="9984" max="9984" width="24.7109375" customWidth="1"/>
    <col min="9985" max="9985" width="17.85546875" customWidth="1"/>
    <col min="9986" max="9986" width="20.7109375" customWidth="1"/>
    <col min="9987" max="9987" width="16.5703125" customWidth="1"/>
    <col min="9988" max="9988" width="7.140625" customWidth="1"/>
    <col min="9989" max="9989" width="15.140625" customWidth="1"/>
    <col min="9990" max="9990" width="6.28515625" customWidth="1"/>
    <col min="9991" max="9991" width="19.7109375" customWidth="1"/>
    <col min="9992" max="9992" width="22.42578125" customWidth="1"/>
    <col min="9993" max="9993" width="31.5703125" customWidth="1"/>
    <col min="9994" max="9994" width="10.85546875" customWidth="1"/>
    <col min="9995" max="9995" width="16" customWidth="1"/>
    <col min="9998" max="9998" width="7.5703125" customWidth="1"/>
    <col min="9999" max="9999" width="0.5703125" customWidth="1"/>
    <col min="10000" max="10000" width="11.5703125" bestFit="1" customWidth="1"/>
    <col min="10240" max="10240" width="24.7109375" customWidth="1"/>
    <col min="10241" max="10241" width="17.85546875" customWidth="1"/>
    <col min="10242" max="10242" width="20.7109375" customWidth="1"/>
    <col min="10243" max="10243" width="16.5703125" customWidth="1"/>
    <col min="10244" max="10244" width="7.140625" customWidth="1"/>
    <col min="10245" max="10245" width="15.140625" customWidth="1"/>
    <col min="10246" max="10246" width="6.28515625" customWidth="1"/>
    <col min="10247" max="10247" width="19.7109375" customWidth="1"/>
    <col min="10248" max="10248" width="22.42578125" customWidth="1"/>
    <col min="10249" max="10249" width="31.5703125" customWidth="1"/>
    <col min="10250" max="10250" width="10.85546875" customWidth="1"/>
    <col min="10251" max="10251" width="16" customWidth="1"/>
    <col min="10254" max="10254" width="7.5703125" customWidth="1"/>
    <col min="10255" max="10255" width="0.5703125" customWidth="1"/>
    <col min="10256" max="10256" width="11.5703125" bestFit="1" customWidth="1"/>
    <col min="10496" max="10496" width="24.7109375" customWidth="1"/>
    <col min="10497" max="10497" width="17.85546875" customWidth="1"/>
    <col min="10498" max="10498" width="20.7109375" customWidth="1"/>
    <col min="10499" max="10499" width="16.5703125" customWidth="1"/>
    <col min="10500" max="10500" width="7.140625" customWidth="1"/>
    <col min="10501" max="10501" width="15.140625" customWidth="1"/>
    <col min="10502" max="10502" width="6.28515625" customWidth="1"/>
    <col min="10503" max="10503" width="19.7109375" customWidth="1"/>
    <col min="10504" max="10504" width="22.42578125" customWidth="1"/>
    <col min="10505" max="10505" width="31.5703125" customWidth="1"/>
    <col min="10506" max="10506" width="10.85546875" customWidth="1"/>
    <col min="10507" max="10507" width="16" customWidth="1"/>
    <col min="10510" max="10510" width="7.5703125" customWidth="1"/>
    <col min="10511" max="10511" width="0.5703125" customWidth="1"/>
    <col min="10512" max="10512" width="11.5703125" bestFit="1" customWidth="1"/>
    <col min="10752" max="10752" width="24.7109375" customWidth="1"/>
    <col min="10753" max="10753" width="17.85546875" customWidth="1"/>
    <col min="10754" max="10754" width="20.7109375" customWidth="1"/>
    <col min="10755" max="10755" width="16.5703125" customWidth="1"/>
    <col min="10756" max="10756" width="7.140625" customWidth="1"/>
    <col min="10757" max="10757" width="15.140625" customWidth="1"/>
    <col min="10758" max="10758" width="6.28515625" customWidth="1"/>
    <col min="10759" max="10759" width="19.7109375" customWidth="1"/>
    <col min="10760" max="10760" width="22.42578125" customWidth="1"/>
    <col min="10761" max="10761" width="31.5703125" customWidth="1"/>
    <col min="10762" max="10762" width="10.85546875" customWidth="1"/>
    <col min="10763" max="10763" width="16" customWidth="1"/>
    <col min="10766" max="10766" width="7.5703125" customWidth="1"/>
    <col min="10767" max="10767" width="0.5703125" customWidth="1"/>
    <col min="10768" max="10768" width="11.5703125" bestFit="1" customWidth="1"/>
    <col min="11008" max="11008" width="24.7109375" customWidth="1"/>
    <col min="11009" max="11009" width="17.85546875" customWidth="1"/>
    <col min="11010" max="11010" width="20.7109375" customWidth="1"/>
    <col min="11011" max="11011" width="16.5703125" customWidth="1"/>
    <col min="11012" max="11012" width="7.140625" customWidth="1"/>
    <col min="11013" max="11013" width="15.140625" customWidth="1"/>
    <col min="11014" max="11014" width="6.28515625" customWidth="1"/>
    <col min="11015" max="11015" width="19.7109375" customWidth="1"/>
    <col min="11016" max="11016" width="22.42578125" customWidth="1"/>
    <col min="11017" max="11017" width="31.5703125" customWidth="1"/>
    <col min="11018" max="11018" width="10.85546875" customWidth="1"/>
    <col min="11019" max="11019" width="16" customWidth="1"/>
    <col min="11022" max="11022" width="7.5703125" customWidth="1"/>
    <col min="11023" max="11023" width="0.5703125" customWidth="1"/>
    <col min="11024" max="11024" width="11.5703125" bestFit="1" customWidth="1"/>
    <col min="11264" max="11264" width="24.7109375" customWidth="1"/>
    <col min="11265" max="11265" width="17.85546875" customWidth="1"/>
    <col min="11266" max="11266" width="20.7109375" customWidth="1"/>
    <col min="11267" max="11267" width="16.5703125" customWidth="1"/>
    <col min="11268" max="11268" width="7.140625" customWidth="1"/>
    <col min="11269" max="11269" width="15.140625" customWidth="1"/>
    <col min="11270" max="11270" width="6.28515625" customWidth="1"/>
    <col min="11271" max="11271" width="19.7109375" customWidth="1"/>
    <col min="11272" max="11272" width="22.42578125" customWidth="1"/>
    <col min="11273" max="11273" width="31.5703125" customWidth="1"/>
    <col min="11274" max="11274" width="10.85546875" customWidth="1"/>
    <col min="11275" max="11275" width="16" customWidth="1"/>
    <col min="11278" max="11278" width="7.5703125" customWidth="1"/>
    <col min="11279" max="11279" width="0.5703125" customWidth="1"/>
    <col min="11280" max="11280" width="11.5703125" bestFit="1" customWidth="1"/>
    <col min="11520" max="11520" width="24.7109375" customWidth="1"/>
    <col min="11521" max="11521" width="17.85546875" customWidth="1"/>
    <col min="11522" max="11522" width="20.7109375" customWidth="1"/>
    <col min="11523" max="11523" width="16.5703125" customWidth="1"/>
    <col min="11524" max="11524" width="7.140625" customWidth="1"/>
    <col min="11525" max="11525" width="15.140625" customWidth="1"/>
    <col min="11526" max="11526" width="6.28515625" customWidth="1"/>
    <col min="11527" max="11527" width="19.7109375" customWidth="1"/>
    <col min="11528" max="11528" width="22.42578125" customWidth="1"/>
    <col min="11529" max="11529" width="31.5703125" customWidth="1"/>
    <col min="11530" max="11530" width="10.85546875" customWidth="1"/>
    <col min="11531" max="11531" width="16" customWidth="1"/>
    <col min="11534" max="11534" width="7.5703125" customWidth="1"/>
    <col min="11535" max="11535" width="0.5703125" customWidth="1"/>
    <col min="11536" max="11536" width="11.5703125" bestFit="1" customWidth="1"/>
    <col min="11776" max="11776" width="24.7109375" customWidth="1"/>
    <col min="11777" max="11777" width="17.85546875" customWidth="1"/>
    <col min="11778" max="11778" width="20.7109375" customWidth="1"/>
    <col min="11779" max="11779" width="16.5703125" customWidth="1"/>
    <col min="11780" max="11780" width="7.140625" customWidth="1"/>
    <col min="11781" max="11781" width="15.140625" customWidth="1"/>
    <col min="11782" max="11782" width="6.28515625" customWidth="1"/>
    <col min="11783" max="11783" width="19.7109375" customWidth="1"/>
    <col min="11784" max="11784" width="22.42578125" customWidth="1"/>
    <col min="11785" max="11785" width="31.5703125" customWidth="1"/>
    <col min="11786" max="11786" width="10.85546875" customWidth="1"/>
    <col min="11787" max="11787" width="16" customWidth="1"/>
    <col min="11790" max="11790" width="7.5703125" customWidth="1"/>
    <col min="11791" max="11791" width="0.5703125" customWidth="1"/>
    <col min="11792" max="11792" width="11.5703125" bestFit="1" customWidth="1"/>
    <col min="12032" max="12032" width="24.7109375" customWidth="1"/>
    <col min="12033" max="12033" width="17.85546875" customWidth="1"/>
    <col min="12034" max="12034" width="20.7109375" customWidth="1"/>
    <col min="12035" max="12035" width="16.5703125" customWidth="1"/>
    <col min="12036" max="12036" width="7.140625" customWidth="1"/>
    <col min="12037" max="12037" width="15.140625" customWidth="1"/>
    <col min="12038" max="12038" width="6.28515625" customWidth="1"/>
    <col min="12039" max="12039" width="19.7109375" customWidth="1"/>
    <col min="12040" max="12040" width="22.42578125" customWidth="1"/>
    <col min="12041" max="12041" width="31.5703125" customWidth="1"/>
    <col min="12042" max="12042" width="10.85546875" customWidth="1"/>
    <col min="12043" max="12043" width="16" customWidth="1"/>
    <col min="12046" max="12046" width="7.5703125" customWidth="1"/>
    <col min="12047" max="12047" width="0.5703125" customWidth="1"/>
    <col min="12048" max="12048" width="11.5703125" bestFit="1" customWidth="1"/>
    <col min="12288" max="12288" width="24.7109375" customWidth="1"/>
    <col min="12289" max="12289" width="17.85546875" customWidth="1"/>
    <col min="12290" max="12290" width="20.7109375" customWidth="1"/>
    <col min="12291" max="12291" width="16.5703125" customWidth="1"/>
    <col min="12292" max="12292" width="7.140625" customWidth="1"/>
    <col min="12293" max="12293" width="15.140625" customWidth="1"/>
    <col min="12294" max="12294" width="6.28515625" customWidth="1"/>
    <col min="12295" max="12295" width="19.7109375" customWidth="1"/>
    <col min="12296" max="12296" width="22.42578125" customWidth="1"/>
    <col min="12297" max="12297" width="31.5703125" customWidth="1"/>
    <col min="12298" max="12298" width="10.85546875" customWidth="1"/>
    <col min="12299" max="12299" width="16" customWidth="1"/>
    <col min="12302" max="12302" width="7.5703125" customWidth="1"/>
    <col min="12303" max="12303" width="0.5703125" customWidth="1"/>
    <col min="12304" max="12304" width="11.5703125" bestFit="1" customWidth="1"/>
    <col min="12544" max="12544" width="24.7109375" customWidth="1"/>
    <col min="12545" max="12545" width="17.85546875" customWidth="1"/>
    <col min="12546" max="12546" width="20.7109375" customWidth="1"/>
    <col min="12547" max="12547" width="16.5703125" customWidth="1"/>
    <col min="12548" max="12548" width="7.140625" customWidth="1"/>
    <col min="12549" max="12549" width="15.140625" customWidth="1"/>
    <col min="12550" max="12550" width="6.28515625" customWidth="1"/>
    <col min="12551" max="12551" width="19.7109375" customWidth="1"/>
    <col min="12552" max="12552" width="22.42578125" customWidth="1"/>
    <col min="12553" max="12553" width="31.5703125" customWidth="1"/>
    <col min="12554" max="12554" width="10.85546875" customWidth="1"/>
    <col min="12555" max="12555" width="16" customWidth="1"/>
    <col min="12558" max="12558" width="7.5703125" customWidth="1"/>
    <col min="12559" max="12559" width="0.5703125" customWidth="1"/>
    <col min="12560" max="12560" width="11.5703125" bestFit="1" customWidth="1"/>
    <col min="12800" max="12800" width="24.7109375" customWidth="1"/>
    <col min="12801" max="12801" width="17.85546875" customWidth="1"/>
    <col min="12802" max="12802" width="20.7109375" customWidth="1"/>
    <col min="12803" max="12803" width="16.5703125" customWidth="1"/>
    <col min="12804" max="12804" width="7.140625" customWidth="1"/>
    <col min="12805" max="12805" width="15.140625" customWidth="1"/>
    <col min="12806" max="12806" width="6.28515625" customWidth="1"/>
    <col min="12807" max="12807" width="19.7109375" customWidth="1"/>
    <col min="12808" max="12808" width="22.42578125" customWidth="1"/>
    <col min="12809" max="12809" width="31.5703125" customWidth="1"/>
    <col min="12810" max="12810" width="10.85546875" customWidth="1"/>
    <col min="12811" max="12811" width="16" customWidth="1"/>
    <col min="12814" max="12814" width="7.5703125" customWidth="1"/>
    <col min="12815" max="12815" width="0.5703125" customWidth="1"/>
    <col min="12816" max="12816" width="11.5703125" bestFit="1" customWidth="1"/>
    <col min="13056" max="13056" width="24.7109375" customWidth="1"/>
    <col min="13057" max="13057" width="17.85546875" customWidth="1"/>
    <col min="13058" max="13058" width="20.7109375" customWidth="1"/>
    <col min="13059" max="13059" width="16.5703125" customWidth="1"/>
    <col min="13060" max="13060" width="7.140625" customWidth="1"/>
    <col min="13061" max="13061" width="15.140625" customWidth="1"/>
    <col min="13062" max="13062" width="6.28515625" customWidth="1"/>
    <col min="13063" max="13063" width="19.7109375" customWidth="1"/>
    <col min="13064" max="13064" width="22.42578125" customWidth="1"/>
    <col min="13065" max="13065" width="31.5703125" customWidth="1"/>
    <col min="13066" max="13066" width="10.85546875" customWidth="1"/>
    <col min="13067" max="13067" width="16" customWidth="1"/>
    <col min="13070" max="13070" width="7.5703125" customWidth="1"/>
    <col min="13071" max="13071" width="0.5703125" customWidth="1"/>
    <col min="13072" max="13072" width="11.5703125" bestFit="1" customWidth="1"/>
    <col min="13312" max="13312" width="24.7109375" customWidth="1"/>
    <col min="13313" max="13313" width="17.85546875" customWidth="1"/>
    <col min="13314" max="13314" width="20.7109375" customWidth="1"/>
    <col min="13315" max="13315" width="16.5703125" customWidth="1"/>
    <col min="13316" max="13316" width="7.140625" customWidth="1"/>
    <col min="13317" max="13317" width="15.140625" customWidth="1"/>
    <col min="13318" max="13318" width="6.28515625" customWidth="1"/>
    <col min="13319" max="13319" width="19.7109375" customWidth="1"/>
    <col min="13320" max="13320" width="22.42578125" customWidth="1"/>
    <col min="13321" max="13321" width="31.5703125" customWidth="1"/>
    <col min="13322" max="13322" width="10.85546875" customWidth="1"/>
    <col min="13323" max="13323" width="16" customWidth="1"/>
    <col min="13326" max="13326" width="7.5703125" customWidth="1"/>
    <col min="13327" max="13327" width="0.5703125" customWidth="1"/>
    <col min="13328" max="13328" width="11.5703125" bestFit="1" customWidth="1"/>
    <col min="13568" max="13568" width="24.7109375" customWidth="1"/>
    <col min="13569" max="13569" width="17.85546875" customWidth="1"/>
    <col min="13570" max="13570" width="20.7109375" customWidth="1"/>
    <col min="13571" max="13571" width="16.5703125" customWidth="1"/>
    <col min="13572" max="13572" width="7.140625" customWidth="1"/>
    <col min="13573" max="13573" width="15.140625" customWidth="1"/>
    <col min="13574" max="13574" width="6.28515625" customWidth="1"/>
    <col min="13575" max="13575" width="19.7109375" customWidth="1"/>
    <col min="13576" max="13576" width="22.42578125" customWidth="1"/>
    <col min="13577" max="13577" width="31.5703125" customWidth="1"/>
    <col min="13578" max="13578" width="10.85546875" customWidth="1"/>
    <col min="13579" max="13579" width="16" customWidth="1"/>
    <col min="13582" max="13582" width="7.5703125" customWidth="1"/>
    <col min="13583" max="13583" width="0.5703125" customWidth="1"/>
    <col min="13584" max="13584" width="11.5703125" bestFit="1" customWidth="1"/>
    <col min="13824" max="13824" width="24.7109375" customWidth="1"/>
    <col min="13825" max="13825" width="17.85546875" customWidth="1"/>
    <col min="13826" max="13826" width="20.7109375" customWidth="1"/>
    <col min="13827" max="13827" width="16.5703125" customWidth="1"/>
    <col min="13828" max="13828" width="7.140625" customWidth="1"/>
    <col min="13829" max="13829" width="15.140625" customWidth="1"/>
    <col min="13830" max="13830" width="6.28515625" customWidth="1"/>
    <col min="13831" max="13831" width="19.7109375" customWidth="1"/>
    <col min="13832" max="13832" width="22.42578125" customWidth="1"/>
    <col min="13833" max="13833" width="31.5703125" customWidth="1"/>
    <col min="13834" max="13834" width="10.85546875" customWidth="1"/>
    <col min="13835" max="13835" width="16" customWidth="1"/>
    <col min="13838" max="13838" width="7.5703125" customWidth="1"/>
    <col min="13839" max="13839" width="0.5703125" customWidth="1"/>
    <col min="13840" max="13840" width="11.5703125" bestFit="1" customWidth="1"/>
    <col min="14080" max="14080" width="24.7109375" customWidth="1"/>
    <col min="14081" max="14081" width="17.85546875" customWidth="1"/>
    <col min="14082" max="14082" width="20.7109375" customWidth="1"/>
    <col min="14083" max="14083" width="16.5703125" customWidth="1"/>
    <col min="14084" max="14084" width="7.140625" customWidth="1"/>
    <col min="14085" max="14085" width="15.140625" customWidth="1"/>
    <col min="14086" max="14086" width="6.28515625" customWidth="1"/>
    <col min="14087" max="14087" width="19.7109375" customWidth="1"/>
    <col min="14088" max="14088" width="22.42578125" customWidth="1"/>
    <col min="14089" max="14089" width="31.5703125" customWidth="1"/>
    <col min="14090" max="14090" width="10.85546875" customWidth="1"/>
    <col min="14091" max="14091" width="16" customWidth="1"/>
    <col min="14094" max="14094" width="7.5703125" customWidth="1"/>
    <col min="14095" max="14095" width="0.5703125" customWidth="1"/>
    <col min="14096" max="14096" width="11.5703125" bestFit="1" customWidth="1"/>
    <col min="14336" max="14336" width="24.7109375" customWidth="1"/>
    <col min="14337" max="14337" width="17.85546875" customWidth="1"/>
    <col min="14338" max="14338" width="20.7109375" customWidth="1"/>
    <col min="14339" max="14339" width="16.5703125" customWidth="1"/>
    <col min="14340" max="14340" width="7.140625" customWidth="1"/>
    <col min="14341" max="14341" width="15.140625" customWidth="1"/>
    <col min="14342" max="14342" width="6.28515625" customWidth="1"/>
    <col min="14343" max="14343" width="19.7109375" customWidth="1"/>
    <col min="14344" max="14344" width="22.42578125" customWidth="1"/>
    <col min="14345" max="14345" width="31.5703125" customWidth="1"/>
    <col min="14346" max="14346" width="10.85546875" customWidth="1"/>
    <col min="14347" max="14347" width="16" customWidth="1"/>
    <col min="14350" max="14350" width="7.5703125" customWidth="1"/>
    <col min="14351" max="14351" width="0.5703125" customWidth="1"/>
    <col min="14352" max="14352" width="11.5703125" bestFit="1" customWidth="1"/>
    <col min="14592" max="14592" width="24.7109375" customWidth="1"/>
    <col min="14593" max="14593" width="17.85546875" customWidth="1"/>
    <col min="14594" max="14594" width="20.7109375" customWidth="1"/>
    <col min="14595" max="14595" width="16.5703125" customWidth="1"/>
    <col min="14596" max="14596" width="7.140625" customWidth="1"/>
    <col min="14597" max="14597" width="15.140625" customWidth="1"/>
    <col min="14598" max="14598" width="6.28515625" customWidth="1"/>
    <col min="14599" max="14599" width="19.7109375" customWidth="1"/>
    <col min="14600" max="14600" width="22.42578125" customWidth="1"/>
    <col min="14601" max="14601" width="31.5703125" customWidth="1"/>
    <col min="14602" max="14602" width="10.85546875" customWidth="1"/>
    <col min="14603" max="14603" width="16" customWidth="1"/>
    <col min="14606" max="14606" width="7.5703125" customWidth="1"/>
    <col min="14607" max="14607" width="0.5703125" customWidth="1"/>
    <col min="14608" max="14608" width="11.5703125" bestFit="1" customWidth="1"/>
    <col min="14848" max="14848" width="24.7109375" customWidth="1"/>
    <col min="14849" max="14849" width="17.85546875" customWidth="1"/>
    <col min="14850" max="14850" width="20.7109375" customWidth="1"/>
    <col min="14851" max="14851" width="16.5703125" customWidth="1"/>
    <col min="14852" max="14852" width="7.140625" customWidth="1"/>
    <col min="14853" max="14853" width="15.140625" customWidth="1"/>
    <col min="14854" max="14854" width="6.28515625" customWidth="1"/>
    <col min="14855" max="14855" width="19.7109375" customWidth="1"/>
    <col min="14856" max="14856" width="22.42578125" customWidth="1"/>
    <col min="14857" max="14857" width="31.5703125" customWidth="1"/>
    <col min="14858" max="14858" width="10.85546875" customWidth="1"/>
    <col min="14859" max="14859" width="16" customWidth="1"/>
    <col min="14862" max="14862" width="7.5703125" customWidth="1"/>
    <col min="14863" max="14863" width="0.5703125" customWidth="1"/>
    <col min="14864" max="14864" width="11.5703125" bestFit="1" customWidth="1"/>
    <col min="15104" max="15104" width="24.7109375" customWidth="1"/>
    <col min="15105" max="15105" width="17.85546875" customWidth="1"/>
    <col min="15106" max="15106" width="20.7109375" customWidth="1"/>
    <col min="15107" max="15107" width="16.5703125" customWidth="1"/>
    <col min="15108" max="15108" width="7.140625" customWidth="1"/>
    <col min="15109" max="15109" width="15.140625" customWidth="1"/>
    <col min="15110" max="15110" width="6.28515625" customWidth="1"/>
    <col min="15111" max="15111" width="19.7109375" customWidth="1"/>
    <col min="15112" max="15112" width="22.42578125" customWidth="1"/>
    <col min="15113" max="15113" width="31.5703125" customWidth="1"/>
    <col min="15114" max="15114" width="10.85546875" customWidth="1"/>
    <col min="15115" max="15115" width="16" customWidth="1"/>
    <col min="15118" max="15118" width="7.5703125" customWidth="1"/>
    <col min="15119" max="15119" width="0.5703125" customWidth="1"/>
    <col min="15120" max="15120" width="11.5703125" bestFit="1" customWidth="1"/>
    <col min="15360" max="15360" width="24.7109375" customWidth="1"/>
    <col min="15361" max="15361" width="17.85546875" customWidth="1"/>
    <col min="15362" max="15362" width="20.7109375" customWidth="1"/>
    <col min="15363" max="15363" width="16.5703125" customWidth="1"/>
    <col min="15364" max="15364" width="7.140625" customWidth="1"/>
    <col min="15365" max="15365" width="15.140625" customWidth="1"/>
    <col min="15366" max="15366" width="6.28515625" customWidth="1"/>
    <col min="15367" max="15367" width="19.7109375" customWidth="1"/>
    <col min="15368" max="15368" width="22.42578125" customWidth="1"/>
    <col min="15369" max="15369" width="31.5703125" customWidth="1"/>
    <col min="15370" max="15370" width="10.85546875" customWidth="1"/>
    <col min="15371" max="15371" width="16" customWidth="1"/>
    <col min="15374" max="15374" width="7.5703125" customWidth="1"/>
    <col min="15375" max="15375" width="0.5703125" customWidth="1"/>
    <col min="15376" max="15376" width="11.5703125" bestFit="1" customWidth="1"/>
    <col min="15616" max="15616" width="24.7109375" customWidth="1"/>
    <col min="15617" max="15617" width="17.85546875" customWidth="1"/>
    <col min="15618" max="15618" width="20.7109375" customWidth="1"/>
    <col min="15619" max="15619" width="16.5703125" customWidth="1"/>
    <col min="15620" max="15620" width="7.140625" customWidth="1"/>
    <col min="15621" max="15621" width="15.140625" customWidth="1"/>
    <col min="15622" max="15622" width="6.28515625" customWidth="1"/>
    <col min="15623" max="15623" width="19.7109375" customWidth="1"/>
    <col min="15624" max="15624" width="22.42578125" customWidth="1"/>
    <col min="15625" max="15625" width="31.5703125" customWidth="1"/>
    <col min="15626" max="15626" width="10.85546875" customWidth="1"/>
    <col min="15627" max="15627" width="16" customWidth="1"/>
    <col min="15630" max="15630" width="7.5703125" customWidth="1"/>
    <col min="15631" max="15631" width="0.5703125" customWidth="1"/>
    <col min="15632" max="15632" width="11.5703125" bestFit="1" customWidth="1"/>
    <col min="15872" max="15872" width="24.7109375" customWidth="1"/>
    <col min="15873" max="15873" width="17.85546875" customWidth="1"/>
    <col min="15874" max="15874" width="20.7109375" customWidth="1"/>
    <col min="15875" max="15875" width="16.5703125" customWidth="1"/>
    <col min="15876" max="15876" width="7.140625" customWidth="1"/>
    <col min="15877" max="15877" width="15.140625" customWidth="1"/>
    <col min="15878" max="15878" width="6.28515625" customWidth="1"/>
    <col min="15879" max="15879" width="19.7109375" customWidth="1"/>
    <col min="15880" max="15880" width="22.42578125" customWidth="1"/>
    <col min="15881" max="15881" width="31.5703125" customWidth="1"/>
    <col min="15882" max="15882" width="10.85546875" customWidth="1"/>
    <col min="15883" max="15883" width="16" customWidth="1"/>
    <col min="15886" max="15886" width="7.5703125" customWidth="1"/>
    <col min="15887" max="15887" width="0.5703125" customWidth="1"/>
    <col min="15888" max="15888" width="11.5703125" bestFit="1" customWidth="1"/>
    <col min="16128" max="16128" width="24.7109375" customWidth="1"/>
    <col min="16129" max="16129" width="17.85546875" customWidth="1"/>
    <col min="16130" max="16130" width="20.7109375" customWidth="1"/>
    <col min="16131" max="16131" width="16.5703125" customWidth="1"/>
    <col min="16132" max="16132" width="7.140625" customWidth="1"/>
    <col min="16133" max="16133" width="15.140625" customWidth="1"/>
    <col min="16134" max="16134" width="6.28515625" customWidth="1"/>
    <col min="16135" max="16135" width="19.7109375" customWidth="1"/>
    <col min="16136" max="16136" width="22.42578125" customWidth="1"/>
    <col min="16137" max="16137" width="31.5703125" customWidth="1"/>
    <col min="16138" max="16138" width="10.85546875" customWidth="1"/>
    <col min="16139" max="16139" width="16" customWidth="1"/>
    <col min="16142" max="16142" width="7.5703125" customWidth="1"/>
    <col min="16143" max="16143" width="0.5703125" customWidth="1"/>
    <col min="16144" max="16144" width="11.5703125" bestFit="1" customWidth="1"/>
  </cols>
  <sheetData>
    <row r="2" spans="2:37" ht="22.5" customHeight="1" x14ac:dyDescent="0.35">
      <c r="B2" s="2977" t="s">
        <v>817</v>
      </c>
      <c r="C2" s="2977"/>
      <c r="D2" s="2977"/>
      <c r="E2" s="2977"/>
      <c r="F2" s="2766"/>
      <c r="G2" s="37"/>
      <c r="H2" s="37"/>
      <c r="J2" s="2767"/>
      <c r="L2" s="37"/>
      <c r="M2" s="37"/>
    </row>
    <row r="3" spans="2:37" ht="28.5" customHeight="1" x14ac:dyDescent="0.35">
      <c r="B3" s="2769" t="s">
        <v>771</v>
      </c>
      <c r="C3" s="2770"/>
      <c r="D3" s="2770"/>
      <c r="E3" s="2770"/>
      <c r="F3" s="2766"/>
      <c r="G3" s="37"/>
      <c r="H3" s="37"/>
      <c r="J3" s="2767"/>
      <c r="L3" s="37"/>
      <c r="M3" s="37"/>
    </row>
    <row r="4" spans="2:37" s="2495" customFormat="1" ht="129.75" customHeight="1" x14ac:dyDescent="0.25">
      <c r="B4" s="2978" t="str">
        <f ca="1">T6&amp;CHAR(10)&amp;T7&amp;CHAR(10)&amp;T8&amp;TEXT(AE8,"$#,###")&amp;T9&amp;CHAR(10)&amp;T10&amp;TEXT(AC10,"$#,###")&amp;T11</f>
        <v>SCG and the EEB recognize that having clear indicators and metrics of performance are helpful in delivering quality programs to Connecticut consumers.  The following is a
table of performance and incentive metrics developed by the Companies with input from the EEB, the EEB consultants and DEEP. These performance and incentive
metrics apply to the programs delineated in the 2022-2024 Plan. The projected SCG Performance Incentive is $702,324 and is based on achieving 100% of all performance 
targets and earning an incentive of 5.0% of the total EE program budget of $14,046,488 as shown on Table A (exclusive of EEB costs, Evaluation Consultant costs, Management incentives and Audit costs). The actual earned amount will be calculated on a sliding scale based on the percent of goal achieved and the actual total expenditures, based on the following performance range:</v>
      </c>
      <c r="C4" s="2978"/>
      <c r="D4" s="2978"/>
      <c r="E4" s="2978"/>
      <c r="F4" s="2978"/>
      <c r="G4" s="2978"/>
      <c r="H4" s="2978"/>
      <c r="I4" s="2978"/>
      <c r="J4" s="2978"/>
      <c r="K4" s="2978"/>
      <c r="L4" s="2830"/>
      <c r="M4" s="2830"/>
      <c r="N4" s="2830"/>
      <c r="O4" s="2771"/>
    </row>
    <row r="5" spans="2:37" ht="35.25" customHeight="1" x14ac:dyDescent="0.2">
      <c r="B5" s="2979" t="s">
        <v>772</v>
      </c>
      <c r="C5" s="2979"/>
      <c r="D5" s="2979"/>
      <c r="E5" s="37"/>
      <c r="F5" s="37"/>
      <c r="G5" s="37"/>
      <c r="H5" s="37"/>
      <c r="J5" s="2767"/>
      <c r="L5" s="37"/>
      <c r="M5" s="37"/>
    </row>
    <row r="6" spans="2:37" ht="36.75" customHeight="1" x14ac:dyDescent="0.2">
      <c r="B6" s="2772" t="s">
        <v>773</v>
      </c>
      <c r="C6" s="2772" t="s">
        <v>374</v>
      </c>
      <c r="D6" s="2773" t="s">
        <v>373</v>
      </c>
      <c r="E6" s="2774"/>
      <c r="F6" s="2774"/>
      <c r="G6" s="2775"/>
      <c r="H6" s="37"/>
      <c r="J6" s="2767"/>
      <c r="L6" s="37"/>
      <c r="M6" s="37"/>
      <c r="T6" s="2828" t="s">
        <v>818</v>
      </c>
      <c r="U6" s="2828"/>
      <c r="V6" s="2828"/>
      <c r="W6" s="2828"/>
      <c r="X6" s="2828"/>
      <c r="Y6" s="2828"/>
      <c r="Z6" s="2828"/>
      <c r="AA6" s="2828"/>
      <c r="AB6" s="2828"/>
      <c r="AC6" s="2828"/>
      <c r="AD6" s="2828"/>
      <c r="AE6" s="2828"/>
      <c r="AF6" s="2828"/>
      <c r="AG6" s="2828"/>
      <c r="AH6" s="2828"/>
      <c r="AI6" s="2828"/>
      <c r="AJ6" s="2828"/>
      <c r="AK6" s="2828"/>
    </row>
    <row r="7" spans="2:37" ht="30" customHeight="1" x14ac:dyDescent="0.2">
      <c r="B7" s="2776">
        <v>75</v>
      </c>
      <c r="C7" s="2777">
        <v>2.5000000000000001E-2</v>
      </c>
      <c r="D7" s="2778">
        <f t="shared" ref="D7:D14" ca="1" si="0">C7*$C$16</f>
        <v>351162.19316993305</v>
      </c>
      <c r="E7" s="2779"/>
      <c r="F7" s="2779"/>
      <c r="G7" s="2780"/>
      <c r="H7" s="37"/>
      <c r="J7" s="2767"/>
      <c r="L7" s="37"/>
      <c r="M7" s="2781"/>
      <c r="T7" s="2828" t="s">
        <v>814</v>
      </c>
      <c r="U7" s="2828"/>
      <c r="V7" s="2828"/>
      <c r="W7" s="2828"/>
      <c r="X7" s="2828"/>
      <c r="Y7" s="2828"/>
      <c r="Z7" s="2828"/>
      <c r="AA7" s="2828"/>
      <c r="AB7" s="2828"/>
      <c r="AC7" s="2828"/>
      <c r="AD7" s="2828"/>
      <c r="AE7" s="2828"/>
      <c r="AF7" s="2828"/>
      <c r="AG7" s="2828"/>
      <c r="AH7" s="2828"/>
      <c r="AI7" s="2828"/>
      <c r="AJ7" s="2828"/>
      <c r="AK7" s="2828"/>
    </row>
    <row r="8" spans="2:37" ht="30" customHeight="1" x14ac:dyDescent="0.2">
      <c r="B8" s="2776">
        <v>85</v>
      </c>
      <c r="C8" s="2777">
        <v>3.5000000000000003E-2</v>
      </c>
      <c r="D8" s="2778">
        <f t="shared" ca="1" si="0"/>
        <v>491627.07043790625</v>
      </c>
      <c r="E8" s="2779"/>
      <c r="F8" s="2779"/>
      <c r="G8" s="2780"/>
      <c r="H8" s="37"/>
      <c r="J8" s="2767"/>
      <c r="L8" s="37"/>
      <c r="M8" s="37"/>
      <c r="T8" s="2828" t="s">
        <v>819</v>
      </c>
      <c r="U8" s="2828"/>
      <c r="V8" s="2828"/>
      <c r="W8" s="2828"/>
      <c r="X8" s="2828"/>
      <c r="Y8" s="2828"/>
      <c r="Z8" s="2828"/>
      <c r="AA8" s="2828"/>
      <c r="AB8" s="2828"/>
      <c r="AC8" s="2828"/>
      <c r="AD8" s="2828"/>
      <c r="AE8" s="2829">
        <f ca="1">D10</f>
        <v>702324.38633986609</v>
      </c>
      <c r="AF8" s="2828"/>
      <c r="AG8" s="2828"/>
      <c r="AH8" s="2828"/>
      <c r="AI8" s="2828"/>
      <c r="AJ8" s="2828"/>
      <c r="AK8" s="2828"/>
    </row>
    <row r="9" spans="2:37" ht="30" customHeight="1" x14ac:dyDescent="0.2">
      <c r="B9" s="2776">
        <v>95</v>
      </c>
      <c r="C9" s="2777">
        <v>4.4999999999999998E-2</v>
      </c>
      <c r="D9" s="2778">
        <f t="shared" ca="1" si="0"/>
        <v>632091.94770587934</v>
      </c>
      <c r="E9" s="2782"/>
      <c r="F9" s="2782"/>
      <c r="G9" s="2780"/>
      <c r="H9" s="37"/>
      <c r="J9" s="2767"/>
      <c r="L9" s="37"/>
      <c r="M9" s="37"/>
      <c r="T9" s="2828" t="s">
        <v>816</v>
      </c>
      <c r="U9" s="2828"/>
      <c r="V9" s="2828"/>
      <c r="W9" s="2828"/>
      <c r="X9" s="2828"/>
      <c r="Y9" s="2828"/>
      <c r="Z9" s="2828"/>
      <c r="AA9" s="2828"/>
      <c r="AB9" s="2828"/>
      <c r="AC9" s="2828"/>
      <c r="AD9" s="2828"/>
      <c r="AE9" s="2828"/>
      <c r="AF9" s="2828"/>
      <c r="AG9" s="2828"/>
      <c r="AH9" s="2828"/>
      <c r="AI9" s="2828"/>
      <c r="AJ9" s="2828"/>
      <c r="AK9" s="2828"/>
    </row>
    <row r="10" spans="2:37" ht="30" customHeight="1" x14ac:dyDescent="0.2">
      <c r="B10" s="2783">
        <v>100</v>
      </c>
      <c r="C10" s="2784">
        <v>0.05</v>
      </c>
      <c r="D10" s="2785">
        <f t="shared" ca="1" si="0"/>
        <v>702324.38633986609</v>
      </c>
      <c r="E10" s="2779"/>
      <c r="F10" s="2779"/>
      <c r="G10" s="2780"/>
      <c r="H10" s="37"/>
      <c r="J10" s="2767"/>
      <c r="L10" s="37"/>
      <c r="M10" s="37"/>
      <c r="T10" s="2828" t="s">
        <v>815</v>
      </c>
      <c r="U10" s="2828"/>
      <c r="V10" s="2828"/>
      <c r="W10" s="2828"/>
      <c r="X10" s="2828"/>
      <c r="Y10" s="2828"/>
      <c r="Z10" s="2828"/>
      <c r="AA10" s="2828"/>
      <c r="AB10" s="2828"/>
      <c r="AC10" s="2829">
        <f ca="1">C16</f>
        <v>14046487.72679732</v>
      </c>
      <c r="AD10" s="2828"/>
      <c r="AE10" s="2828"/>
      <c r="AF10" s="2828"/>
      <c r="AG10" s="2828"/>
      <c r="AH10" s="2828"/>
      <c r="AI10" s="2828"/>
      <c r="AJ10" s="2828"/>
      <c r="AK10" s="2828"/>
    </row>
    <row r="11" spans="2:37" ht="29.25" customHeight="1" x14ac:dyDescent="0.2">
      <c r="B11" s="2776">
        <v>105</v>
      </c>
      <c r="C11" s="2777">
        <v>5.5E-2</v>
      </c>
      <c r="D11" s="2778">
        <f t="shared" ca="1" si="0"/>
        <v>772556.82497385261</v>
      </c>
      <c r="E11" s="2779"/>
      <c r="F11" s="2779"/>
      <c r="G11" s="2780"/>
      <c r="H11" s="37"/>
      <c r="J11" s="2767"/>
      <c r="L11" s="37"/>
      <c r="M11" s="37"/>
      <c r="T11" s="2828" t="s">
        <v>810</v>
      </c>
      <c r="U11" s="2828"/>
      <c r="V11" s="2828"/>
      <c r="W11" s="2828"/>
      <c r="X11" s="2828"/>
      <c r="Y11" s="2828"/>
      <c r="Z11" s="2828"/>
      <c r="AA11" s="2828"/>
      <c r="AB11" s="2828"/>
      <c r="AC11" s="2828"/>
      <c r="AD11" s="2828"/>
      <c r="AE11" s="2828"/>
      <c r="AF11" s="2828"/>
      <c r="AG11" s="2828"/>
      <c r="AH11" s="2828"/>
      <c r="AI11" s="2828"/>
      <c r="AJ11" s="2828"/>
      <c r="AK11" s="2828"/>
    </row>
    <row r="12" spans="2:37" ht="30" customHeight="1" x14ac:dyDescent="0.2">
      <c r="B12" s="3057">
        <v>115</v>
      </c>
      <c r="C12" s="3058">
        <v>5.8599999999999999E-2</v>
      </c>
      <c r="D12" s="2778">
        <f t="shared" ca="1" si="0"/>
        <v>823124.18079032295</v>
      </c>
      <c r="E12" s="2786"/>
      <c r="F12" s="2786"/>
      <c r="G12" s="2780"/>
      <c r="H12" s="37"/>
      <c r="J12" s="2767"/>
      <c r="L12" s="37"/>
      <c r="M12" s="37"/>
      <c r="T12" s="2828"/>
      <c r="U12" s="2828"/>
      <c r="V12" s="2828"/>
      <c r="W12" s="2828"/>
      <c r="X12" s="2828"/>
      <c r="Y12" s="2828"/>
      <c r="Z12" s="2828"/>
      <c r="AA12" s="2828"/>
      <c r="AB12" s="2828"/>
      <c r="AC12" s="2828"/>
      <c r="AD12" s="2828"/>
      <c r="AE12" s="2828"/>
      <c r="AF12" s="2828"/>
      <c r="AG12" s="2828"/>
      <c r="AH12" s="2828"/>
      <c r="AI12" s="2828"/>
      <c r="AJ12" s="2828"/>
      <c r="AK12" s="2828"/>
    </row>
    <row r="13" spans="2:37" ht="30" customHeight="1" x14ac:dyDescent="0.2">
      <c r="B13" s="3057">
        <v>125</v>
      </c>
      <c r="C13" s="3058">
        <v>6.4299999999999996E-2</v>
      </c>
      <c r="D13" s="2778">
        <f t="shared" ca="1" si="0"/>
        <v>903189.16083306761</v>
      </c>
      <c r="E13" s="2786"/>
      <c r="F13" s="2786"/>
      <c r="G13" s="2780"/>
      <c r="H13" s="37"/>
      <c r="J13" s="2767"/>
      <c r="L13" s="37"/>
      <c r="M13" s="37"/>
    </row>
    <row r="14" spans="2:37" ht="19.5" customHeight="1" x14ac:dyDescent="0.2">
      <c r="B14" s="3057">
        <v>135</v>
      </c>
      <c r="C14" s="3059">
        <v>7.0000000000000007E-2</v>
      </c>
      <c r="D14" s="2778">
        <f t="shared" ca="1" si="0"/>
        <v>983254.1408758125</v>
      </c>
      <c r="E14" s="2779"/>
      <c r="F14" s="2779"/>
      <c r="G14" s="2780"/>
      <c r="H14" s="37"/>
      <c r="J14" s="2767"/>
      <c r="L14" s="37"/>
      <c r="M14" s="37"/>
    </row>
    <row r="15" spans="2:37" ht="24.75" customHeight="1" x14ac:dyDescent="0.2">
      <c r="B15" s="2787"/>
      <c r="C15" s="2788"/>
      <c r="D15" s="2789"/>
      <c r="E15" s="2779"/>
      <c r="F15" s="2779"/>
      <c r="G15" s="2780"/>
      <c r="H15" s="37"/>
      <c r="J15" s="2767"/>
      <c r="L15" s="37"/>
      <c r="M15" s="37"/>
    </row>
    <row r="16" spans="2:37" s="968" customFormat="1" ht="36" x14ac:dyDescent="0.25">
      <c r="B16" s="2790" t="s">
        <v>774</v>
      </c>
      <c r="C16" s="2791">
        <f ca="1">'SCG Table A'!M51-'SCG Table A'!M49-'SCG Table A'!M48-'SCG Table A'!M47-'SCG Table A'!M45</f>
        <v>14046487.72679732</v>
      </c>
      <c r="D16" s="2789"/>
      <c r="E16" s="2792"/>
      <c r="F16" s="2792"/>
      <c r="G16" s="2793"/>
      <c r="J16" s="2794"/>
      <c r="K16" s="2795"/>
    </row>
    <row r="17" spans="2:13" ht="25.5" customHeight="1" x14ac:dyDescent="0.2">
      <c r="B17" s="2980" t="s">
        <v>775</v>
      </c>
      <c r="C17" s="2980"/>
      <c r="D17" s="2980"/>
      <c r="E17" s="2779"/>
      <c r="F17" s="2779"/>
      <c r="G17" s="2780"/>
      <c r="H17" s="37"/>
      <c r="J17" s="2767"/>
      <c r="L17" s="37"/>
      <c r="M17" s="37"/>
    </row>
    <row r="18" spans="2:13" ht="19.5" customHeight="1" x14ac:dyDescent="0.2">
      <c r="B18" s="2980"/>
      <c r="C18" s="2980"/>
      <c r="D18" s="2980"/>
      <c r="E18" s="2779"/>
      <c r="F18" s="2779"/>
      <c r="G18" s="2780"/>
      <c r="H18" s="37"/>
      <c r="J18" s="2767"/>
      <c r="L18" s="37"/>
      <c r="M18" s="37"/>
    </row>
    <row r="19" spans="2:13" ht="19.5" customHeight="1" x14ac:dyDescent="0.2">
      <c r="B19" s="37"/>
      <c r="D19" s="2779"/>
      <c r="E19" s="2779"/>
      <c r="F19" s="2779"/>
      <c r="G19" s="2780"/>
      <c r="H19" s="37"/>
      <c r="J19" s="2767"/>
      <c r="L19" s="37"/>
      <c r="M19" s="37"/>
    </row>
    <row r="20" spans="2:13" ht="19.5" customHeight="1" x14ac:dyDescent="0.2">
      <c r="B20" s="37"/>
      <c r="D20" s="2779"/>
      <c r="E20" s="2779"/>
      <c r="F20" s="2779"/>
      <c r="G20" s="2780"/>
      <c r="H20" s="37"/>
      <c r="J20" s="2767"/>
      <c r="L20" s="37"/>
      <c r="M20" s="37"/>
    </row>
    <row r="21" spans="2:13" ht="19.5" customHeight="1" x14ac:dyDescent="0.25">
      <c r="B21" s="2796"/>
      <c r="D21" s="2779"/>
      <c r="E21" s="2779"/>
      <c r="F21" s="2779"/>
      <c r="G21" s="2780"/>
      <c r="H21" s="37"/>
      <c r="J21" s="2767"/>
      <c r="L21" s="37"/>
      <c r="M21" s="37"/>
    </row>
    <row r="22" spans="2:13" ht="9" customHeight="1" thickBot="1" x14ac:dyDescent="0.25">
      <c r="B22" s="37"/>
      <c r="D22" s="37"/>
      <c r="E22" s="37"/>
      <c r="F22" s="37"/>
      <c r="G22" s="37"/>
      <c r="H22" s="37"/>
      <c r="J22" s="2767"/>
      <c r="L22" s="37"/>
      <c r="M22" s="37"/>
    </row>
    <row r="23" spans="2:13" s="2488" customFormat="1" ht="23.25" customHeight="1" thickBot="1" x14ac:dyDescent="0.25">
      <c r="B23" s="2981" t="s">
        <v>502</v>
      </c>
      <c r="C23" s="2981"/>
      <c r="D23" s="2981" t="s">
        <v>370</v>
      </c>
      <c r="E23" s="2981"/>
      <c r="F23" s="2981"/>
      <c r="G23" s="2981"/>
      <c r="H23" s="2982" t="s">
        <v>369</v>
      </c>
      <c r="I23" s="2982"/>
      <c r="J23" s="2982"/>
      <c r="K23" s="2982"/>
    </row>
    <row r="24" spans="2:13" s="2488" customFormat="1" ht="36.75" customHeight="1" thickBot="1" x14ac:dyDescent="0.25">
      <c r="B24" s="2981" t="s">
        <v>79</v>
      </c>
      <c r="C24" s="2981"/>
      <c r="D24" s="2981"/>
      <c r="E24" s="2981"/>
      <c r="F24" s="2981"/>
      <c r="G24" s="2981"/>
      <c r="H24" s="2797" t="s">
        <v>368</v>
      </c>
      <c r="I24" s="2797" t="s">
        <v>367</v>
      </c>
      <c r="J24" s="2797" t="s">
        <v>366</v>
      </c>
      <c r="K24" s="2798" t="s">
        <v>365</v>
      </c>
    </row>
    <row r="25" spans="2:13" ht="19.5" customHeight="1" thickBot="1" x14ac:dyDescent="0.25">
      <c r="B25" s="2983"/>
      <c r="C25" s="2984"/>
      <c r="D25" s="2984"/>
      <c r="E25" s="2984"/>
      <c r="F25" s="2984"/>
      <c r="G25" s="2984"/>
      <c r="H25" s="2984"/>
      <c r="I25" s="2984"/>
      <c r="J25" s="2984"/>
      <c r="K25" s="2985"/>
      <c r="L25" s="37"/>
      <c r="M25" s="37"/>
    </row>
    <row r="26" spans="2:13" ht="17.25" customHeight="1" x14ac:dyDescent="0.2">
      <c r="B26" s="2986" t="s">
        <v>5</v>
      </c>
      <c r="C26" s="2987"/>
      <c r="D26" s="2990" t="s">
        <v>776</v>
      </c>
      <c r="E26" s="2986" t="s">
        <v>777</v>
      </c>
      <c r="F26" s="2987"/>
      <c r="G26" s="2992" t="s">
        <v>778</v>
      </c>
      <c r="H26" s="2994"/>
      <c r="I26" s="2994"/>
      <c r="J26" s="2994"/>
      <c r="K26" s="2996"/>
      <c r="L26" s="37"/>
      <c r="M26" s="37"/>
    </row>
    <row r="27" spans="2:13" ht="18.75" customHeight="1" thickBot="1" x14ac:dyDescent="0.25">
      <c r="B27" s="2988"/>
      <c r="C27" s="2989"/>
      <c r="D27" s="2991"/>
      <c r="E27" s="2988"/>
      <c r="F27" s="2989"/>
      <c r="G27" s="2993"/>
      <c r="H27" s="2995"/>
      <c r="I27" s="2995"/>
      <c r="J27" s="2995"/>
      <c r="K27" s="2997"/>
      <c r="L27" s="37"/>
      <c r="M27" s="37"/>
    </row>
    <row r="28" spans="2:13" ht="18" customHeight="1" thickBot="1" x14ac:dyDescent="0.25">
      <c r="B28" s="2998" t="s">
        <v>779</v>
      </c>
      <c r="C28" s="3001">
        <f>'SCG Table A'!M18</f>
        <v>8703222.6146112699</v>
      </c>
      <c r="D28" s="3004" t="s">
        <v>3</v>
      </c>
      <c r="E28" s="3005"/>
      <c r="F28" s="3005"/>
      <c r="G28" s="3006"/>
      <c r="H28" s="3010" t="s">
        <v>780</v>
      </c>
      <c r="I28" s="3010" t="s">
        <v>781</v>
      </c>
      <c r="J28" s="3026">
        <v>0.21440000000000001</v>
      </c>
      <c r="K28" s="3001">
        <f ca="1">$D$10*J28</f>
        <v>150578.34843126728</v>
      </c>
      <c r="L28" s="37"/>
      <c r="M28" s="37"/>
    </row>
    <row r="29" spans="2:13" ht="43.5" hidden="1" customHeight="1" x14ac:dyDescent="0.2">
      <c r="B29" s="2999"/>
      <c r="C29" s="3002"/>
      <c r="D29" s="3007"/>
      <c r="E29" s="3008"/>
      <c r="F29" s="3008"/>
      <c r="G29" s="3009"/>
      <c r="H29" s="3011"/>
      <c r="I29" s="3011"/>
      <c r="J29" s="3027"/>
      <c r="K29" s="3002"/>
      <c r="L29" s="37"/>
      <c r="M29" s="37"/>
    </row>
    <row r="30" spans="2:13" ht="18.75" customHeight="1" thickBot="1" x14ac:dyDescent="0.3">
      <c r="B30" s="2999"/>
      <c r="C30" s="3002"/>
      <c r="D30" s="2799" t="s">
        <v>384</v>
      </c>
      <c r="E30" s="3013">
        <v>575250</v>
      </c>
      <c r="F30" s="3014"/>
      <c r="G30" s="2800">
        <f>(E30*E$37)/I$33</f>
        <v>6.6074111204136213E-2</v>
      </c>
      <c r="H30" s="3011"/>
      <c r="I30" s="3011"/>
      <c r="J30" s="3027"/>
      <c r="K30" s="3002"/>
      <c r="L30" s="37"/>
      <c r="M30" s="37"/>
    </row>
    <row r="31" spans="2:13" ht="18.75" customHeight="1" thickBot="1" x14ac:dyDescent="0.3">
      <c r="B31" s="2999"/>
      <c r="C31" s="3002"/>
      <c r="D31" s="2799" t="s">
        <v>160</v>
      </c>
      <c r="E31" s="3013">
        <v>2624146.1586144464</v>
      </c>
      <c r="F31" s="3014"/>
      <c r="G31" s="2800">
        <f>(E31*E$37)/I$33</f>
        <v>0.30141351603684968</v>
      </c>
      <c r="H31" s="3011"/>
      <c r="I31" s="3011"/>
      <c r="J31" s="3027"/>
      <c r="K31" s="3002"/>
      <c r="L31" s="37"/>
      <c r="M31" s="37"/>
    </row>
    <row r="32" spans="2:13" ht="18.75" customHeight="1" thickBot="1" x14ac:dyDescent="0.3">
      <c r="B32" s="2999"/>
      <c r="C32" s="3002"/>
      <c r="D32" s="2799" t="s">
        <v>782</v>
      </c>
      <c r="E32" s="3013">
        <v>2042043.654013223</v>
      </c>
      <c r="F32" s="3014"/>
      <c r="G32" s="2800">
        <f>(E32*E$37)/I$33</f>
        <v>0.23455231547843605</v>
      </c>
      <c r="H32" s="3011"/>
      <c r="I32" s="3012"/>
      <c r="J32" s="3027"/>
      <c r="K32" s="3002"/>
      <c r="L32" s="37"/>
      <c r="M32" s="37"/>
    </row>
    <row r="33" spans="2:17" ht="18.75" customHeight="1" thickBot="1" x14ac:dyDescent="0.3">
      <c r="B33" s="2999"/>
      <c r="C33" s="3002"/>
      <c r="D33" s="2799" t="s">
        <v>783</v>
      </c>
      <c r="E33" s="3013">
        <v>3220115.8337069838</v>
      </c>
      <c r="F33" s="3014"/>
      <c r="G33" s="2800">
        <f>(E33*E$37)/I$33</f>
        <v>0.36986752140209478</v>
      </c>
      <c r="H33" s="3011"/>
      <c r="I33" s="3015">
        <f>E38</f>
        <v>13691407.632104546</v>
      </c>
      <c r="J33" s="3027"/>
      <c r="K33" s="3002"/>
      <c r="L33" s="37"/>
      <c r="M33" s="37"/>
    </row>
    <row r="34" spans="2:17" ht="28.5" customHeight="1" thickBot="1" x14ac:dyDescent="0.3">
      <c r="B34" s="2999"/>
      <c r="C34" s="3002"/>
      <c r="D34" s="2801" t="s">
        <v>784</v>
      </c>
      <c r="E34" s="3013">
        <v>244577.64820213799</v>
      </c>
      <c r="F34" s="3014"/>
      <c r="G34" s="2800">
        <f>(E34*E$37)/I$33</f>
        <v>2.8092569709437933E-2</v>
      </c>
      <c r="H34" s="3011"/>
      <c r="I34" s="3016"/>
      <c r="J34" s="3027"/>
      <c r="K34" s="3002"/>
      <c r="L34" s="37"/>
      <c r="M34" s="37"/>
    </row>
    <row r="35" spans="2:17" ht="18.75" customHeight="1" thickBot="1" x14ac:dyDescent="0.3">
      <c r="B35" s="2999"/>
      <c r="C35" s="3002"/>
      <c r="D35" s="2802" t="s">
        <v>785</v>
      </c>
      <c r="E35" s="3018">
        <f>ROUND(SUM(E30:E34),0)</f>
        <v>8706133</v>
      </c>
      <c r="F35" s="3019"/>
      <c r="G35" s="2803"/>
      <c r="H35" s="3011"/>
      <c r="I35" s="3016"/>
      <c r="J35" s="3027"/>
      <c r="K35" s="3002"/>
      <c r="L35" s="37"/>
      <c r="M35" s="37"/>
      <c r="Q35" s="37" t="s">
        <v>3</v>
      </c>
    </row>
    <row r="36" spans="2:17" ht="18.75" customHeight="1" thickBot="1" x14ac:dyDescent="0.25">
      <c r="B36" s="2999"/>
      <c r="C36" s="3002"/>
      <c r="D36" s="3020"/>
      <c r="E36" s="3021"/>
      <c r="F36" s="3021"/>
      <c r="G36" s="3022"/>
      <c r="H36" s="3011"/>
      <c r="I36" s="3016"/>
      <c r="J36" s="3027"/>
      <c r="K36" s="3002"/>
      <c r="L36" s="37"/>
      <c r="M36" s="37"/>
    </row>
    <row r="37" spans="2:17" ht="30" customHeight="1" thickBot="1" x14ac:dyDescent="0.3">
      <c r="B37" s="2999"/>
      <c r="C37" s="3002"/>
      <c r="D37" s="2804" t="s">
        <v>786</v>
      </c>
      <c r="E37" s="2805">
        <f>E38/E35</f>
        <v>1.5726164109949325</v>
      </c>
      <c r="F37" s="2806" t="s">
        <v>787</v>
      </c>
      <c r="G37" s="2807"/>
      <c r="H37" s="3011"/>
      <c r="I37" s="3016"/>
      <c r="J37" s="3027"/>
      <c r="K37" s="3002"/>
      <c r="L37" s="37"/>
      <c r="M37" s="37"/>
    </row>
    <row r="38" spans="2:17" ht="21.75" customHeight="1" thickBot="1" x14ac:dyDescent="0.25">
      <c r="B38" s="2999"/>
      <c r="C38" s="3002"/>
      <c r="D38" s="2808" t="s">
        <v>788</v>
      </c>
      <c r="E38" s="2809">
        <v>13691407.632104546</v>
      </c>
      <c r="F38" s="2810"/>
      <c r="G38" s="2808"/>
      <c r="H38" s="3011"/>
      <c r="I38" s="3016"/>
      <c r="J38" s="3027"/>
      <c r="K38" s="3002"/>
      <c r="L38" s="37"/>
      <c r="M38" s="37"/>
    </row>
    <row r="39" spans="2:17" ht="30" customHeight="1" thickBot="1" x14ac:dyDescent="0.25">
      <c r="B39" s="3000"/>
      <c r="C39" s="3003"/>
      <c r="D39" s="3023" t="s">
        <v>789</v>
      </c>
      <c r="E39" s="3024"/>
      <c r="F39" s="3024"/>
      <c r="G39" s="3025"/>
      <c r="H39" s="3012"/>
      <c r="I39" s="3017"/>
      <c r="J39" s="3028"/>
      <c r="K39" s="3003"/>
      <c r="L39" s="37"/>
      <c r="M39" s="37"/>
    </row>
    <row r="40" spans="2:17" ht="42" customHeight="1" thickBot="1" x14ac:dyDescent="0.25">
      <c r="B40" s="2801" t="s">
        <v>790</v>
      </c>
      <c r="D40" s="3023"/>
      <c r="E40" s="3024"/>
      <c r="F40" s="3024"/>
      <c r="G40" s="3025"/>
      <c r="H40" s="2811"/>
      <c r="I40" s="2809">
        <f>I33-C28</f>
        <v>4988185.0174932759</v>
      </c>
      <c r="J40" s="2812">
        <v>0.21440000000000001</v>
      </c>
      <c r="K40" s="2809">
        <f ca="1">$D$10*J40</f>
        <v>150578.34843126728</v>
      </c>
      <c r="L40" s="37"/>
      <c r="M40" s="37"/>
    </row>
    <row r="41" spans="2:17" ht="120" customHeight="1" thickBot="1" x14ac:dyDescent="0.25">
      <c r="B41" s="2813" t="s">
        <v>160</v>
      </c>
      <c r="C41" s="2809">
        <f>'SCG Table A'!M14</f>
        <v>3116266.6701221615</v>
      </c>
      <c r="D41" s="3029" t="s">
        <v>791</v>
      </c>
      <c r="E41" s="3029"/>
      <c r="F41" s="3029"/>
      <c r="G41" s="3029"/>
      <c r="H41" s="2814" t="s">
        <v>792</v>
      </c>
      <c r="I41" s="2815" t="s">
        <v>793</v>
      </c>
      <c r="J41" s="2816">
        <v>4.4999999999999998E-2</v>
      </c>
      <c r="K41" s="2817">
        <f ca="1">$D$10*J41</f>
        <v>31604.597385293971</v>
      </c>
      <c r="L41" s="37"/>
      <c r="M41" s="37"/>
    </row>
    <row r="42" spans="2:17" ht="91.5" customHeight="1" thickBot="1" x14ac:dyDescent="0.25">
      <c r="B42" s="2801" t="s">
        <v>794</v>
      </c>
      <c r="C42" s="2809">
        <f>'SCG Table A'!M16</f>
        <v>4058315.4133377485</v>
      </c>
      <c r="D42" s="3029" t="s">
        <v>791</v>
      </c>
      <c r="E42" s="3029"/>
      <c r="F42" s="3029"/>
      <c r="G42" s="3029"/>
      <c r="H42" s="2814" t="s">
        <v>792</v>
      </c>
      <c r="I42" s="2815" t="s">
        <v>793</v>
      </c>
      <c r="J42" s="2816">
        <v>4.4999999999999998E-2</v>
      </c>
      <c r="K42" s="2817">
        <f ca="1">$D$10*J42</f>
        <v>31604.597385293971</v>
      </c>
    </row>
    <row r="43" spans="2:17" ht="30" customHeight="1" thickBot="1" x14ac:dyDescent="0.25">
      <c r="B43" s="2818"/>
      <c r="C43" s="3030"/>
      <c r="D43" s="3030"/>
      <c r="E43" s="3030"/>
      <c r="F43" s="3030"/>
      <c r="G43" s="3030"/>
      <c r="H43" s="3030"/>
      <c r="I43" s="3030"/>
      <c r="J43" s="3030"/>
      <c r="K43" s="3031"/>
    </row>
    <row r="44" spans="2:17" ht="36.75" customHeight="1" x14ac:dyDescent="0.2">
      <c r="B44" s="2986" t="s">
        <v>795</v>
      </c>
      <c r="C44" s="2987"/>
      <c r="D44" s="2990" t="s">
        <v>776</v>
      </c>
      <c r="E44" s="2986" t="s">
        <v>777</v>
      </c>
      <c r="F44" s="2987"/>
      <c r="G44" s="2992" t="s">
        <v>778</v>
      </c>
      <c r="H44" s="3032"/>
      <c r="I44" s="3032"/>
      <c r="J44" s="3032"/>
      <c r="K44" s="3034"/>
    </row>
    <row r="45" spans="2:17" ht="19.5" customHeight="1" thickBot="1" x14ac:dyDescent="0.25">
      <c r="B45" s="2988"/>
      <c r="C45" s="2989"/>
      <c r="D45" s="2991"/>
      <c r="E45" s="2988"/>
      <c r="F45" s="2989"/>
      <c r="G45" s="2993"/>
      <c r="H45" s="3033"/>
      <c r="I45" s="3033"/>
      <c r="J45" s="3033"/>
      <c r="K45" s="3035"/>
    </row>
    <row r="46" spans="2:17" ht="45.75" customHeight="1" thickBot="1" x14ac:dyDescent="0.3">
      <c r="B46" s="2998" t="s">
        <v>796</v>
      </c>
      <c r="C46" s="3001">
        <f>'SCG Table A'!M24</f>
        <v>3520860.259344765</v>
      </c>
      <c r="D46" s="2801" t="s">
        <v>285</v>
      </c>
      <c r="E46" s="3036">
        <v>2782554.0184020973</v>
      </c>
      <c r="F46" s="3037"/>
      <c r="G46" s="2800">
        <f>(E46*$E$52)/$I$48</f>
        <v>0.43147202346326408</v>
      </c>
      <c r="H46" s="3010" t="s">
        <v>797</v>
      </c>
      <c r="I46" s="3038" t="s">
        <v>798</v>
      </c>
      <c r="J46" s="3026">
        <v>0.18559999999999999</v>
      </c>
      <c r="K46" s="3001">
        <f ca="1">$D$10*J46</f>
        <v>130351.40610467913</v>
      </c>
    </row>
    <row r="47" spans="2:17" ht="28.5" customHeight="1" thickBot="1" x14ac:dyDescent="0.3">
      <c r="B47" s="2999"/>
      <c r="C47" s="3002"/>
      <c r="D47" s="2801" t="s">
        <v>275</v>
      </c>
      <c r="E47" s="3036">
        <v>1957575.7870087035</v>
      </c>
      <c r="F47" s="3037"/>
      <c r="G47" s="2800">
        <f>(E47*$E$52)/$I$48</f>
        <v>0.30354817204532741</v>
      </c>
      <c r="H47" s="3011"/>
      <c r="I47" s="3038"/>
      <c r="J47" s="3027"/>
      <c r="K47" s="3002"/>
    </row>
    <row r="48" spans="2:17" ht="36.75" thickBot="1" x14ac:dyDescent="0.3">
      <c r="B48" s="2999"/>
      <c r="C48" s="3002"/>
      <c r="D48" s="2801" t="s">
        <v>799</v>
      </c>
      <c r="E48" s="3036">
        <v>1222471.2741657177</v>
      </c>
      <c r="F48" s="3037"/>
      <c r="G48" s="2800">
        <f>(E48*$E$52)/$I$48</f>
        <v>0.18956043649168616</v>
      </c>
      <c r="H48" s="3011"/>
      <c r="I48" s="3015">
        <f>E53</f>
        <v>9581979.6336156819</v>
      </c>
      <c r="J48" s="3027"/>
      <c r="K48" s="3002"/>
    </row>
    <row r="49" spans="2:16" ht="30.75" customHeight="1" thickBot="1" x14ac:dyDescent="0.3">
      <c r="B49" s="2999"/>
      <c r="C49" s="3002"/>
      <c r="D49" s="2801" t="s">
        <v>245</v>
      </c>
      <c r="E49" s="3036">
        <v>486377.46721457003</v>
      </c>
      <c r="F49" s="3037"/>
      <c r="G49" s="2800">
        <f>(E49*$E$52)/$I$48</f>
        <v>7.5419297723650525E-2</v>
      </c>
      <c r="H49" s="3011"/>
      <c r="I49" s="3016"/>
      <c r="J49" s="3027"/>
      <c r="K49" s="3002"/>
    </row>
    <row r="50" spans="2:16" ht="27.75" customHeight="1" thickBot="1" x14ac:dyDescent="0.3">
      <c r="B50" s="2999"/>
      <c r="C50" s="3002"/>
      <c r="D50" s="2802" t="s">
        <v>785</v>
      </c>
      <c r="E50" s="3039">
        <f>ROUND(SUM(E46:E49),0)</f>
        <v>6448979</v>
      </c>
      <c r="F50" s="3040"/>
      <c r="G50" s="2807"/>
      <c r="H50" s="3011"/>
      <c r="I50" s="3016"/>
      <c r="J50" s="3027"/>
      <c r="K50" s="3002"/>
    </row>
    <row r="51" spans="2:16" ht="18.75" customHeight="1" thickBot="1" x14ac:dyDescent="0.25">
      <c r="B51" s="2999"/>
      <c r="C51" s="3002"/>
      <c r="D51" s="2819"/>
      <c r="E51" s="2820"/>
      <c r="F51" s="2820"/>
      <c r="G51" s="2821"/>
      <c r="H51" s="3011"/>
      <c r="I51" s="3016"/>
      <c r="J51" s="3027"/>
      <c r="K51" s="3002"/>
    </row>
    <row r="52" spans="2:16" ht="32.25" customHeight="1" thickBot="1" x14ac:dyDescent="0.25">
      <c r="B52" s="2999"/>
      <c r="C52" s="3002"/>
      <c r="D52" s="2801" t="s">
        <v>786</v>
      </c>
      <c r="E52" s="2822">
        <f>E53/E50</f>
        <v>1.4858134339739177</v>
      </c>
      <c r="F52" s="2823" t="s">
        <v>787</v>
      </c>
      <c r="G52" s="3041"/>
      <c r="H52" s="3011"/>
      <c r="I52" s="3016"/>
      <c r="J52" s="3027"/>
      <c r="K52" s="3002"/>
    </row>
    <row r="53" spans="2:16" ht="28.5" customHeight="1" thickBot="1" x14ac:dyDescent="0.25">
      <c r="B53" s="2999"/>
      <c r="C53" s="3002"/>
      <c r="D53" s="2801" t="s">
        <v>788</v>
      </c>
      <c r="E53" s="3043">
        <v>9581979.6336156819</v>
      </c>
      <c r="F53" s="3031"/>
      <c r="G53" s="3042"/>
      <c r="H53" s="3011"/>
      <c r="I53" s="3016"/>
      <c r="J53" s="3027"/>
      <c r="K53" s="3002"/>
      <c r="M53" s="2824"/>
      <c r="P53" s="32"/>
    </row>
    <row r="54" spans="2:16" ht="27.75" customHeight="1" thickBot="1" x14ac:dyDescent="0.25">
      <c r="B54" s="3000"/>
      <c r="C54" s="3003"/>
      <c r="D54" s="3023" t="s">
        <v>789</v>
      </c>
      <c r="E54" s="3024"/>
      <c r="F54" s="3024"/>
      <c r="G54" s="3025"/>
      <c r="H54" s="3012"/>
      <c r="I54" s="3017"/>
      <c r="J54" s="3028"/>
      <c r="K54" s="3003"/>
      <c r="P54" s="32"/>
    </row>
    <row r="55" spans="2:16" ht="67.5" customHeight="1" thickBot="1" x14ac:dyDescent="0.25">
      <c r="B55" s="2801" t="s">
        <v>800</v>
      </c>
      <c r="D55" s="3044"/>
      <c r="E55" s="3045"/>
      <c r="F55" s="3045"/>
      <c r="G55" s="3046"/>
      <c r="H55" s="2811"/>
      <c r="I55" s="2809">
        <f>E53-C46</f>
        <v>6061119.3742709169</v>
      </c>
      <c r="J55" s="2812">
        <v>0.18559999999999999</v>
      </c>
      <c r="K55" s="2814">
        <f ca="1">$D$10*J55</f>
        <v>130351.40610467913</v>
      </c>
      <c r="M55" s="2824"/>
      <c r="P55" s="32"/>
    </row>
    <row r="56" spans="2:16" ht="25.5" customHeight="1" thickBot="1" x14ac:dyDescent="0.25">
      <c r="B56" s="3047" t="s">
        <v>245</v>
      </c>
      <c r="C56" s="3048">
        <f>'SCG Table A'!M23</f>
        <v>299601.97893783054</v>
      </c>
      <c r="D56" s="3038" t="s">
        <v>801</v>
      </c>
      <c r="E56" s="3038"/>
      <c r="F56" s="3038"/>
      <c r="G56" s="3038"/>
      <c r="H56" s="3001" t="s">
        <v>802</v>
      </c>
      <c r="I56" s="3052" t="s">
        <v>803</v>
      </c>
      <c r="J56" s="3026">
        <v>0.05</v>
      </c>
      <c r="K56" s="3001">
        <f ca="1">$D$10*J56</f>
        <v>35116.219316993309</v>
      </c>
      <c r="M56" s="2824"/>
      <c r="P56" s="32"/>
    </row>
    <row r="57" spans="2:16" ht="25.5" customHeight="1" thickBot="1" x14ac:dyDescent="0.25">
      <c r="B57" s="3047"/>
      <c r="C57" s="3048"/>
      <c r="D57" s="3038"/>
      <c r="E57" s="3038"/>
      <c r="F57" s="3038"/>
      <c r="G57" s="3038"/>
      <c r="H57" s="3002"/>
      <c r="I57" s="3053"/>
      <c r="J57" s="3027"/>
      <c r="K57" s="3002"/>
      <c r="M57" s="2824"/>
      <c r="P57" s="32"/>
    </row>
    <row r="58" spans="2:16" ht="25.5" customHeight="1" thickBot="1" x14ac:dyDescent="0.25">
      <c r="B58" s="3047"/>
      <c r="C58" s="3048"/>
      <c r="D58" s="3038"/>
      <c r="E58" s="3038"/>
      <c r="F58" s="3038"/>
      <c r="G58" s="3038"/>
      <c r="H58" s="3002"/>
      <c r="I58" s="3053"/>
      <c r="J58" s="3027"/>
      <c r="K58" s="3002"/>
      <c r="M58" s="2824"/>
      <c r="P58" s="32"/>
    </row>
    <row r="59" spans="2:16" ht="25.5" customHeight="1" thickBot="1" x14ac:dyDescent="0.25">
      <c r="B59" s="3047"/>
      <c r="C59" s="3048"/>
      <c r="D59" s="3038"/>
      <c r="E59" s="3038"/>
      <c r="F59" s="3038"/>
      <c r="G59" s="3038"/>
      <c r="H59" s="3002"/>
      <c r="I59" s="3053"/>
      <c r="J59" s="3027"/>
      <c r="K59" s="3002"/>
      <c r="M59" s="2824"/>
      <c r="P59" s="32"/>
    </row>
    <row r="60" spans="2:16" ht="46.5" customHeight="1" thickBot="1" x14ac:dyDescent="0.25">
      <c r="B60" s="3047"/>
      <c r="C60" s="3048"/>
      <c r="D60" s="3038"/>
      <c r="E60" s="3038"/>
      <c r="F60" s="3038"/>
      <c r="G60" s="3038"/>
      <c r="H60" s="3003"/>
      <c r="I60" s="3054"/>
      <c r="J60" s="3028"/>
      <c r="K60" s="3003"/>
      <c r="M60" s="2824"/>
      <c r="P60" s="32"/>
    </row>
    <row r="61" spans="2:16" ht="189" customHeight="1" thickBot="1" x14ac:dyDescent="0.25">
      <c r="B61" s="2801" t="s">
        <v>804</v>
      </c>
      <c r="C61" s="2809">
        <f>'SCG Table A'!M20+'SCG Table A'!M21</f>
        <v>2733341.3321000189</v>
      </c>
      <c r="D61" s="3038" t="s">
        <v>805</v>
      </c>
      <c r="E61" s="3038"/>
      <c r="F61" s="3038"/>
      <c r="G61" s="3038"/>
      <c r="H61" s="2809" t="s">
        <v>802</v>
      </c>
      <c r="I61" s="2814" t="s">
        <v>803</v>
      </c>
      <c r="J61" s="2812">
        <v>0.05</v>
      </c>
      <c r="K61" s="2809">
        <f ca="1">$D$10*J61</f>
        <v>35116.219316993309</v>
      </c>
      <c r="P61" s="32"/>
    </row>
    <row r="62" spans="2:16" ht="189" customHeight="1" thickBot="1" x14ac:dyDescent="0.25">
      <c r="B62" s="2801" t="s">
        <v>282</v>
      </c>
      <c r="C62" s="2809" t="s">
        <v>3</v>
      </c>
      <c r="D62" s="3038" t="s">
        <v>806</v>
      </c>
      <c r="E62" s="3038"/>
      <c r="F62" s="3038"/>
      <c r="G62" s="3038"/>
      <c r="H62" s="2814" t="s">
        <v>807</v>
      </c>
      <c r="I62" s="2814" t="s">
        <v>808</v>
      </c>
      <c r="J62" s="2812">
        <v>0.01</v>
      </c>
      <c r="K62" s="2809">
        <f ca="1">$D$10*J62</f>
        <v>7023.2438633986612</v>
      </c>
      <c r="P62" s="32"/>
    </row>
    <row r="63" spans="2:16" ht="34.5" customHeight="1" thickBot="1" x14ac:dyDescent="0.3">
      <c r="B63" s="3049" t="s">
        <v>809</v>
      </c>
      <c r="C63" s="3050"/>
      <c r="D63" s="3050"/>
      <c r="E63" s="3050"/>
      <c r="F63" s="3050"/>
      <c r="G63" s="3050"/>
      <c r="H63" s="3051"/>
      <c r="I63" s="2825"/>
      <c r="J63" s="2826">
        <f>SUM(J28:J62)</f>
        <v>1</v>
      </c>
      <c r="K63" s="2827">
        <f ca="1">SUM(K28:K62)</f>
        <v>702324.38633986597</v>
      </c>
    </row>
    <row r="64" spans="2:16" ht="38.25" customHeight="1" x14ac:dyDescent="0.2">
      <c r="B64" s="968"/>
      <c r="C64" s="968"/>
      <c r="D64" s="968"/>
      <c r="E64" s="968"/>
      <c r="F64" s="968"/>
      <c r="G64" s="968"/>
      <c r="H64" s="968"/>
      <c r="I64" s="968"/>
      <c r="J64" s="2794"/>
      <c r="K64" s="2795"/>
    </row>
    <row r="65" spans="2:11" ht="21.75" customHeight="1" x14ac:dyDescent="0.2">
      <c r="B65" s="968"/>
      <c r="C65" s="968"/>
      <c r="D65" s="968"/>
      <c r="E65" s="968"/>
      <c r="F65" s="968"/>
      <c r="G65" s="968"/>
      <c r="H65" s="968"/>
      <c r="I65" s="968"/>
      <c r="J65" s="2794"/>
      <c r="K65" s="2795"/>
    </row>
    <row r="66" spans="2:11" ht="30" customHeight="1" x14ac:dyDescent="0.2">
      <c r="B66" s="968"/>
      <c r="C66" s="968"/>
      <c r="D66" s="968"/>
      <c r="E66" s="968"/>
      <c r="F66" s="968"/>
      <c r="G66" s="968"/>
      <c r="H66" s="968"/>
      <c r="I66" s="968"/>
      <c r="J66" s="2794"/>
      <c r="K66" s="2795"/>
    </row>
    <row r="67" spans="2:11" ht="18.75" customHeight="1" x14ac:dyDescent="0.2">
      <c r="B67" s="968"/>
      <c r="C67" s="968"/>
      <c r="D67" s="968"/>
      <c r="E67" s="968"/>
      <c r="F67" s="968"/>
      <c r="G67" s="968"/>
      <c r="H67" s="968"/>
      <c r="I67" s="968"/>
      <c r="J67" s="2794"/>
      <c r="K67" s="2795"/>
    </row>
    <row r="68" spans="2:11" ht="18.75" customHeight="1" x14ac:dyDescent="0.2">
      <c r="B68" s="968"/>
      <c r="C68" s="968"/>
      <c r="D68" s="968"/>
      <c r="E68" s="968"/>
      <c r="F68" s="968"/>
      <c r="G68" s="968"/>
      <c r="H68" s="968"/>
      <c r="I68" s="968"/>
      <c r="J68" s="2794"/>
      <c r="K68" s="2795"/>
    </row>
    <row r="69" spans="2:11" ht="18.75" customHeight="1" x14ac:dyDescent="0.2">
      <c r="B69" s="968"/>
      <c r="C69" s="968"/>
      <c r="D69" s="968"/>
      <c r="E69" s="968"/>
      <c r="F69" s="968"/>
      <c r="G69" s="968"/>
      <c r="H69" s="968"/>
      <c r="I69" s="968"/>
      <c r="J69" s="2794"/>
      <c r="K69" s="2795"/>
    </row>
    <row r="70" spans="2:11" ht="30.75" customHeight="1" x14ac:dyDescent="0.2">
      <c r="B70" s="968"/>
      <c r="C70" s="968"/>
      <c r="D70" s="968"/>
      <c r="E70" s="968"/>
      <c r="F70" s="968"/>
      <c r="G70" s="968"/>
      <c r="H70" s="968"/>
      <c r="I70" s="968"/>
      <c r="J70" s="2794"/>
      <c r="K70" s="2795"/>
    </row>
    <row r="71" spans="2:11" ht="18.75" customHeight="1" x14ac:dyDescent="0.2">
      <c r="B71" s="968"/>
      <c r="C71" s="968"/>
      <c r="D71" s="968"/>
      <c r="E71" s="968"/>
      <c r="F71" s="968"/>
      <c r="G71" s="968"/>
      <c r="H71" s="968"/>
      <c r="I71" s="968"/>
      <c r="J71" s="2794"/>
      <c r="K71" s="2795"/>
    </row>
    <row r="72" spans="2:11" ht="18.75" customHeight="1" x14ac:dyDescent="0.2">
      <c r="B72" s="968"/>
      <c r="C72" s="968"/>
      <c r="D72" s="968"/>
      <c r="E72" s="968"/>
      <c r="F72" s="968"/>
      <c r="G72" s="968"/>
      <c r="H72" s="968"/>
      <c r="I72" s="968"/>
      <c r="J72" s="2794"/>
      <c r="K72" s="2795"/>
    </row>
    <row r="73" spans="2:11" ht="18.75" customHeight="1" x14ac:dyDescent="0.2">
      <c r="B73" s="968"/>
      <c r="C73" s="968"/>
      <c r="D73" s="968"/>
      <c r="E73" s="968"/>
      <c r="F73" s="968"/>
      <c r="G73" s="968"/>
      <c r="H73" s="968"/>
      <c r="I73" s="968"/>
      <c r="J73" s="2794"/>
      <c r="K73" s="2795"/>
    </row>
    <row r="74" spans="2:11" ht="23.25" customHeight="1" x14ac:dyDescent="0.2">
      <c r="B74" s="968"/>
      <c r="C74" s="968"/>
      <c r="D74" s="968"/>
      <c r="E74" s="968"/>
      <c r="F74" s="968"/>
      <c r="G74" s="968"/>
      <c r="H74" s="968"/>
      <c r="I74" s="968"/>
      <c r="J74" s="2794"/>
      <c r="K74" s="2795"/>
    </row>
    <row r="75" spans="2:11" ht="19.5" customHeight="1" x14ac:dyDescent="0.2">
      <c r="B75" s="968"/>
      <c r="C75" s="968"/>
      <c r="D75" s="968"/>
      <c r="E75" s="968"/>
      <c r="F75" s="968"/>
      <c r="G75" s="968"/>
      <c r="H75" s="968"/>
      <c r="I75" s="968"/>
      <c r="J75" s="2794"/>
      <c r="K75" s="2795"/>
    </row>
    <row r="76" spans="2:11" ht="14.25" x14ac:dyDescent="0.2">
      <c r="B76" s="968"/>
      <c r="C76" s="968"/>
      <c r="D76" s="968"/>
      <c r="E76" s="968"/>
      <c r="F76" s="968"/>
      <c r="G76" s="968"/>
      <c r="H76" s="968"/>
      <c r="I76" s="968"/>
      <c r="J76" s="2794"/>
      <c r="K76" s="2795"/>
    </row>
    <row r="77" spans="2:11" ht="14.25" x14ac:dyDescent="0.2">
      <c r="B77" s="968"/>
      <c r="C77" s="968"/>
      <c r="D77" s="968"/>
      <c r="E77" s="968"/>
      <c r="F77" s="968"/>
      <c r="G77" s="968"/>
      <c r="H77" s="968"/>
      <c r="I77" s="968"/>
      <c r="J77" s="2794"/>
      <c r="K77" s="2795"/>
    </row>
    <row r="78" spans="2:11" ht="14.25" x14ac:dyDescent="0.2">
      <c r="B78" s="968"/>
      <c r="C78" s="968"/>
      <c r="D78" s="968"/>
      <c r="E78" s="968"/>
      <c r="F78" s="968"/>
      <c r="G78" s="968"/>
      <c r="H78" s="968"/>
      <c r="I78" s="968"/>
      <c r="J78" s="2794"/>
      <c r="K78" s="2795"/>
    </row>
    <row r="79" spans="2:11" ht="14.25" x14ac:dyDescent="0.2">
      <c r="B79" s="968"/>
      <c r="C79" s="968"/>
      <c r="D79" s="968"/>
      <c r="E79" s="968"/>
      <c r="F79" s="968"/>
      <c r="G79" s="968"/>
      <c r="H79" s="968"/>
      <c r="I79" s="968"/>
      <c r="J79" s="2794"/>
      <c r="K79" s="2795"/>
    </row>
    <row r="80" spans="2:11" ht="14.25" x14ac:dyDescent="0.2">
      <c r="B80" s="968"/>
      <c r="C80" s="968"/>
      <c r="D80" s="968"/>
      <c r="E80" s="968"/>
      <c r="F80" s="968"/>
      <c r="G80" s="968"/>
      <c r="H80" s="968"/>
      <c r="I80" s="968"/>
      <c r="J80" s="2794"/>
      <c r="K80" s="2795"/>
    </row>
    <row r="81" spans="2:11" ht="14.25" x14ac:dyDescent="0.2">
      <c r="B81" s="968"/>
      <c r="C81" s="968"/>
      <c r="D81" s="968"/>
      <c r="E81" s="968"/>
      <c r="F81" s="968"/>
      <c r="G81" s="968"/>
      <c r="H81" s="968"/>
      <c r="I81" s="968"/>
      <c r="J81" s="2794"/>
      <c r="K81" s="2795"/>
    </row>
    <row r="82" spans="2:11" ht="14.25" x14ac:dyDescent="0.2">
      <c r="B82" s="968"/>
      <c r="C82" s="968"/>
      <c r="D82" s="968"/>
      <c r="E82" s="968"/>
      <c r="F82" s="968"/>
      <c r="G82" s="968"/>
      <c r="H82" s="968"/>
      <c r="I82" s="968"/>
      <c r="J82" s="2794"/>
      <c r="K82" s="2795"/>
    </row>
    <row r="83" spans="2:11" ht="14.25" x14ac:dyDescent="0.2">
      <c r="B83" s="968"/>
      <c r="C83" s="968"/>
      <c r="D83" s="968"/>
      <c r="E83" s="968"/>
      <c r="F83" s="968"/>
      <c r="G83" s="968"/>
      <c r="H83" s="968"/>
      <c r="I83" s="968"/>
      <c r="J83" s="2794"/>
      <c r="K83" s="2795"/>
    </row>
    <row r="84" spans="2:11" ht="14.25" x14ac:dyDescent="0.2">
      <c r="B84" s="968"/>
      <c r="C84" s="968"/>
      <c r="D84" s="968"/>
      <c r="E84" s="968"/>
      <c r="F84" s="968"/>
      <c r="G84" s="968"/>
      <c r="H84" s="968"/>
      <c r="I84" s="968"/>
      <c r="J84" s="2794"/>
      <c r="K84" s="2795"/>
    </row>
    <row r="85" spans="2:11" ht="14.25" x14ac:dyDescent="0.2">
      <c r="B85" s="968"/>
      <c r="C85" s="968"/>
      <c r="D85" s="968"/>
      <c r="E85" s="968"/>
      <c r="F85" s="968"/>
      <c r="G85" s="968"/>
      <c r="H85" s="968"/>
      <c r="I85" s="968"/>
      <c r="J85" s="2794"/>
      <c r="K85" s="2795"/>
    </row>
    <row r="86" spans="2:11" ht="14.25" x14ac:dyDescent="0.2">
      <c r="B86" s="968"/>
      <c r="C86" s="968"/>
      <c r="D86" s="968"/>
      <c r="E86" s="968"/>
      <c r="F86" s="968"/>
      <c r="G86" s="968"/>
      <c r="H86" s="968"/>
      <c r="I86" s="968"/>
      <c r="J86" s="2794"/>
      <c r="K86" s="2795"/>
    </row>
    <row r="87" spans="2:11" ht="14.25" x14ac:dyDescent="0.2">
      <c r="B87" s="968"/>
      <c r="C87" s="968"/>
      <c r="D87" s="968"/>
      <c r="E87" s="968"/>
      <c r="F87" s="968"/>
      <c r="G87" s="968"/>
      <c r="H87" s="968"/>
      <c r="I87" s="968"/>
      <c r="J87" s="2794"/>
      <c r="K87" s="2795"/>
    </row>
  </sheetData>
  <mergeCells count="71">
    <mergeCell ref="J56:J60"/>
    <mergeCell ref="K56:K60"/>
    <mergeCell ref="D61:G61"/>
    <mergeCell ref="D62:G62"/>
    <mergeCell ref="B63:H63"/>
    <mergeCell ref="I56:I60"/>
    <mergeCell ref="D55:G55"/>
    <mergeCell ref="B56:B60"/>
    <mergeCell ref="C56:C60"/>
    <mergeCell ref="D56:G60"/>
    <mergeCell ref="H56:H60"/>
    <mergeCell ref="J46:J54"/>
    <mergeCell ref="K46:K54"/>
    <mergeCell ref="E47:F47"/>
    <mergeCell ref="E48:F48"/>
    <mergeCell ref="I48:I54"/>
    <mergeCell ref="E49:F49"/>
    <mergeCell ref="E50:F50"/>
    <mergeCell ref="G52:G53"/>
    <mergeCell ref="E53:F53"/>
    <mergeCell ref="D54:G54"/>
    <mergeCell ref="B46:B54"/>
    <mergeCell ref="C46:C54"/>
    <mergeCell ref="E46:F46"/>
    <mergeCell ref="H46:H54"/>
    <mergeCell ref="I46:I47"/>
    <mergeCell ref="D40:G40"/>
    <mergeCell ref="D41:G41"/>
    <mergeCell ref="D42:G42"/>
    <mergeCell ref="C43:K43"/>
    <mergeCell ref="B44:C45"/>
    <mergeCell ref="D44:D45"/>
    <mergeCell ref="E44:F45"/>
    <mergeCell ref="G44:G45"/>
    <mergeCell ref="H44:H45"/>
    <mergeCell ref="I44:I45"/>
    <mergeCell ref="J44:J45"/>
    <mergeCell ref="K44:K45"/>
    <mergeCell ref="K28:K39"/>
    <mergeCell ref="E30:F30"/>
    <mergeCell ref="E31:F31"/>
    <mergeCell ref="E32:F32"/>
    <mergeCell ref="E33:F33"/>
    <mergeCell ref="I33:I39"/>
    <mergeCell ref="E34:F34"/>
    <mergeCell ref="E35:F35"/>
    <mergeCell ref="D36:G36"/>
    <mergeCell ref="D39:G39"/>
    <mergeCell ref="J28:J39"/>
    <mergeCell ref="B28:B39"/>
    <mergeCell ref="C28:C39"/>
    <mergeCell ref="D28:G29"/>
    <mergeCell ref="H28:H39"/>
    <mergeCell ref="I28:I32"/>
    <mergeCell ref="B25:K25"/>
    <mergeCell ref="B26:C27"/>
    <mergeCell ref="D26:D27"/>
    <mergeCell ref="E26:F27"/>
    <mergeCell ref="G26:G27"/>
    <mergeCell ref="H26:H27"/>
    <mergeCell ref="I26:I27"/>
    <mergeCell ref="J26:J27"/>
    <mergeCell ref="K26:K27"/>
    <mergeCell ref="B2:E2"/>
    <mergeCell ref="B4:K4"/>
    <mergeCell ref="B5:D5"/>
    <mergeCell ref="B17:D18"/>
    <mergeCell ref="B23:C23"/>
    <mergeCell ref="D23:G24"/>
    <mergeCell ref="H23:K23"/>
    <mergeCell ref="B24:C24"/>
  </mergeCells>
  <printOptions horizontalCentered="1"/>
  <pageMargins left="0" right="0" top="1" bottom="0.5" header="0.5" footer="0.5"/>
  <pageSetup scale="60" fitToHeight="5" orientation="landscape" r:id="rId1"/>
  <headerFooter alignWithMargins="0">
    <oddHeader xml:space="preserve">&amp;C&amp;"Arial,Bold"&amp;14
</oddHeader>
    <oddFooter>&amp;C&amp;"Arial"&amp;11&amp;K000000Totals may vary due to rounding
_x000D_&amp;1#&amp;"Calibri"&amp;12&amp;K008000Internal Use</oddFooter>
  </headerFooter>
  <rowBreaks count="2" manualBreakCount="2">
    <brk id="22" min="1" max="12" man="1"/>
    <brk id="43" max="16383" man="1"/>
  </row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5">
    <tabColor theme="8"/>
    <pageSetUpPr fitToPage="1"/>
  </sheetPr>
  <dimension ref="A1:H93"/>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392</v>
      </c>
      <c r="B1" s="1096"/>
    </row>
    <row r="2" spans="1:8" ht="18.75" x14ac:dyDescent="0.3">
      <c r="A2" s="1096" t="s">
        <v>558</v>
      </c>
      <c r="B2" s="1096"/>
    </row>
    <row r="3" spans="1:8" ht="12.75" customHeight="1" x14ac:dyDescent="0.2">
      <c r="A3" s="1095"/>
      <c r="B3" s="1095"/>
    </row>
    <row r="4" spans="1:8" ht="12.75" customHeight="1" x14ac:dyDescent="0.2">
      <c r="A4" s="1095"/>
      <c r="B4" s="1095"/>
    </row>
    <row r="5" spans="1:8" s="1089" customFormat="1" ht="12.75" customHeight="1" x14ac:dyDescent="0.25">
      <c r="A5" s="2960" t="s">
        <v>559</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689</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2304">
        <v>77.5</v>
      </c>
      <c r="B13" s="2305">
        <v>0.02</v>
      </c>
      <c r="C13" s="1085" t="e">
        <f t="shared" ref="C13:C19" si="0">$B$23*B13</f>
        <v>#REF!</v>
      </c>
      <c r="D13" s="1077"/>
    </row>
    <row r="14" spans="1:8" ht="15.75" x14ac:dyDescent="0.25">
      <c r="A14" s="2304">
        <v>80</v>
      </c>
      <c r="B14" s="2317">
        <v>2.2499999999999999E-2</v>
      </c>
      <c r="C14" s="1085" t="e">
        <f t="shared" si="0"/>
        <v>#REF!</v>
      </c>
      <c r="D14" s="1077"/>
    </row>
    <row r="15" spans="1:8" ht="15.75" x14ac:dyDescent="0.25">
      <c r="A15" s="2304">
        <v>90</v>
      </c>
      <c r="B15" s="2317">
        <v>3.2500000000000001E-2</v>
      </c>
      <c r="C15" s="1085" t="e">
        <f>$B$23*B15</f>
        <v>#REF!</v>
      </c>
      <c r="D15" s="1077"/>
    </row>
    <row r="16" spans="1:8" ht="15.75" x14ac:dyDescent="0.2">
      <c r="A16" s="2306">
        <v>100</v>
      </c>
      <c r="B16" s="2318">
        <v>4.2500000000000003E-2</v>
      </c>
      <c r="C16" s="2303" t="e">
        <f>$B$23*B16+1</f>
        <v>#REF!</v>
      </c>
      <c r="D16" s="1077"/>
    </row>
    <row r="17" spans="1:8" ht="15.75" x14ac:dyDescent="0.25">
      <c r="A17" s="2304">
        <v>110</v>
      </c>
      <c r="B17" s="2317">
        <v>5.2499999999999998E-2</v>
      </c>
      <c r="C17" s="1085" t="e">
        <f t="shared" si="0"/>
        <v>#REF!</v>
      </c>
      <c r="D17" s="1077"/>
    </row>
    <row r="18" spans="1:8" ht="15.75" x14ac:dyDescent="0.25">
      <c r="A18" s="2304">
        <v>120</v>
      </c>
      <c r="B18" s="2317">
        <v>6.25E-2</v>
      </c>
      <c r="C18" s="1085" t="e">
        <f t="shared" si="0"/>
        <v>#REF!</v>
      </c>
      <c r="D18" s="1077"/>
    </row>
    <row r="19" spans="1:8" ht="15.75" x14ac:dyDescent="0.25">
      <c r="A19" s="2304">
        <v>130</v>
      </c>
      <c r="B19" s="2317">
        <v>7.2499999999999995E-2</v>
      </c>
      <c r="C19" s="1085" t="e">
        <f t="shared" si="0"/>
        <v>#REF!</v>
      </c>
      <c r="D19" s="1077"/>
    </row>
    <row r="20" spans="1:8" ht="15.75" x14ac:dyDescent="0.25">
      <c r="A20" s="2304">
        <v>137.5</v>
      </c>
      <c r="B20" s="2305">
        <v>0.08</v>
      </c>
      <c r="C20" s="1085" t="e">
        <f>$B$23*B20</f>
        <v>#REF!</v>
      </c>
      <c r="D20" s="1077"/>
    </row>
    <row r="21" spans="1:8" ht="15.75" customHeight="1" x14ac:dyDescent="0.25">
      <c r="A21" s="2304"/>
      <c r="B21" s="2305"/>
      <c r="C21" s="1085"/>
      <c r="D21" s="1077"/>
    </row>
    <row r="22" spans="1:8" ht="19.5" customHeight="1" x14ac:dyDescent="0.2">
      <c r="A22" s="1084"/>
      <c r="B22" s="1083"/>
      <c r="C22" s="1080"/>
      <c r="D22" s="1077"/>
    </row>
    <row r="23" spans="1:8" ht="19.5" customHeight="1" x14ac:dyDescent="0.25">
      <c r="A23" s="1082" t="s">
        <v>372</v>
      </c>
      <c r="B23" s="1081" t="e">
        <f>'SCG Table A'!#REF!-'SCG Table A'!#REF!-'SCG Table A'!#REF!-'SCG Table A'!#REF!-'SCG Table A'!#REF!</f>
        <v>#REF!</v>
      </c>
      <c r="C23" s="1080"/>
      <c r="D23" s="1077"/>
    </row>
    <row r="24" spans="1:8" ht="19.5" customHeight="1" x14ac:dyDescent="0.25">
      <c r="A24" s="1082"/>
      <c r="B24" s="1081"/>
      <c r="C24" s="1080"/>
      <c r="D24" s="1077"/>
    </row>
    <row r="25" spans="1:8" ht="19.5" customHeight="1" thickBot="1" x14ac:dyDescent="0.25">
      <c r="A25" s="1079" t="s">
        <v>371</v>
      </c>
      <c r="C25" s="1078"/>
      <c r="D25" s="1077"/>
    </row>
    <row r="26" spans="1:8" ht="19.5" customHeight="1" thickBot="1" x14ac:dyDescent="0.25">
      <c r="A26" s="2968" t="s">
        <v>502</v>
      </c>
      <c r="B26" s="2969"/>
      <c r="C26" s="2962" t="s">
        <v>370</v>
      </c>
      <c r="D26" s="2963"/>
      <c r="E26" s="2966" t="s">
        <v>369</v>
      </c>
      <c r="F26" s="2966"/>
      <c r="G26" s="2966"/>
      <c r="H26" s="2967"/>
    </row>
    <row r="27" spans="1:8" ht="31.5" customHeight="1" thickBot="1" x14ac:dyDescent="0.25">
      <c r="A27" s="2970" t="s">
        <v>79</v>
      </c>
      <c r="B27" s="2971"/>
      <c r="C27" s="2964"/>
      <c r="D27" s="2965"/>
      <c r="E27" s="2083" t="s">
        <v>368</v>
      </c>
      <c r="F27" s="2083" t="s">
        <v>367</v>
      </c>
      <c r="G27" s="2083" t="s">
        <v>366</v>
      </c>
      <c r="H27" s="2083" t="s">
        <v>365</v>
      </c>
    </row>
    <row r="28" spans="1:8" ht="30" customHeight="1" thickBot="1" x14ac:dyDescent="0.25">
      <c r="A28" s="1050" t="s">
        <v>500</v>
      </c>
      <c r="B28" s="1075" t="e">
        <f>'SCG Table A'!#REF!</f>
        <v>#REF!</v>
      </c>
      <c r="C28" s="1098" t="s">
        <v>383</v>
      </c>
      <c r="D28" s="1066"/>
      <c r="E28" s="2957" t="s">
        <v>535</v>
      </c>
      <c r="F28" s="1068" t="s">
        <v>536</v>
      </c>
      <c r="G28" s="2958">
        <v>0.19500000000000001</v>
      </c>
      <c r="H28" s="2959" t="e">
        <f>+$C$16*G28</f>
        <v>#REF!</v>
      </c>
    </row>
    <row r="29" spans="1:8" ht="29.25" customHeight="1" x14ac:dyDescent="0.2">
      <c r="A29" s="1058"/>
      <c r="B29" s="1072"/>
      <c r="C29" s="1099" t="s">
        <v>283</v>
      </c>
      <c r="D29" s="1066">
        <f>'2016 Summary Table B'!N8</f>
        <v>4597301.9157452565</v>
      </c>
      <c r="E29" s="2957"/>
      <c r="F29" s="1072">
        <f>D43</f>
        <v>8929967.9169076327</v>
      </c>
      <c r="G29" s="2958"/>
      <c r="H29" s="2959"/>
    </row>
    <row r="30" spans="1:8" ht="30" hidden="1" customHeight="1" x14ac:dyDescent="0.2">
      <c r="A30" s="1058"/>
      <c r="B30" s="1059"/>
      <c r="C30" s="1099" t="s">
        <v>149</v>
      </c>
      <c r="D30" s="1071"/>
      <c r="E30" s="2957"/>
      <c r="F30" s="1073">
        <v>8826015.5371230152</v>
      </c>
      <c r="G30" s="2958"/>
      <c r="H30" s="2959"/>
    </row>
    <row r="31" spans="1:8" ht="30" hidden="1" customHeight="1" x14ac:dyDescent="0.2">
      <c r="A31" s="1058"/>
      <c r="B31" s="1059"/>
      <c r="C31" s="1099" t="s">
        <v>227</v>
      </c>
      <c r="D31" s="1071"/>
      <c r="E31" s="2957"/>
      <c r="F31" s="1059"/>
      <c r="G31" s="2958"/>
      <c r="H31" s="2959"/>
    </row>
    <row r="32" spans="1:8" ht="30" hidden="1" customHeight="1" x14ac:dyDescent="0.2">
      <c r="A32" s="1058"/>
      <c r="B32" s="1059"/>
      <c r="C32" s="1099" t="s">
        <v>110</v>
      </c>
      <c r="D32" s="1071"/>
      <c r="E32" s="2957"/>
      <c r="F32" s="1059"/>
      <c r="G32" s="2958"/>
      <c r="H32" s="2959"/>
    </row>
    <row r="33" spans="1:8" ht="30" hidden="1" customHeight="1" x14ac:dyDescent="0.2">
      <c r="A33" s="1058"/>
      <c r="B33" s="1059"/>
      <c r="C33" s="1099"/>
      <c r="D33" s="1071"/>
      <c r="E33" s="2957"/>
      <c r="F33" s="1059"/>
      <c r="G33" s="2958"/>
      <c r="H33" s="2959"/>
    </row>
    <row r="34" spans="1:8" ht="30" customHeight="1" x14ac:dyDescent="0.2">
      <c r="A34" s="1058"/>
      <c r="B34" s="1059"/>
      <c r="C34" s="1099" t="s">
        <v>160</v>
      </c>
      <c r="D34" s="1071">
        <f>'2016 Summary Table B'!N12</f>
        <v>3535361.9754344216</v>
      </c>
      <c r="E34" s="2957"/>
      <c r="G34" s="2958"/>
      <c r="H34" s="2959"/>
    </row>
    <row r="35" spans="1:8" ht="30" customHeight="1" x14ac:dyDescent="0.2">
      <c r="A35" s="1058"/>
      <c r="B35" s="1059"/>
      <c r="C35" s="1099" t="s">
        <v>604</v>
      </c>
      <c r="D35" s="1071">
        <f>'2016 Summary Table B'!N16</f>
        <v>3512374.5989224403</v>
      </c>
      <c r="E35" s="2957"/>
      <c r="G35" s="2958"/>
      <c r="H35" s="2959"/>
    </row>
    <row r="36" spans="1:8" ht="30" customHeight="1" x14ac:dyDescent="0.2">
      <c r="A36" s="1058"/>
      <c r="B36" s="1059"/>
      <c r="C36" s="1099" t="s">
        <v>531</v>
      </c>
      <c r="D36" s="1071">
        <f>'2016 Summary Table B'!N19</f>
        <v>157250</v>
      </c>
      <c r="E36" s="2957"/>
      <c r="G36" s="2958"/>
      <c r="H36" s="2959"/>
    </row>
    <row r="37" spans="1:8" ht="30" customHeight="1" x14ac:dyDescent="0.2">
      <c r="A37" s="1058"/>
      <c r="B37" s="1059"/>
      <c r="C37" s="1099" t="s">
        <v>384</v>
      </c>
      <c r="D37" s="1071">
        <f>'2016 Summary Table B'!N22</f>
        <v>1823190.5705633524</v>
      </c>
      <c r="E37" s="2957"/>
      <c r="F37" s="1059"/>
      <c r="G37" s="2958"/>
      <c r="H37" s="2959"/>
    </row>
    <row r="38" spans="1:8" ht="30" hidden="1" customHeight="1" x14ac:dyDescent="0.2">
      <c r="A38" s="1058"/>
      <c r="B38" s="1059"/>
      <c r="C38" s="1099" t="s">
        <v>198</v>
      </c>
      <c r="D38" s="1071">
        <f>'2016 Summary Table B'!N26</f>
        <v>0</v>
      </c>
      <c r="E38" s="2957"/>
      <c r="F38" s="1059"/>
      <c r="G38" s="2958"/>
      <c r="H38" s="2959"/>
    </row>
    <row r="39" spans="1:8" ht="30" customHeight="1" x14ac:dyDescent="0.25">
      <c r="A39" s="1058"/>
      <c r="B39" s="1069"/>
      <c r="C39" s="1098" t="s">
        <v>386</v>
      </c>
      <c r="D39" s="1066">
        <f>SUM(D29:D38)</f>
        <v>13625479.06066547</v>
      </c>
      <c r="E39" s="2957"/>
      <c r="F39" s="1044"/>
      <c r="G39" s="2958"/>
      <c r="H39" s="2959"/>
    </row>
    <row r="40" spans="1:8" ht="12.75" customHeight="1" x14ac:dyDescent="0.25">
      <c r="A40" s="1058"/>
      <c r="B40" s="1069"/>
      <c r="C40" s="1097"/>
      <c r="D40" s="1066"/>
      <c r="E40" s="1068"/>
      <c r="F40" s="1044"/>
      <c r="G40" s="1067"/>
      <c r="H40" s="1057"/>
    </row>
    <row r="41" spans="1:8" ht="30" customHeight="1" x14ac:dyDescent="0.25">
      <c r="A41" s="1062"/>
      <c r="B41" s="1059"/>
      <c r="C41" s="1098" t="s">
        <v>387</v>
      </c>
      <c r="D41" s="1065">
        <f>'2016 Summary Table B'!F64/'2016 Summary Table B'!N64</f>
        <v>0.65538744561921425</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533</v>
      </c>
      <c r="D43" s="1060">
        <f>D39*D41</f>
        <v>8929967.9169076327</v>
      </c>
      <c r="E43" s="1059"/>
      <c r="F43" s="1044"/>
      <c r="G43" s="1058"/>
      <c r="H43" s="1057"/>
    </row>
    <row r="44" spans="1:8" ht="31.5" customHeight="1" thickBot="1" x14ac:dyDescent="0.3">
      <c r="A44" s="1051"/>
      <c r="B44" s="1056"/>
      <c r="C44" s="2169" t="s">
        <v>534</v>
      </c>
      <c r="D44" s="2098" t="e">
        <f>D43-B28</f>
        <v>#REF!</v>
      </c>
      <c r="E44" s="1055"/>
      <c r="F44" s="1054" t="e">
        <f>D44</f>
        <v>#REF!</v>
      </c>
      <c r="G44" s="1053">
        <v>0.19500000000000001</v>
      </c>
      <c r="H44" s="1052" t="e">
        <f>+$C$16*G44</f>
        <v>#REF!</v>
      </c>
    </row>
    <row r="45" spans="1:8" ht="44.25" customHeight="1" thickBot="1" x14ac:dyDescent="0.25">
      <c r="A45" s="2096" t="s">
        <v>504</v>
      </c>
      <c r="B45" s="2171" t="e">
        <f>'2016 Summary Table B'!C12</f>
        <v>#REF!</v>
      </c>
      <c r="C45" s="2973" t="s">
        <v>633</v>
      </c>
      <c r="D45" s="2974"/>
      <c r="E45" s="2167" t="s">
        <v>517</v>
      </c>
      <c r="F45" s="2308" t="s">
        <v>634</v>
      </c>
      <c r="G45" s="2094">
        <v>0.06</v>
      </c>
      <c r="H45" s="2095" t="e">
        <f>+$C$16*G45</f>
        <v>#REF!</v>
      </c>
    </row>
    <row r="46" spans="1:8" ht="47.25" customHeight="1" thickBot="1" x14ac:dyDescent="0.25">
      <c r="A46" s="1050" t="s">
        <v>505</v>
      </c>
      <c r="B46" s="2172" t="e">
        <f>'2016 Summary Table B'!C8</f>
        <v>#REF!</v>
      </c>
      <c r="C46" s="2973" t="s">
        <v>518</v>
      </c>
      <c r="D46" s="2974"/>
      <c r="E46" s="2168" t="s">
        <v>518</v>
      </c>
      <c r="F46" s="2170">
        <f>'2016 Summary Table B'!M8</f>
        <v>215941.59695829652</v>
      </c>
      <c r="G46" s="2102">
        <v>0.03</v>
      </c>
      <c r="H46" s="2103" t="e">
        <f>+$C$16*G46</f>
        <v>#REF!</v>
      </c>
    </row>
    <row r="47" spans="1:8" ht="30.75" thickBot="1" x14ac:dyDescent="0.25">
      <c r="A47" s="2100" t="s">
        <v>501</v>
      </c>
      <c r="B47" s="2101" t="e">
        <f>'SCG Table A'!#REF!</f>
        <v>#REF!</v>
      </c>
      <c r="C47" s="1098" t="s">
        <v>383</v>
      </c>
      <c r="D47" s="1066"/>
      <c r="E47" s="2972" t="s">
        <v>539</v>
      </c>
      <c r="F47" s="1068" t="s">
        <v>540</v>
      </c>
      <c r="G47" s="2958">
        <v>0.21</v>
      </c>
      <c r="H47" s="2959" t="e">
        <f>+$C$16*G47</f>
        <v>#REF!</v>
      </c>
    </row>
    <row r="48" spans="1:8" ht="29.25" customHeight="1" x14ac:dyDescent="0.2">
      <c r="A48" s="1058"/>
      <c r="B48" s="1059"/>
      <c r="C48" s="1099" t="s">
        <v>199</v>
      </c>
      <c r="D48" s="1071">
        <f>'2016 Summary Table B'!N33</f>
        <v>2916343.7567835124</v>
      </c>
      <c r="E48" s="2972"/>
      <c r="F48" s="2093">
        <f>D56</f>
        <v>5150896.376796037</v>
      </c>
      <c r="G48" s="2958"/>
      <c r="H48" s="2959"/>
    </row>
    <row r="49" spans="1:8" ht="29.25" customHeight="1" x14ac:dyDescent="0.2">
      <c r="A49" s="1058"/>
      <c r="B49" s="1059"/>
      <c r="C49" s="1099" t="s">
        <v>200</v>
      </c>
      <c r="D49" s="1071">
        <f>'2016 Summary Table B'!N38</f>
        <v>2341601.7354049161</v>
      </c>
      <c r="E49" s="2972"/>
      <c r="F49" s="1070"/>
      <c r="G49" s="2958"/>
      <c r="H49" s="2959"/>
    </row>
    <row r="50" spans="1:8" ht="29.25" customHeight="1" x14ac:dyDescent="0.2">
      <c r="A50" s="1058"/>
      <c r="B50" s="1059"/>
      <c r="C50" s="1099" t="s">
        <v>506</v>
      </c>
      <c r="D50" s="1071">
        <f>'2016 Summary Table B'!N42</f>
        <v>798019.27702171914</v>
      </c>
      <c r="E50" s="2972"/>
      <c r="F50" s="1070"/>
      <c r="G50" s="2958"/>
      <c r="H50" s="2959"/>
    </row>
    <row r="51" spans="1:8" ht="29.25" customHeight="1" x14ac:dyDescent="0.2">
      <c r="A51" s="1058"/>
      <c r="B51" s="1059"/>
      <c r="C51" s="1099" t="s">
        <v>245</v>
      </c>
      <c r="D51" s="1071">
        <f>'2016 Summary Table B'!N46</f>
        <v>806758.52543161903</v>
      </c>
      <c r="E51" s="2972"/>
      <c r="F51" s="1070"/>
      <c r="G51" s="2958"/>
      <c r="H51" s="2959"/>
    </row>
    <row r="52" spans="1:8" ht="29.25" customHeight="1" x14ac:dyDescent="0.25">
      <c r="A52" s="1058"/>
      <c r="B52" s="1069"/>
      <c r="C52" s="1098" t="s">
        <v>386</v>
      </c>
      <c r="D52" s="1066">
        <f>SUM(D48:D51)</f>
        <v>6862723.2946417667</v>
      </c>
      <c r="E52" s="2972"/>
      <c r="F52" s="1412"/>
      <c r="G52" s="2958"/>
      <c r="H52" s="2959"/>
    </row>
    <row r="53" spans="1:8" ht="13.5" customHeight="1" x14ac:dyDescent="0.25">
      <c r="A53" s="1058"/>
      <c r="B53" s="1069"/>
      <c r="C53" s="1097"/>
      <c r="D53" s="1066"/>
      <c r="E53" s="1058"/>
      <c r="F53" s="1412"/>
      <c r="G53" s="1067"/>
      <c r="H53" s="1057"/>
    </row>
    <row r="54" spans="1:8" ht="29.25" customHeight="1" x14ac:dyDescent="0.25">
      <c r="A54" s="1062"/>
      <c r="B54" s="1059"/>
      <c r="C54" s="1098" t="s">
        <v>387</v>
      </c>
      <c r="D54" s="1065">
        <f>'2016 Summary Table B'!F68/'2016 Summary Table B'!N68</f>
        <v>0.75056157091714903</v>
      </c>
      <c r="E54" s="1062"/>
      <c r="F54" s="1412"/>
      <c r="G54" s="1058"/>
      <c r="H54" s="1057"/>
    </row>
    <row r="55" spans="1:8" ht="9.75" customHeight="1" x14ac:dyDescent="0.25">
      <c r="A55" s="1062"/>
      <c r="B55" s="1059"/>
      <c r="C55" s="1061"/>
      <c r="D55" s="1064"/>
      <c r="E55" s="2088"/>
      <c r="F55" s="1412"/>
      <c r="G55" s="1058"/>
      <c r="H55" s="1057"/>
    </row>
    <row r="56" spans="1:8" ht="29.25" customHeight="1" thickBot="1" x14ac:dyDescent="0.3">
      <c r="A56" s="1062"/>
      <c r="B56" s="1059"/>
      <c r="C56" s="1407" t="s">
        <v>537</v>
      </c>
      <c r="D56" s="2087">
        <f>D52*D54</f>
        <v>5150896.376796037</v>
      </c>
      <c r="E56" s="2089"/>
      <c r="F56" s="2090"/>
      <c r="G56" s="2091"/>
      <c r="H56" s="2092"/>
    </row>
    <row r="57" spans="1:8" ht="15.75" thickBot="1" x14ac:dyDescent="0.3">
      <c r="A57" s="1051"/>
      <c r="B57" s="1056"/>
      <c r="C57" s="2084" t="s">
        <v>538</v>
      </c>
      <c r="D57" s="2085" t="e">
        <f>D56-B47</f>
        <v>#REF!</v>
      </c>
      <c r="E57" s="1055"/>
      <c r="F57" s="1054" t="e">
        <f>D57</f>
        <v>#REF!</v>
      </c>
      <c r="G57" s="1053">
        <v>0.21</v>
      </c>
      <c r="H57" s="1052" t="e">
        <f>+$C$16*G57</f>
        <v>#REF!</v>
      </c>
    </row>
    <row r="58" spans="1:8" ht="135.75" thickBot="1" x14ac:dyDescent="0.3">
      <c r="A58" s="1050" t="s">
        <v>245</v>
      </c>
      <c r="B58" s="1075" t="e">
        <f>'2016 Summary Table B'!C46</f>
        <v>#REF!</v>
      </c>
      <c r="C58" s="2165" t="s">
        <v>637</v>
      </c>
      <c r="D58" s="2085"/>
      <c r="E58" s="2105" t="s">
        <v>521</v>
      </c>
      <c r="F58" s="2104" t="s">
        <v>527</v>
      </c>
      <c r="G58" s="2102">
        <v>0.05</v>
      </c>
      <c r="H58" s="2103" t="e">
        <f>+$C$16*G58</f>
        <v>#REF!</v>
      </c>
    </row>
    <row r="59" spans="1:8" ht="135.75" thickBot="1" x14ac:dyDescent="0.3">
      <c r="A59" s="1050" t="s">
        <v>532</v>
      </c>
      <c r="B59" s="1075"/>
      <c r="C59" s="2165" t="s">
        <v>638</v>
      </c>
      <c r="D59" s="2085"/>
      <c r="E59" s="2105" t="s">
        <v>521</v>
      </c>
      <c r="F59" s="2104" t="s">
        <v>522</v>
      </c>
      <c r="G59" s="2102">
        <v>0.05</v>
      </c>
      <c r="H59" s="2103" t="e">
        <f>+$C$16*G59</f>
        <v>#REF!</v>
      </c>
    </row>
    <row r="60" spans="1:8" ht="30.75" thickBot="1" x14ac:dyDescent="0.3">
      <c r="A60" s="1050" t="s">
        <v>507</v>
      </c>
      <c r="B60" s="1075"/>
      <c r="C60" s="1050"/>
      <c r="D60" s="2085"/>
      <c r="E60" s="2105"/>
      <c r="F60" s="2104"/>
      <c r="G60" s="2102">
        <f>SUM(G28:G59)</f>
        <v>1</v>
      </c>
      <c r="H60" s="2103" t="e">
        <f>SUM(H28:H59)</f>
        <v>#REF!</v>
      </c>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sheetData>
  <mergeCells count="13">
    <mergeCell ref="E28:E39"/>
    <mergeCell ref="C45:D45"/>
    <mergeCell ref="G28:G39"/>
    <mergeCell ref="H28:H39"/>
    <mergeCell ref="E47:E52"/>
    <mergeCell ref="G47:G52"/>
    <mergeCell ref="H47:H52"/>
    <mergeCell ref="C46:D46"/>
    <mergeCell ref="A5:H5"/>
    <mergeCell ref="A26:B26"/>
    <mergeCell ref="C26:D27"/>
    <mergeCell ref="E26:H26"/>
    <mergeCell ref="A27:B27"/>
  </mergeCells>
  <printOptions horizontalCentered="1"/>
  <pageMargins left="0.5" right="0.5" top="0.75" bottom="0.75" header="0.5" footer="0.25"/>
  <pageSetup scale="67" fitToHeight="0" orientation="landscape" r:id="rId1"/>
  <headerFooter alignWithMargins="0">
    <oddFooter>&amp;C&amp;1#&amp;"Calibri"&amp;12&amp;K008000Internal Use</oddFooter>
  </headerFooter>
  <rowBreaks count="2" manualBreakCount="2">
    <brk id="25" max="7" man="1"/>
    <brk id="46" max="7" man="1"/>
  </row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6">
    <tabColor theme="8"/>
    <pageSetUpPr fitToPage="1"/>
  </sheetPr>
  <dimension ref="A1:H93"/>
  <sheetViews>
    <sheetView zoomScaleNormal="100" workbookViewId="0"/>
  </sheetViews>
  <sheetFormatPr defaultRowHeight="12.75" x14ac:dyDescent="0.2"/>
  <cols>
    <col min="1" max="1" width="31.42578125" style="1039" customWidth="1"/>
    <col min="2" max="2" width="17.85546875" style="1039" customWidth="1"/>
    <col min="3" max="3" width="52.140625" style="1039" customWidth="1"/>
    <col min="4" max="4" width="17" style="1039" customWidth="1"/>
    <col min="5" max="5" width="19" style="1039" customWidth="1"/>
    <col min="6" max="6" width="22.42578125" style="1039" customWidth="1"/>
    <col min="7" max="7" width="14.7109375" style="1040" bestFit="1" customWidth="1"/>
    <col min="8" max="8" width="18.42578125" style="1040" customWidth="1"/>
    <col min="9" max="16384" width="9.140625" style="1039"/>
  </cols>
  <sheetData>
    <row r="1" spans="1:8" ht="18.75" x14ac:dyDescent="0.3">
      <c r="A1" s="1096" t="s">
        <v>392</v>
      </c>
      <c r="B1" s="1096"/>
    </row>
    <row r="2" spans="1:8" ht="18.75" x14ac:dyDescent="0.3">
      <c r="A2" s="1096" t="s">
        <v>560</v>
      </c>
      <c r="B2" s="1096"/>
    </row>
    <row r="3" spans="1:8" ht="12.75" customHeight="1" x14ac:dyDescent="0.2">
      <c r="A3" s="1095"/>
      <c r="B3" s="1095"/>
    </row>
    <row r="4" spans="1:8" ht="12.75" customHeight="1" x14ac:dyDescent="0.2">
      <c r="A4" s="1095"/>
      <c r="B4" s="1095"/>
    </row>
    <row r="5" spans="1:8" s="1089" customFormat="1" ht="12.75" customHeight="1" x14ac:dyDescent="0.25">
      <c r="A5" s="2960" t="s">
        <v>561</v>
      </c>
      <c r="B5" s="2960"/>
      <c r="C5" s="2960"/>
      <c r="D5" s="2960"/>
      <c r="E5" s="2960"/>
      <c r="F5" s="2960"/>
      <c r="G5" s="2960"/>
      <c r="H5" s="2960"/>
    </row>
    <row r="6" spans="1:8" s="1089" customFormat="1" ht="12.75" customHeight="1" x14ac:dyDescent="0.25">
      <c r="A6" s="1093" t="s">
        <v>379</v>
      </c>
      <c r="B6" s="1094" t="e">
        <f>C16</f>
        <v>#REF!</v>
      </c>
      <c r="C6" s="1093"/>
      <c r="D6" s="1093"/>
      <c r="E6" s="1093"/>
      <c r="F6" s="1093"/>
      <c r="H6" s="1093"/>
    </row>
    <row r="7" spans="1:8" s="1089" customFormat="1" ht="12.75" customHeight="1" x14ac:dyDescent="0.25">
      <c r="A7" s="1093" t="s">
        <v>689</v>
      </c>
      <c r="B7" s="1093"/>
      <c r="C7" s="1093"/>
      <c r="D7" s="1093"/>
      <c r="E7" s="1093"/>
      <c r="F7" s="1093"/>
      <c r="G7" s="1092"/>
      <c r="H7" s="1092"/>
    </row>
    <row r="8" spans="1:8" s="1089" customFormat="1" ht="12.75" customHeight="1" x14ac:dyDescent="0.25">
      <c r="A8" s="1093" t="s">
        <v>377</v>
      </c>
      <c r="B8" s="1093"/>
      <c r="C8" s="1093"/>
      <c r="D8" s="1093"/>
      <c r="E8" s="1093"/>
      <c r="F8" s="1093"/>
      <c r="G8" s="1092"/>
      <c r="H8" s="1092"/>
    </row>
    <row r="9" spans="1:8" s="1089" customFormat="1" ht="12.75" customHeight="1" x14ac:dyDescent="0.25">
      <c r="A9" s="1093" t="s">
        <v>376</v>
      </c>
      <c r="B9" s="1093"/>
      <c r="C9" s="1093"/>
      <c r="D9" s="1093"/>
      <c r="E9" s="1093"/>
      <c r="F9" s="1093"/>
      <c r="G9" s="1092"/>
      <c r="H9" s="1092"/>
    </row>
    <row r="10" spans="1:8" s="1089" customFormat="1" ht="30" customHeight="1" x14ac:dyDescent="0.25">
      <c r="D10" s="1091"/>
      <c r="E10" s="1091"/>
      <c r="F10" s="1091"/>
      <c r="G10" s="1090"/>
      <c r="H10" s="1090"/>
    </row>
    <row r="12" spans="1:8" ht="19.5" customHeight="1" x14ac:dyDescent="0.2">
      <c r="A12" s="1088" t="s">
        <v>375</v>
      </c>
      <c r="B12" s="1088" t="s">
        <v>374</v>
      </c>
      <c r="C12" s="1087" t="s">
        <v>373</v>
      </c>
      <c r="D12" s="1086"/>
    </row>
    <row r="13" spans="1:8" ht="15.75" x14ac:dyDescent="0.25">
      <c r="A13" s="2304">
        <v>77.5</v>
      </c>
      <c r="B13" s="2305">
        <v>0.02</v>
      </c>
      <c r="C13" s="1085" t="e">
        <f t="shared" ref="C13:C19" si="0">$B$23*B13</f>
        <v>#REF!</v>
      </c>
      <c r="D13" s="1077"/>
    </row>
    <row r="14" spans="1:8" ht="15.75" x14ac:dyDescent="0.25">
      <c r="A14" s="2304">
        <v>80</v>
      </c>
      <c r="B14" s="2317">
        <v>2.2499999999999999E-2</v>
      </c>
      <c r="C14" s="1085" t="e">
        <f t="shared" si="0"/>
        <v>#REF!</v>
      </c>
      <c r="D14" s="1077"/>
    </row>
    <row r="15" spans="1:8" ht="15.75" x14ac:dyDescent="0.25">
      <c r="A15" s="2304">
        <v>90</v>
      </c>
      <c r="B15" s="2317">
        <v>3.2500000000000001E-2</v>
      </c>
      <c r="C15" s="1085" t="e">
        <f>$B$23*B15</f>
        <v>#REF!</v>
      </c>
      <c r="D15" s="1077"/>
    </row>
    <row r="16" spans="1:8" ht="15.75" x14ac:dyDescent="0.2">
      <c r="A16" s="2306">
        <v>100</v>
      </c>
      <c r="B16" s="2318">
        <v>4.2500000000000003E-2</v>
      </c>
      <c r="C16" s="2303" t="e">
        <f t="shared" si="0"/>
        <v>#REF!</v>
      </c>
      <c r="D16" s="1077"/>
    </row>
    <row r="17" spans="1:8" ht="15.75" x14ac:dyDescent="0.25">
      <c r="A17" s="2304">
        <v>110</v>
      </c>
      <c r="B17" s="2317">
        <v>5.2499999999999998E-2</v>
      </c>
      <c r="C17" s="1085" t="e">
        <f t="shared" si="0"/>
        <v>#REF!</v>
      </c>
      <c r="D17" s="1077"/>
    </row>
    <row r="18" spans="1:8" ht="15.75" x14ac:dyDescent="0.25">
      <c r="A18" s="2304">
        <v>120</v>
      </c>
      <c r="B18" s="2317">
        <v>6.25E-2</v>
      </c>
      <c r="C18" s="1085" t="e">
        <f t="shared" si="0"/>
        <v>#REF!</v>
      </c>
      <c r="D18" s="1077"/>
    </row>
    <row r="19" spans="1:8" ht="15.75" x14ac:dyDescent="0.25">
      <c r="A19" s="2304">
        <v>130</v>
      </c>
      <c r="B19" s="2317">
        <v>7.2499999999999995E-2</v>
      </c>
      <c r="C19" s="1085" t="e">
        <f t="shared" si="0"/>
        <v>#REF!</v>
      </c>
      <c r="D19" s="1077"/>
    </row>
    <row r="20" spans="1:8" ht="15.75" x14ac:dyDescent="0.25">
      <c r="A20" s="2304">
        <v>137.5</v>
      </c>
      <c r="B20" s="2305">
        <v>0.08</v>
      </c>
      <c r="C20" s="1085" t="e">
        <f>$B$23*B20</f>
        <v>#REF!</v>
      </c>
      <c r="D20" s="1077"/>
    </row>
    <row r="21" spans="1:8" ht="15.75" customHeight="1" x14ac:dyDescent="0.25">
      <c r="A21" s="2304"/>
      <c r="B21" s="2305"/>
      <c r="C21" s="1085"/>
      <c r="D21" s="1077"/>
    </row>
    <row r="22" spans="1:8" ht="19.5" customHeight="1" x14ac:dyDescent="0.2">
      <c r="A22" s="1084"/>
      <c r="B22" s="1083"/>
      <c r="C22" s="1080"/>
      <c r="D22" s="1077"/>
    </row>
    <row r="23" spans="1:8" ht="19.5" customHeight="1" x14ac:dyDescent="0.25">
      <c r="A23" s="1082" t="s">
        <v>372</v>
      </c>
      <c r="B23" s="1081" t="e">
        <f>'SCG Table A'!#REF!-'SCG Table A'!#REF!-'SCG Table A'!#REF!-'SCG Table A'!#REF!-'SCG Table A'!#REF!</f>
        <v>#REF!</v>
      </c>
      <c r="C23" s="1080"/>
      <c r="D23" s="1077"/>
    </row>
    <row r="24" spans="1:8" ht="19.5" customHeight="1" x14ac:dyDescent="0.25">
      <c r="A24" s="1082"/>
      <c r="B24" s="1081"/>
      <c r="C24" s="1080"/>
      <c r="D24" s="1077"/>
    </row>
    <row r="25" spans="1:8" ht="19.5" customHeight="1" thickBot="1" x14ac:dyDescent="0.25">
      <c r="A25" s="1079" t="s">
        <v>371</v>
      </c>
      <c r="C25" s="1078"/>
      <c r="D25" s="1077"/>
    </row>
    <row r="26" spans="1:8" ht="19.5" customHeight="1" thickBot="1" x14ac:dyDescent="0.25">
      <c r="A26" s="2968" t="s">
        <v>502</v>
      </c>
      <c r="B26" s="2969"/>
      <c r="C26" s="2962" t="s">
        <v>370</v>
      </c>
      <c r="D26" s="2963"/>
      <c r="E26" s="2966" t="s">
        <v>369</v>
      </c>
      <c r="F26" s="2966"/>
      <c r="G26" s="2966"/>
      <c r="H26" s="2967"/>
    </row>
    <row r="27" spans="1:8" ht="31.5" customHeight="1" thickBot="1" x14ac:dyDescent="0.25">
      <c r="A27" s="2970" t="s">
        <v>79</v>
      </c>
      <c r="B27" s="2971"/>
      <c r="C27" s="2964"/>
      <c r="D27" s="2965"/>
      <c r="E27" s="2083" t="s">
        <v>368</v>
      </c>
      <c r="F27" s="2083" t="s">
        <v>367</v>
      </c>
      <c r="G27" s="2083" t="s">
        <v>366</v>
      </c>
      <c r="H27" s="2083" t="s">
        <v>365</v>
      </c>
    </row>
    <row r="28" spans="1:8" ht="30" customHeight="1" thickBot="1" x14ac:dyDescent="0.25">
      <c r="A28" s="1050" t="s">
        <v>500</v>
      </c>
      <c r="B28" s="1075" t="e">
        <f>'SCG Table A'!#REF!</f>
        <v>#REF!</v>
      </c>
      <c r="C28" s="1098" t="s">
        <v>383</v>
      </c>
      <c r="D28" s="1066"/>
      <c r="E28" s="2957" t="s">
        <v>535</v>
      </c>
      <c r="F28" s="1068" t="s">
        <v>536</v>
      </c>
      <c r="G28" s="2958">
        <v>0.19500000000000001</v>
      </c>
      <c r="H28" s="2959" t="e">
        <f>+$C$16*G28</f>
        <v>#REF!</v>
      </c>
    </row>
    <row r="29" spans="1:8" ht="29.25" customHeight="1" x14ac:dyDescent="0.2">
      <c r="A29" s="1058"/>
      <c r="B29" s="1072"/>
      <c r="C29" s="1099" t="s">
        <v>283</v>
      </c>
      <c r="D29" s="1066">
        <f>'2017 Summary Table B'!N8</f>
        <v>3901346.6427920158</v>
      </c>
      <c r="E29" s="2957"/>
      <c r="F29" s="1072">
        <f>D43</f>
        <v>7887135.1304673534</v>
      </c>
      <c r="G29" s="2958"/>
      <c r="H29" s="2959"/>
    </row>
    <row r="30" spans="1:8" ht="30" hidden="1" customHeight="1" x14ac:dyDescent="0.2">
      <c r="A30" s="1058"/>
      <c r="B30" s="1059"/>
      <c r="C30" s="1099" t="s">
        <v>149</v>
      </c>
      <c r="D30" s="1071"/>
      <c r="E30" s="2957"/>
      <c r="F30" s="1073">
        <v>8826015.5371230152</v>
      </c>
      <c r="G30" s="2958"/>
      <c r="H30" s="2959"/>
    </row>
    <row r="31" spans="1:8" ht="30" hidden="1" customHeight="1" x14ac:dyDescent="0.2">
      <c r="A31" s="1058"/>
      <c r="B31" s="1059"/>
      <c r="C31" s="1099" t="s">
        <v>227</v>
      </c>
      <c r="D31" s="1071"/>
      <c r="E31" s="2957"/>
      <c r="F31" s="1059"/>
      <c r="G31" s="2958"/>
      <c r="H31" s="2959"/>
    </row>
    <row r="32" spans="1:8" ht="30" hidden="1" customHeight="1" x14ac:dyDescent="0.2">
      <c r="A32" s="1058"/>
      <c r="B32" s="1059"/>
      <c r="C32" s="1099" t="s">
        <v>110</v>
      </c>
      <c r="D32" s="1071"/>
      <c r="E32" s="2957"/>
      <c r="F32" s="1059"/>
      <c r="G32" s="2958"/>
      <c r="H32" s="2959"/>
    </row>
    <row r="33" spans="1:8" ht="30" hidden="1" customHeight="1" x14ac:dyDescent="0.2">
      <c r="A33" s="1058"/>
      <c r="B33" s="1059"/>
      <c r="C33" s="1099"/>
      <c r="D33" s="1071"/>
      <c r="E33" s="2957"/>
      <c r="F33" s="1059"/>
      <c r="G33" s="2958"/>
      <c r="H33" s="2959"/>
    </row>
    <row r="34" spans="1:8" ht="30" customHeight="1" x14ac:dyDescent="0.2">
      <c r="A34" s="1058"/>
      <c r="B34" s="1059"/>
      <c r="C34" s="1099" t="s">
        <v>160</v>
      </c>
      <c r="D34" s="1071">
        <f>'2017 Summary Table B'!N12</f>
        <v>4045995.4317036574</v>
      </c>
      <c r="E34" s="2957"/>
      <c r="G34" s="2958"/>
      <c r="H34" s="2959"/>
    </row>
    <row r="35" spans="1:8" ht="30" customHeight="1" x14ac:dyDescent="0.2">
      <c r="A35" s="1058"/>
      <c r="B35" s="1059"/>
      <c r="C35" s="1099" t="s">
        <v>604</v>
      </c>
      <c r="D35" s="1071">
        <f>'2017 Summary Table B'!N16</f>
        <v>3338530.0497416081</v>
      </c>
      <c r="E35" s="2957"/>
      <c r="G35" s="2958"/>
      <c r="H35" s="2959"/>
    </row>
    <row r="36" spans="1:8" ht="30" customHeight="1" x14ac:dyDescent="0.2">
      <c r="A36" s="1058"/>
      <c r="B36" s="1059"/>
      <c r="C36" s="1099" t="s">
        <v>531</v>
      </c>
      <c r="D36" s="1071">
        <f>'2017 Summary Table B'!N19</f>
        <v>0</v>
      </c>
      <c r="E36" s="2957"/>
      <c r="G36" s="2958"/>
      <c r="H36" s="2959"/>
    </row>
    <row r="37" spans="1:8" ht="30" customHeight="1" x14ac:dyDescent="0.2">
      <c r="A37" s="1058"/>
      <c r="B37" s="1059"/>
      <c r="C37" s="1099" t="s">
        <v>384</v>
      </c>
      <c r="D37" s="1071">
        <f>'2017 Summary Table B'!N22</f>
        <v>1612556.4996797577</v>
      </c>
      <c r="E37" s="2957"/>
      <c r="F37" s="1059"/>
      <c r="G37" s="2958"/>
      <c r="H37" s="2959"/>
    </row>
    <row r="38" spans="1:8" ht="30" hidden="1" customHeight="1" x14ac:dyDescent="0.2">
      <c r="A38" s="1058"/>
      <c r="B38" s="1059"/>
      <c r="C38" s="1099" t="s">
        <v>198</v>
      </c>
      <c r="D38" s="1071">
        <f>'2017 Summary Table B'!N26</f>
        <v>0</v>
      </c>
      <c r="E38" s="2957"/>
      <c r="F38" s="1059"/>
      <c r="G38" s="2958"/>
      <c r="H38" s="2959"/>
    </row>
    <row r="39" spans="1:8" ht="30" customHeight="1" x14ac:dyDescent="0.25">
      <c r="A39" s="1058"/>
      <c r="B39" s="1069"/>
      <c r="C39" s="1098" t="s">
        <v>386</v>
      </c>
      <c r="D39" s="1066">
        <f>SUM(D29:D38)</f>
        <v>12898428.623917038</v>
      </c>
      <c r="E39" s="2957"/>
      <c r="F39" s="1044"/>
      <c r="G39" s="2958"/>
      <c r="H39" s="2959"/>
    </row>
    <row r="40" spans="1:8" ht="12.75" customHeight="1" x14ac:dyDescent="0.25">
      <c r="A40" s="1058"/>
      <c r="B40" s="1069"/>
      <c r="C40" s="1097"/>
      <c r="D40" s="1066"/>
      <c r="E40" s="1068"/>
      <c r="F40" s="1044"/>
      <c r="G40" s="1067"/>
      <c r="H40" s="1057"/>
    </row>
    <row r="41" spans="1:8" ht="30" customHeight="1" x14ac:dyDescent="0.25">
      <c r="A41" s="1062"/>
      <c r="B41" s="1059"/>
      <c r="C41" s="1098" t="s">
        <v>387</v>
      </c>
      <c r="D41" s="1065">
        <f>'2017 Summary Table B'!F64/'2017 Summary Table B'!N64</f>
        <v>0.61148030976754453</v>
      </c>
      <c r="E41" s="1059"/>
      <c r="F41" s="1044"/>
      <c r="G41" s="1058"/>
      <c r="H41" s="1057"/>
    </row>
    <row r="42" spans="1:8" ht="12" customHeight="1" x14ac:dyDescent="0.25">
      <c r="A42" s="1062"/>
      <c r="B42" s="1059"/>
      <c r="C42" s="1061"/>
      <c r="D42" s="1064"/>
      <c r="E42" s="1063"/>
      <c r="F42" s="1044"/>
      <c r="G42" s="1058"/>
      <c r="H42" s="1057"/>
    </row>
    <row r="43" spans="1:8" ht="30" customHeight="1" thickBot="1" x14ac:dyDescent="0.3">
      <c r="A43" s="1062"/>
      <c r="B43" s="1059"/>
      <c r="C43" s="1061" t="s">
        <v>533</v>
      </c>
      <c r="D43" s="1060">
        <f>D39*D41</f>
        <v>7887135.1304673534</v>
      </c>
      <c r="E43" s="1059"/>
      <c r="F43" s="1044"/>
      <c r="G43" s="1058"/>
      <c r="H43" s="1057"/>
    </row>
    <row r="44" spans="1:8" ht="31.5" customHeight="1" thickBot="1" x14ac:dyDescent="0.3">
      <c r="A44" s="1051"/>
      <c r="B44" s="1056"/>
      <c r="C44" s="2169" t="s">
        <v>534</v>
      </c>
      <c r="D44" s="2098" t="e">
        <f>D43-B28</f>
        <v>#REF!</v>
      </c>
      <c r="E44" s="1055"/>
      <c r="F44" s="1054" t="e">
        <f>D44</f>
        <v>#REF!</v>
      </c>
      <c r="G44" s="1053">
        <v>0.19500000000000001</v>
      </c>
      <c r="H44" s="1052" t="e">
        <f>+$C$16*G44</f>
        <v>#REF!</v>
      </c>
    </row>
    <row r="45" spans="1:8" ht="44.25" customHeight="1" thickBot="1" x14ac:dyDescent="0.25">
      <c r="A45" s="2096" t="s">
        <v>504</v>
      </c>
      <c r="B45" s="2171" t="e">
        <f>'2017 Summary Table B'!C12</f>
        <v>#REF!</v>
      </c>
      <c r="C45" s="2973" t="s">
        <v>635</v>
      </c>
      <c r="D45" s="2974"/>
      <c r="E45" s="2167" t="s">
        <v>517</v>
      </c>
      <c r="F45" s="2308" t="s">
        <v>634</v>
      </c>
      <c r="G45" s="2094">
        <v>0.06</v>
      </c>
      <c r="H45" s="2095" t="e">
        <f>+$C$16*G45</f>
        <v>#REF!</v>
      </c>
    </row>
    <row r="46" spans="1:8" ht="47.25" customHeight="1" thickBot="1" x14ac:dyDescent="0.25">
      <c r="A46" s="1050" t="s">
        <v>505</v>
      </c>
      <c r="B46" s="2172" t="e">
        <f>'2017 Summary Table B'!C8</f>
        <v>#REF!</v>
      </c>
      <c r="C46" s="2973" t="s">
        <v>518</v>
      </c>
      <c r="D46" s="2974"/>
      <c r="E46" s="2168" t="s">
        <v>518</v>
      </c>
      <c r="F46" s="2170">
        <f>'2017 Summary Table B'!M8</f>
        <v>178481.71849476462</v>
      </c>
      <c r="G46" s="2102">
        <v>0.03</v>
      </c>
      <c r="H46" s="2103" t="e">
        <f>+$C$16*G46</f>
        <v>#REF!</v>
      </c>
    </row>
    <row r="47" spans="1:8" ht="30.75" thickBot="1" x14ac:dyDescent="0.25">
      <c r="A47" s="2100" t="s">
        <v>501</v>
      </c>
      <c r="B47" s="2101" t="e">
        <f>'SCG Table A'!#REF!</f>
        <v>#REF!</v>
      </c>
      <c r="C47" s="1098" t="s">
        <v>383</v>
      </c>
      <c r="D47" s="1066"/>
      <c r="E47" s="2972" t="s">
        <v>539</v>
      </c>
      <c r="F47" s="1068" t="s">
        <v>540</v>
      </c>
      <c r="G47" s="2958">
        <v>0.21</v>
      </c>
      <c r="H47" s="2959" t="e">
        <f>+$C$16*G47</f>
        <v>#REF!</v>
      </c>
    </row>
    <row r="48" spans="1:8" ht="29.25" customHeight="1" x14ac:dyDescent="0.2">
      <c r="A48" s="1058"/>
      <c r="B48" s="1059"/>
      <c r="C48" s="1099" t="s">
        <v>199</v>
      </c>
      <c r="D48" s="1071">
        <f>'2017 Summary Table B'!N33</f>
        <v>2346690.068064352</v>
      </c>
      <c r="E48" s="2972"/>
      <c r="F48" s="2093">
        <f>D56</f>
        <v>4570815.5520160552</v>
      </c>
      <c r="G48" s="2958"/>
      <c r="H48" s="2959"/>
    </row>
    <row r="49" spans="1:8" ht="29.25" customHeight="1" x14ac:dyDescent="0.2">
      <c r="A49" s="1058"/>
      <c r="B49" s="1059"/>
      <c r="C49" s="1099" t="s">
        <v>200</v>
      </c>
      <c r="D49" s="1071">
        <f>'2017 Summary Table B'!N38</f>
        <v>2650376.584379673</v>
      </c>
      <c r="E49" s="2972"/>
      <c r="F49" s="1070"/>
      <c r="G49" s="2958"/>
      <c r="H49" s="2959"/>
    </row>
    <row r="50" spans="1:8" ht="29.25" customHeight="1" x14ac:dyDescent="0.2">
      <c r="A50" s="1058"/>
      <c r="B50" s="1059"/>
      <c r="C50" s="1099" t="s">
        <v>506</v>
      </c>
      <c r="D50" s="1071">
        <f>'2017 Summary Table B'!N42</f>
        <v>688047.02987946279</v>
      </c>
      <c r="E50" s="2972"/>
      <c r="F50" s="1070"/>
      <c r="G50" s="2958"/>
      <c r="H50" s="2959"/>
    </row>
    <row r="51" spans="1:8" ht="29.25" customHeight="1" x14ac:dyDescent="0.2">
      <c r="A51" s="1058"/>
      <c r="B51" s="1059"/>
      <c r="C51" s="1099" t="s">
        <v>245</v>
      </c>
      <c r="D51" s="1071">
        <f>'2017 Summary Table B'!N46</f>
        <v>842963.48330851388</v>
      </c>
      <c r="E51" s="2972"/>
      <c r="F51" s="1070"/>
      <c r="G51" s="2958"/>
      <c r="H51" s="2959"/>
    </row>
    <row r="52" spans="1:8" ht="29.25" customHeight="1" x14ac:dyDescent="0.25">
      <c r="A52" s="1058"/>
      <c r="B52" s="1069"/>
      <c r="C52" s="1098" t="s">
        <v>386</v>
      </c>
      <c r="D52" s="1066">
        <f>SUM(D48:D51)</f>
        <v>6528077.1656320021</v>
      </c>
      <c r="E52" s="2972"/>
      <c r="F52" s="1412"/>
      <c r="G52" s="2958"/>
      <c r="H52" s="2959"/>
    </row>
    <row r="53" spans="1:8" ht="13.5" customHeight="1" x14ac:dyDescent="0.25">
      <c r="A53" s="1058"/>
      <c r="B53" s="1069"/>
      <c r="C53" s="1097"/>
      <c r="D53" s="1066"/>
      <c r="E53" s="1058"/>
      <c r="F53" s="1412"/>
      <c r="G53" s="1067"/>
      <c r="H53" s="1057"/>
    </row>
    <row r="54" spans="1:8" ht="29.25" customHeight="1" x14ac:dyDescent="0.25">
      <c r="A54" s="1062"/>
      <c r="B54" s="1059"/>
      <c r="C54" s="1098" t="s">
        <v>387</v>
      </c>
      <c r="D54" s="1065">
        <f>'2017 Summary Table B'!F68/'2017 Summary Table B'!N68</f>
        <v>0.70017792928058031</v>
      </c>
      <c r="E54" s="1062"/>
      <c r="F54" s="1412"/>
      <c r="G54" s="1058"/>
      <c r="H54" s="1057"/>
    </row>
    <row r="55" spans="1:8" ht="9.75" customHeight="1" x14ac:dyDescent="0.25">
      <c r="A55" s="1062"/>
      <c r="B55" s="1059"/>
      <c r="C55" s="1061"/>
      <c r="D55" s="1064"/>
      <c r="E55" s="2088"/>
      <c r="F55" s="1412"/>
      <c r="G55" s="1058"/>
      <c r="H55" s="1057"/>
    </row>
    <row r="56" spans="1:8" ht="29.25" customHeight="1" thickBot="1" x14ac:dyDescent="0.3">
      <c r="A56" s="1062"/>
      <c r="B56" s="1059"/>
      <c r="C56" s="1407" t="s">
        <v>537</v>
      </c>
      <c r="D56" s="2087">
        <f>D52*D54</f>
        <v>4570815.5520160552</v>
      </c>
      <c r="E56" s="2089"/>
      <c r="F56" s="2090"/>
      <c r="G56" s="2091"/>
      <c r="H56" s="2092"/>
    </row>
    <row r="57" spans="1:8" ht="15.75" thickBot="1" x14ac:dyDescent="0.3">
      <c r="A57" s="1051"/>
      <c r="B57" s="1056"/>
      <c r="C57" s="2084" t="s">
        <v>538</v>
      </c>
      <c r="D57" s="2085" t="e">
        <f>D56-B47</f>
        <v>#REF!</v>
      </c>
      <c r="E57" s="1055"/>
      <c r="F57" s="1054" t="e">
        <f>D57</f>
        <v>#REF!</v>
      </c>
      <c r="G57" s="1053">
        <v>0.21</v>
      </c>
      <c r="H57" s="1052" t="e">
        <f>+$C$16*G57</f>
        <v>#REF!</v>
      </c>
    </row>
    <row r="58" spans="1:8" ht="135.75" thickBot="1" x14ac:dyDescent="0.3">
      <c r="A58" s="1050" t="s">
        <v>245</v>
      </c>
      <c r="B58" s="1075" t="e">
        <f>'2017 Summary Table B'!C46</f>
        <v>#REF!</v>
      </c>
      <c r="C58" s="2165" t="s">
        <v>637</v>
      </c>
      <c r="D58" s="2085"/>
      <c r="E58" s="2105" t="s">
        <v>521</v>
      </c>
      <c r="F58" s="2104" t="s">
        <v>522</v>
      </c>
      <c r="G58" s="2102">
        <v>0.05</v>
      </c>
      <c r="H58" s="2103" t="e">
        <f>+$C$16*G58</f>
        <v>#REF!</v>
      </c>
    </row>
    <row r="59" spans="1:8" ht="135.75" thickBot="1" x14ac:dyDescent="0.3">
      <c r="A59" s="1050" t="s">
        <v>532</v>
      </c>
      <c r="B59" s="1075"/>
      <c r="C59" s="2165" t="s">
        <v>638</v>
      </c>
      <c r="D59" s="2085"/>
      <c r="E59" s="2105" t="s">
        <v>521</v>
      </c>
      <c r="F59" s="2104" t="s">
        <v>636</v>
      </c>
      <c r="G59" s="2102">
        <v>0.05</v>
      </c>
      <c r="H59" s="2103" t="e">
        <f>+$C$16*G59</f>
        <v>#REF!</v>
      </c>
    </row>
    <row r="60" spans="1:8" ht="30.75" thickBot="1" x14ac:dyDescent="0.3">
      <c r="A60" s="1050" t="s">
        <v>507</v>
      </c>
      <c r="B60" s="1075"/>
      <c r="C60" s="1050"/>
      <c r="D60" s="2085"/>
      <c r="E60" s="2105"/>
      <c r="F60" s="2104"/>
      <c r="G60" s="2102">
        <f>SUM(G28:G59)</f>
        <v>1</v>
      </c>
      <c r="H60" s="2103" t="e">
        <f>SUM(H28:H59)</f>
        <v>#REF!</v>
      </c>
    </row>
    <row r="61" spans="1:8" ht="14.25" x14ac:dyDescent="0.2">
      <c r="A61" s="1042"/>
      <c r="B61" s="1042"/>
      <c r="C61" s="1042"/>
      <c r="D61" s="1042"/>
      <c r="E61" s="1042"/>
      <c r="F61" s="1042"/>
      <c r="G61" s="1041"/>
      <c r="H61" s="1041"/>
    </row>
    <row r="62" spans="1:8" ht="14.25" x14ac:dyDescent="0.2">
      <c r="A62" s="1042"/>
      <c r="B62" s="1042"/>
      <c r="C62" s="1042"/>
      <c r="D62" s="1042"/>
      <c r="E62" s="1042"/>
      <c r="F62" s="1042"/>
      <c r="G62" s="1041"/>
      <c r="H62" s="1041"/>
    </row>
    <row r="63" spans="1:8" ht="14.25" x14ac:dyDescent="0.2">
      <c r="A63" s="1042"/>
      <c r="B63" s="1042"/>
      <c r="C63" s="1042"/>
      <c r="D63" s="1042"/>
      <c r="E63" s="1042"/>
      <c r="F63" s="1042"/>
      <c r="G63" s="1041"/>
      <c r="H63" s="1041"/>
    </row>
    <row r="64" spans="1:8" ht="14.25" x14ac:dyDescent="0.2">
      <c r="A64" s="1042"/>
      <c r="B64" s="1042"/>
      <c r="C64" s="1042"/>
      <c r="D64" s="1042"/>
      <c r="E64" s="1042"/>
      <c r="F64" s="1042"/>
      <c r="G64" s="1041"/>
      <c r="H64" s="1041"/>
    </row>
    <row r="65" spans="1:8" ht="14.25" x14ac:dyDescent="0.2">
      <c r="A65" s="1042"/>
      <c r="B65" s="1042"/>
      <c r="C65" s="1042"/>
      <c r="D65" s="1042"/>
      <c r="E65" s="1042"/>
      <c r="F65" s="1042"/>
      <c r="G65" s="1041"/>
      <c r="H65" s="1041"/>
    </row>
    <row r="66" spans="1:8" ht="14.25" x14ac:dyDescent="0.2">
      <c r="A66" s="1042"/>
      <c r="B66" s="1042"/>
      <c r="C66" s="1042"/>
      <c r="D66" s="1042"/>
      <c r="E66" s="1042"/>
      <c r="F66" s="1042"/>
      <c r="G66" s="1041"/>
      <c r="H66" s="1041"/>
    </row>
    <row r="67" spans="1:8" ht="14.25" x14ac:dyDescent="0.2">
      <c r="A67" s="1042"/>
      <c r="B67" s="1042"/>
      <c r="C67" s="1042"/>
      <c r="D67" s="1042"/>
      <c r="E67" s="1042"/>
      <c r="F67" s="1042"/>
      <c r="G67" s="1041"/>
      <c r="H67" s="1041"/>
    </row>
    <row r="68" spans="1:8" ht="14.25" x14ac:dyDescent="0.2">
      <c r="A68" s="1042"/>
      <c r="B68" s="1042"/>
      <c r="C68" s="1042"/>
      <c r="D68" s="1042"/>
      <c r="E68" s="1042"/>
      <c r="F68" s="1042"/>
      <c r="G68" s="1041"/>
      <c r="H68" s="1041"/>
    </row>
    <row r="69" spans="1:8" ht="14.25" x14ac:dyDescent="0.2">
      <c r="A69" s="1042"/>
      <c r="B69" s="1042"/>
      <c r="C69" s="1042"/>
      <c r="D69" s="1042"/>
      <c r="E69" s="1042"/>
      <c r="F69" s="1042"/>
      <c r="G69" s="1041"/>
      <c r="H69" s="1041"/>
    </row>
    <row r="70" spans="1:8" ht="14.25" x14ac:dyDescent="0.2">
      <c r="A70" s="1042"/>
      <c r="B70" s="1042"/>
      <c r="C70" s="1042"/>
      <c r="D70" s="1042"/>
      <c r="E70" s="1042"/>
      <c r="F70" s="1042"/>
      <c r="G70" s="1041"/>
      <c r="H70" s="1041"/>
    </row>
    <row r="71" spans="1:8" ht="14.25" x14ac:dyDescent="0.2">
      <c r="A71" s="1042"/>
      <c r="B71" s="1042"/>
      <c r="C71" s="1042"/>
      <c r="D71" s="1042"/>
      <c r="E71" s="1042"/>
      <c r="F71" s="1042"/>
      <c r="G71" s="1041"/>
      <c r="H71" s="1041"/>
    </row>
    <row r="72" spans="1:8" ht="14.25" x14ac:dyDescent="0.2">
      <c r="A72" s="1042"/>
      <c r="B72" s="1042"/>
      <c r="C72" s="1042"/>
      <c r="D72" s="1042"/>
      <c r="E72" s="1042"/>
      <c r="F72" s="1042"/>
      <c r="G72" s="1041"/>
      <c r="H72" s="1041"/>
    </row>
    <row r="73" spans="1:8" ht="14.25" x14ac:dyDescent="0.2">
      <c r="A73" s="1042"/>
      <c r="B73" s="1042"/>
      <c r="C73" s="1042"/>
      <c r="D73" s="1042"/>
      <c r="E73" s="1042"/>
      <c r="F73" s="1042"/>
      <c r="G73" s="1041"/>
      <c r="H73" s="1041"/>
    </row>
    <row r="74" spans="1:8" ht="14.25" x14ac:dyDescent="0.2">
      <c r="A74" s="1042"/>
      <c r="B74" s="1042"/>
      <c r="C74" s="1042"/>
      <c r="D74" s="1042"/>
      <c r="E74" s="1042"/>
      <c r="F74" s="1042"/>
      <c r="G74" s="1041"/>
      <c r="H74" s="1041"/>
    </row>
    <row r="75" spans="1:8" ht="14.25" x14ac:dyDescent="0.2">
      <c r="A75" s="1042"/>
      <c r="B75" s="1042"/>
      <c r="C75" s="1042"/>
      <c r="D75" s="1042"/>
      <c r="E75" s="1042"/>
      <c r="F75" s="1042"/>
      <c r="G75" s="1041"/>
      <c r="H75" s="1041"/>
    </row>
    <row r="76" spans="1:8" ht="14.25" x14ac:dyDescent="0.2">
      <c r="A76" s="1042"/>
      <c r="B76" s="1042"/>
      <c r="C76" s="1042"/>
      <c r="D76" s="1042"/>
      <c r="E76" s="1042"/>
      <c r="F76" s="1042"/>
      <c r="G76" s="1041"/>
      <c r="H76" s="1041"/>
    </row>
    <row r="77" spans="1:8" ht="14.25" x14ac:dyDescent="0.2">
      <c r="A77" s="1042"/>
      <c r="B77" s="1042"/>
      <c r="C77" s="1042"/>
      <c r="D77" s="1042"/>
      <c r="E77" s="1042"/>
      <c r="F77" s="1042"/>
      <c r="G77" s="1041"/>
      <c r="H77" s="1041"/>
    </row>
    <row r="78" spans="1:8" ht="14.25" x14ac:dyDescent="0.2">
      <c r="A78" s="1042"/>
      <c r="B78" s="1042"/>
      <c r="C78" s="1042"/>
      <c r="D78" s="1042"/>
      <c r="E78" s="1042"/>
      <c r="F78" s="1042"/>
      <c r="G78" s="1041"/>
      <c r="H78" s="1041"/>
    </row>
    <row r="79" spans="1:8" ht="14.25" x14ac:dyDescent="0.2">
      <c r="A79" s="1042"/>
      <c r="B79" s="1042"/>
      <c r="C79" s="1042"/>
      <c r="D79" s="1042"/>
      <c r="E79" s="1042"/>
      <c r="F79" s="1042"/>
      <c r="G79" s="1041"/>
      <c r="H79" s="1041"/>
    </row>
    <row r="80" spans="1:8" ht="14.25" x14ac:dyDescent="0.2">
      <c r="A80" s="1042"/>
      <c r="B80" s="1042"/>
      <c r="C80" s="1042"/>
      <c r="D80" s="1042"/>
      <c r="E80" s="1042"/>
      <c r="F80" s="1042"/>
      <c r="G80" s="1041"/>
      <c r="H80" s="1041"/>
    </row>
    <row r="81" spans="1:8" ht="14.25" x14ac:dyDescent="0.2">
      <c r="A81" s="1042"/>
      <c r="B81" s="1042"/>
      <c r="C81" s="1042"/>
      <c r="D81" s="1042"/>
      <c r="E81" s="1042"/>
      <c r="F81" s="1042"/>
      <c r="G81" s="1041"/>
      <c r="H81" s="1041"/>
    </row>
    <row r="82" spans="1:8" ht="14.25" x14ac:dyDescent="0.2">
      <c r="A82" s="1042"/>
      <c r="B82" s="1042"/>
      <c r="C82" s="1042"/>
      <c r="D82" s="1042"/>
      <c r="E82" s="1042"/>
      <c r="F82" s="1042"/>
      <c r="G82" s="1041"/>
      <c r="H82" s="1041"/>
    </row>
    <row r="83" spans="1:8" ht="14.25" x14ac:dyDescent="0.2">
      <c r="A83" s="1042"/>
      <c r="B83" s="1042"/>
      <c r="C83" s="1042"/>
      <c r="D83" s="1042"/>
      <c r="E83" s="1042"/>
      <c r="F83" s="1042"/>
      <c r="G83" s="1041"/>
      <c r="H83" s="1041"/>
    </row>
    <row r="84" spans="1:8" ht="14.25" x14ac:dyDescent="0.2">
      <c r="A84" s="1042"/>
      <c r="B84" s="1042"/>
      <c r="C84" s="1042"/>
      <c r="D84" s="1042"/>
      <c r="E84" s="1042"/>
      <c r="F84" s="1042"/>
      <c r="G84" s="1041"/>
      <c r="H84" s="1041"/>
    </row>
    <row r="85" spans="1:8" ht="14.25" x14ac:dyDescent="0.2">
      <c r="A85" s="1042"/>
      <c r="B85" s="1042"/>
      <c r="C85" s="1042"/>
      <c r="D85" s="1042"/>
      <c r="E85" s="1042"/>
      <c r="F85" s="1042"/>
      <c r="G85" s="1041"/>
      <c r="H85" s="1041"/>
    </row>
    <row r="86" spans="1:8" ht="14.25" x14ac:dyDescent="0.2">
      <c r="A86" s="1042"/>
      <c r="B86" s="1042"/>
      <c r="C86" s="1042"/>
      <c r="D86" s="1042"/>
      <c r="E86" s="1042"/>
      <c r="F86" s="1042"/>
      <c r="G86" s="1041"/>
      <c r="H86" s="1041"/>
    </row>
    <row r="87" spans="1:8" ht="14.25" x14ac:dyDescent="0.2">
      <c r="A87" s="1042"/>
      <c r="B87" s="1042"/>
      <c r="C87" s="1042"/>
      <c r="D87" s="1042"/>
      <c r="E87" s="1042"/>
      <c r="F87" s="1042"/>
      <c r="G87" s="1041"/>
      <c r="H87" s="1041"/>
    </row>
    <row r="88" spans="1:8" ht="14.25" x14ac:dyDescent="0.2">
      <c r="A88" s="1042"/>
      <c r="B88" s="1042"/>
      <c r="C88" s="1042"/>
      <c r="D88" s="1042"/>
      <c r="E88" s="1042"/>
      <c r="F88" s="1042"/>
      <c r="G88" s="1041"/>
      <c r="H88" s="1041"/>
    </row>
    <row r="89" spans="1:8" ht="14.25" x14ac:dyDescent="0.2">
      <c r="A89" s="1042"/>
      <c r="B89" s="1042"/>
      <c r="C89" s="1042"/>
      <c r="D89" s="1042"/>
      <c r="E89" s="1042"/>
      <c r="F89" s="1042"/>
      <c r="G89" s="1041"/>
      <c r="H89" s="1041"/>
    </row>
    <row r="90" spans="1:8" ht="14.25" x14ac:dyDescent="0.2">
      <c r="A90" s="1042"/>
      <c r="B90" s="1042"/>
      <c r="C90" s="1042"/>
      <c r="D90" s="1042"/>
      <c r="E90" s="1042"/>
      <c r="F90" s="1042"/>
      <c r="G90" s="1041"/>
      <c r="H90" s="1041"/>
    </row>
    <row r="91" spans="1:8" ht="14.25" x14ac:dyDescent="0.2">
      <c r="A91" s="1042"/>
      <c r="B91" s="1042"/>
      <c r="C91" s="1042"/>
      <c r="D91" s="1042"/>
      <c r="E91" s="1042"/>
      <c r="F91" s="1042"/>
      <c r="G91" s="1041"/>
      <c r="H91" s="1041"/>
    </row>
    <row r="92" spans="1:8" ht="14.25" x14ac:dyDescent="0.2">
      <c r="A92" s="1042"/>
      <c r="B92" s="1042"/>
      <c r="C92" s="1042"/>
      <c r="D92" s="1042"/>
      <c r="E92" s="1042"/>
      <c r="F92" s="1042"/>
      <c r="G92" s="1041"/>
      <c r="H92" s="1041"/>
    </row>
    <row r="93" spans="1:8" ht="14.25" x14ac:dyDescent="0.2">
      <c r="A93" s="1042"/>
      <c r="B93" s="1042"/>
      <c r="C93" s="1042"/>
      <c r="D93" s="1042"/>
      <c r="E93" s="1042"/>
      <c r="F93" s="1042"/>
      <c r="G93" s="1041"/>
      <c r="H93" s="1041"/>
    </row>
  </sheetData>
  <mergeCells count="13">
    <mergeCell ref="A5:H5"/>
    <mergeCell ref="A26:B26"/>
    <mergeCell ref="C26:D27"/>
    <mergeCell ref="E26:H26"/>
    <mergeCell ref="A27:B27"/>
    <mergeCell ref="C46:D46"/>
    <mergeCell ref="E47:E52"/>
    <mergeCell ref="G47:G52"/>
    <mergeCell ref="H47:H52"/>
    <mergeCell ref="E28:E39"/>
    <mergeCell ref="G28:G39"/>
    <mergeCell ref="H28:H39"/>
    <mergeCell ref="C45:D45"/>
  </mergeCells>
  <printOptions horizontalCentered="1"/>
  <pageMargins left="0.5" right="0.5" top="0.75" bottom="0.75" header="0.5" footer="0.25"/>
  <pageSetup scale="67" fitToHeight="0" orientation="landscape" r:id="rId1"/>
  <headerFooter alignWithMargins="0">
    <oddFooter>&amp;C&amp;1#&amp;"Calibri"&amp;12&amp;K008000Internal Use</oddFooter>
  </headerFooter>
  <rowBreaks count="2" manualBreakCount="2">
    <brk id="25" max="7" man="1"/>
    <brk id="46" max="7"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18">
    <tabColor indexed="47"/>
    <pageSetUpPr fitToPage="1"/>
  </sheetPr>
  <dimension ref="A1:S93"/>
  <sheetViews>
    <sheetView view="pageBreakPreview" zoomScale="60" zoomScaleNormal="100" workbookViewId="0">
      <selection activeCell="W61" sqref="W61"/>
    </sheetView>
  </sheetViews>
  <sheetFormatPr defaultRowHeight="12.75" x14ac:dyDescent="0.2"/>
  <cols>
    <col min="1" max="1" width="38.28515625" style="168" customWidth="1"/>
    <col min="2" max="3" width="11.28515625" style="571" bestFit="1" customWidth="1"/>
    <col min="4" max="4" width="11.7109375" style="571" bestFit="1" customWidth="1"/>
    <col min="5" max="5" width="11.28515625" style="571" bestFit="1" customWidth="1"/>
    <col min="6" max="7" width="11.28515625" style="793" bestFit="1" customWidth="1"/>
    <col min="8" max="8" width="11.7109375" style="793" customWidth="1"/>
    <col min="9" max="9" width="11.28515625" style="168" bestFit="1" customWidth="1"/>
    <col min="10" max="10" width="11.140625" style="245" customWidth="1"/>
    <col min="11" max="14" width="11.28515625" style="168" customWidth="1"/>
    <col min="15" max="15" width="6.7109375" style="168" customWidth="1"/>
    <col min="16" max="16384" width="9.140625" style="168"/>
  </cols>
  <sheetData>
    <row r="1" spans="1:19" ht="15.75" x14ac:dyDescent="0.25">
      <c r="A1" s="1914" t="s">
        <v>76</v>
      </c>
      <c r="B1" s="1914"/>
      <c r="C1" s="1914"/>
      <c r="D1" s="1914"/>
      <c r="E1" s="1914"/>
      <c r="F1" s="1914"/>
      <c r="G1" s="1914"/>
      <c r="H1" s="1914"/>
      <c r="I1" s="1914"/>
      <c r="J1" s="1914"/>
      <c r="K1" s="1914"/>
      <c r="L1" s="1914"/>
      <c r="M1" s="1914"/>
      <c r="N1" s="1914"/>
      <c r="O1" s="1914"/>
    </row>
    <row r="2" spans="1:19" x14ac:dyDescent="0.2">
      <c r="A2" s="169"/>
    </row>
    <row r="3" spans="1:19" ht="15.75" x14ac:dyDescent="0.25">
      <c r="A3" s="172" t="s">
        <v>240</v>
      </c>
      <c r="I3" s="170"/>
      <c r="K3" s="170"/>
      <c r="L3" s="170"/>
      <c r="M3" s="170"/>
      <c r="N3" s="170"/>
      <c r="O3" s="170"/>
      <c r="P3" s="170"/>
      <c r="Q3" s="170"/>
    </row>
    <row r="4" spans="1:19" x14ac:dyDescent="0.2">
      <c r="A4" s="169"/>
      <c r="I4" s="170"/>
      <c r="K4" s="170"/>
      <c r="L4" s="170"/>
      <c r="M4" s="170"/>
      <c r="N4" s="170"/>
      <c r="O4" s="170"/>
      <c r="P4" s="170"/>
      <c r="Q4" s="170"/>
    </row>
    <row r="5" spans="1:19" ht="11.25" x14ac:dyDescent="0.2">
      <c r="A5" s="173"/>
      <c r="I5" s="170"/>
      <c r="J5" s="794"/>
      <c r="K5" s="170"/>
      <c r="L5" s="170"/>
      <c r="M5" s="170"/>
      <c r="N5" s="170"/>
      <c r="O5" s="170"/>
      <c r="P5" s="170"/>
      <c r="Q5" s="170"/>
    </row>
    <row r="6" spans="1:19" s="245" customFormat="1" x14ac:dyDescent="0.2">
      <c r="A6" s="242"/>
      <c r="B6" s="243">
        <v>2006</v>
      </c>
      <c r="C6" s="243">
        <v>2007</v>
      </c>
      <c r="D6" s="243">
        <v>2008</v>
      </c>
      <c r="E6" s="243">
        <v>2009</v>
      </c>
      <c r="F6" s="243">
        <v>2010</v>
      </c>
      <c r="G6" s="243">
        <v>2011</v>
      </c>
      <c r="H6" s="243">
        <v>2012</v>
      </c>
      <c r="I6" s="243">
        <v>2013</v>
      </c>
      <c r="J6" s="243">
        <v>2014</v>
      </c>
      <c r="K6" s="243">
        <v>2015</v>
      </c>
      <c r="L6" s="243">
        <v>2016</v>
      </c>
      <c r="M6" s="243">
        <v>2017</v>
      </c>
      <c r="N6" s="243">
        <v>2018</v>
      </c>
      <c r="O6" s="244"/>
      <c r="P6" s="244"/>
      <c r="Q6" s="244"/>
    </row>
    <row r="7" spans="1:19" s="245" customFormat="1" x14ac:dyDescent="0.2">
      <c r="A7" s="247" t="s">
        <v>44</v>
      </c>
      <c r="B7" s="248" t="s">
        <v>148</v>
      </c>
      <c r="C7" s="248" t="s">
        <v>148</v>
      </c>
      <c r="D7" s="248" t="s">
        <v>148</v>
      </c>
      <c r="E7" s="248" t="s">
        <v>148</v>
      </c>
      <c r="F7" s="248" t="s">
        <v>148</v>
      </c>
      <c r="G7" s="248" t="s">
        <v>148</v>
      </c>
      <c r="H7" s="248" t="s">
        <v>148</v>
      </c>
      <c r="I7" s="248" t="s">
        <v>148</v>
      </c>
      <c r="J7" s="248" t="s">
        <v>148</v>
      </c>
      <c r="K7" s="248" t="s">
        <v>1</v>
      </c>
      <c r="L7" s="248" t="s">
        <v>1</v>
      </c>
      <c r="M7" s="248" t="s">
        <v>1</v>
      </c>
      <c r="N7" s="248" t="s">
        <v>1</v>
      </c>
      <c r="O7" s="244"/>
      <c r="P7" s="244"/>
      <c r="Q7" s="244"/>
    </row>
    <row r="8" spans="1:19" s="245" customFormat="1" x14ac:dyDescent="0.2">
      <c r="A8" s="244"/>
      <c r="I8" s="575"/>
      <c r="K8" s="575"/>
      <c r="L8" s="575"/>
      <c r="M8" s="575"/>
      <c r="N8" s="575"/>
      <c r="O8" s="575"/>
      <c r="P8" s="575"/>
      <c r="Q8" s="575"/>
      <c r="S8" s="246"/>
    </row>
    <row r="9" spans="1:19" s="245" customFormat="1" x14ac:dyDescent="0.2">
      <c r="A9" s="244" t="s">
        <v>53</v>
      </c>
      <c r="B9" s="252">
        <v>33320</v>
      </c>
      <c r="C9" s="252">
        <v>23186</v>
      </c>
      <c r="D9" s="252">
        <v>61239</v>
      </c>
      <c r="E9" s="252">
        <v>93035.51</v>
      </c>
      <c r="F9" s="252">
        <v>74830.62</v>
      </c>
      <c r="G9" s="252">
        <v>60772.36</v>
      </c>
      <c r="H9" s="252">
        <v>138445</v>
      </c>
      <c r="I9" s="252">
        <v>105840.28</v>
      </c>
      <c r="J9" s="252">
        <v>111515.57000000004</v>
      </c>
      <c r="K9" s="252">
        <v>234806</v>
      </c>
      <c r="L9" s="252">
        <f>'CNG Table C 2016'!$C$15</f>
        <v>234806</v>
      </c>
      <c r="M9" s="252">
        <f>'CNG Table C 2017'!$C$15</f>
        <v>178243</v>
      </c>
      <c r="N9" s="252">
        <f>'CNG Table C 2019'!$C$15</f>
        <v>205966.75</v>
      </c>
      <c r="O9" s="187"/>
      <c r="P9" s="187"/>
      <c r="Q9" s="187"/>
      <c r="S9" s="246"/>
    </row>
    <row r="10" spans="1:19" s="245" customFormat="1" x14ac:dyDescent="0.2">
      <c r="A10" s="244" t="s">
        <v>45</v>
      </c>
      <c r="B10" s="252">
        <v>151163</v>
      </c>
      <c r="C10" s="252">
        <v>26824</v>
      </c>
      <c r="D10" s="252">
        <v>26903</v>
      </c>
      <c r="E10" s="252">
        <v>30859.69</v>
      </c>
      <c r="F10" s="252">
        <v>46419.16</v>
      </c>
      <c r="G10" s="252">
        <v>51348.789999999986</v>
      </c>
      <c r="H10" s="252">
        <v>46286</v>
      </c>
      <c r="I10" s="252">
        <v>0</v>
      </c>
      <c r="J10" s="252">
        <v>0</v>
      </c>
      <c r="K10" s="252">
        <v>10000</v>
      </c>
      <c r="L10" s="252">
        <f>'CNG Table C 2016'!$E$15</f>
        <v>30000</v>
      </c>
      <c r="M10" s="252">
        <f>'CNG Table C 2017'!$E$15</f>
        <v>30000</v>
      </c>
      <c r="N10" s="252">
        <f>'CNG Table C 2019'!$E$15</f>
        <v>53800.4</v>
      </c>
      <c r="O10" s="129"/>
      <c r="P10" s="129"/>
      <c r="Q10" s="129"/>
      <c r="S10" s="246"/>
    </row>
    <row r="11" spans="1:19" s="245" customFormat="1" x14ac:dyDescent="0.2">
      <c r="A11" s="244" t="s">
        <v>19</v>
      </c>
      <c r="B11" s="252">
        <v>2397</v>
      </c>
      <c r="C11" s="252">
        <v>0</v>
      </c>
      <c r="D11" s="252">
        <v>24</v>
      </c>
      <c r="E11" s="252">
        <v>0</v>
      </c>
      <c r="F11" s="252">
        <v>449.57</v>
      </c>
      <c r="G11" s="252">
        <v>61.46</v>
      </c>
      <c r="H11" s="252">
        <v>0</v>
      </c>
      <c r="I11" s="252">
        <v>0</v>
      </c>
      <c r="J11" s="252">
        <v>0</v>
      </c>
      <c r="K11" s="252">
        <v>2500</v>
      </c>
      <c r="L11" s="252">
        <f>'CNG Table C 2016'!$D$15</f>
        <v>2500</v>
      </c>
      <c r="M11" s="252">
        <f>'CNG Table C 2017'!$D$15</f>
        <v>2500</v>
      </c>
      <c r="N11" s="252">
        <f>'CNG Table C 2019'!$D$15</f>
        <v>2500</v>
      </c>
      <c r="O11" s="190"/>
      <c r="P11" s="190"/>
      <c r="Q11" s="190"/>
      <c r="S11" s="246"/>
    </row>
    <row r="12" spans="1:19" s="245" customFormat="1" ht="14.25" x14ac:dyDescent="0.2">
      <c r="A12" s="244" t="s">
        <v>2</v>
      </c>
      <c r="B12" s="252">
        <v>251308</v>
      </c>
      <c r="C12" s="252">
        <v>332058</v>
      </c>
      <c r="D12" s="252">
        <v>340635</v>
      </c>
      <c r="E12" s="252">
        <v>540010</v>
      </c>
      <c r="F12" s="252">
        <v>676913.88</v>
      </c>
      <c r="G12" s="252">
        <v>917791.01000000013</v>
      </c>
      <c r="H12" s="252">
        <v>652619</v>
      </c>
      <c r="I12" s="252">
        <v>793804.78</v>
      </c>
      <c r="J12" s="252">
        <v>2796824.9499999993</v>
      </c>
      <c r="K12" s="257">
        <v>2897064</v>
      </c>
      <c r="L12" s="257">
        <f>'CNG Table C 2016'!$F$15</f>
        <v>3960683</v>
      </c>
      <c r="M12" s="257">
        <f>'CNG Table C 2017'!$F$15</f>
        <v>4053824.2207966596</v>
      </c>
      <c r="N12" s="257">
        <f>'CNG Table C 2019'!$F$15</f>
        <v>3879556.4259320498</v>
      </c>
      <c r="O12" s="947" t="s">
        <v>326</v>
      </c>
      <c r="P12" s="190"/>
      <c r="Q12" s="190"/>
      <c r="S12" s="246"/>
    </row>
    <row r="13" spans="1:19" s="245" customFormat="1" ht="14.25" x14ac:dyDescent="0.2">
      <c r="A13" s="244" t="s">
        <v>14</v>
      </c>
      <c r="B13" s="252">
        <v>3596</v>
      </c>
      <c r="C13" s="252">
        <v>19105</v>
      </c>
      <c r="D13" s="252">
        <v>1751</v>
      </c>
      <c r="E13" s="252">
        <v>1737.97</v>
      </c>
      <c r="F13" s="252">
        <v>6660.37</v>
      </c>
      <c r="G13" s="252">
        <v>5101.869999999999</v>
      </c>
      <c r="H13" s="252">
        <v>356</v>
      </c>
      <c r="I13" s="252">
        <v>3984.21</v>
      </c>
      <c r="J13" s="252">
        <v>749.65</v>
      </c>
      <c r="K13" s="252">
        <v>10000</v>
      </c>
      <c r="L13" s="252">
        <f>'CNG Table C 2016'!$G$15</f>
        <v>10000</v>
      </c>
      <c r="M13" s="252">
        <f>'CNG Table C 2017'!$G$15</f>
        <v>32000</v>
      </c>
      <c r="N13" s="252">
        <f>'CNG Table C 2019'!$G$15</f>
        <v>62000</v>
      </c>
      <c r="O13" s="947" t="s">
        <v>327</v>
      </c>
      <c r="P13" s="190"/>
      <c r="Q13" s="190"/>
      <c r="S13" s="246"/>
    </row>
    <row r="14" spans="1:19" s="245" customFormat="1" ht="15" x14ac:dyDescent="0.35">
      <c r="A14" s="244" t="s">
        <v>46</v>
      </c>
      <c r="B14" s="256">
        <v>1678</v>
      </c>
      <c r="C14" s="256">
        <v>14</v>
      </c>
      <c r="D14" s="256">
        <v>307</v>
      </c>
      <c r="E14" s="256">
        <v>2.29</v>
      </c>
      <c r="F14" s="256">
        <v>25.12</v>
      </c>
      <c r="G14" s="256">
        <v>0</v>
      </c>
      <c r="H14" s="593">
        <v>10</v>
      </c>
      <c r="I14" s="263">
        <v>183.42000000000002</v>
      </c>
      <c r="J14" s="256">
        <v>2882</v>
      </c>
      <c r="K14" s="256">
        <v>2600</v>
      </c>
      <c r="L14" s="256">
        <f>'CNG Table C 2016'!$H$15</f>
        <v>2600</v>
      </c>
      <c r="M14" s="256">
        <f>'CNG Table C 2017'!$H$15</f>
        <v>2600</v>
      </c>
      <c r="N14" s="256">
        <f>'CNG Table C 2019'!$H$15</f>
        <v>2600</v>
      </c>
      <c r="O14" s="190"/>
      <c r="P14" s="190"/>
      <c r="Q14" s="190"/>
      <c r="S14" s="246"/>
    </row>
    <row r="15" spans="1:19" s="245" customFormat="1" x14ac:dyDescent="0.2">
      <c r="A15" s="244" t="s">
        <v>47</v>
      </c>
      <c r="B15" s="252">
        <f t="shared" ref="B15:K15" si="0">SUM(B9:B14)</f>
        <v>443462</v>
      </c>
      <c r="C15" s="257">
        <f t="shared" si="0"/>
        <v>401187</v>
      </c>
      <c r="D15" s="252">
        <f t="shared" si="0"/>
        <v>430859</v>
      </c>
      <c r="E15" s="252">
        <f t="shared" si="0"/>
        <v>665645.46</v>
      </c>
      <c r="F15" s="252">
        <f t="shared" si="0"/>
        <v>805298.72</v>
      </c>
      <c r="G15" s="252">
        <f t="shared" si="0"/>
        <v>1035075.4900000001</v>
      </c>
      <c r="H15" s="252">
        <f t="shared" si="0"/>
        <v>837716</v>
      </c>
      <c r="I15" s="628">
        <f t="shared" si="0"/>
        <v>903812.69000000006</v>
      </c>
      <c r="J15" s="252">
        <f>SUM(J9:J14)</f>
        <v>2911972.169999999</v>
      </c>
      <c r="K15" s="628">
        <f t="shared" si="0"/>
        <v>3156970</v>
      </c>
      <c r="L15" s="628">
        <f>SUM(L9:L14)</f>
        <v>4240589</v>
      </c>
      <c r="M15" s="628">
        <f>SUM(M9:M14)</f>
        <v>4299167.2207966596</v>
      </c>
      <c r="N15" s="628">
        <f>SUM(N9:N14)</f>
        <v>4206423.5759320501</v>
      </c>
      <c r="O15" s="246" t="s">
        <v>201</v>
      </c>
      <c r="Q15" s="191"/>
    </row>
    <row r="16" spans="1:19" s="245" customFormat="1" x14ac:dyDescent="0.2">
      <c r="A16" s="244"/>
      <c r="B16" s="253"/>
      <c r="C16" s="259"/>
      <c r="D16" s="260"/>
      <c r="I16" s="102"/>
      <c r="J16" s="255"/>
      <c r="K16" s="102"/>
      <c r="L16" s="102"/>
      <c r="M16" s="102"/>
      <c r="N16" s="102"/>
      <c r="O16" s="246"/>
      <c r="Q16" s="192"/>
    </row>
    <row r="17" spans="1:18" s="245" customFormat="1" ht="15" x14ac:dyDescent="0.35">
      <c r="A17" s="262"/>
      <c r="C17" s="258"/>
      <c r="D17" s="258"/>
      <c r="E17" s="263"/>
      <c r="I17" s="244"/>
      <c r="K17" s="244"/>
      <c r="L17" s="244"/>
      <c r="M17" s="244"/>
      <c r="N17" s="244"/>
      <c r="O17" s="246"/>
      <c r="Q17" s="182"/>
    </row>
    <row r="18" spans="1:18" s="245" customFormat="1" ht="25.5" x14ac:dyDescent="0.2">
      <c r="A18" s="247" t="s">
        <v>83</v>
      </c>
      <c r="B18" s="264" t="s">
        <v>192</v>
      </c>
      <c r="C18" s="264" t="s">
        <v>176</v>
      </c>
      <c r="D18" s="264" t="s">
        <v>208</v>
      </c>
      <c r="E18" s="264" t="s">
        <v>220</v>
      </c>
      <c r="F18" s="264" t="s">
        <v>258</v>
      </c>
      <c r="G18" s="264" t="s">
        <v>314</v>
      </c>
      <c r="H18" s="264" t="s">
        <v>478</v>
      </c>
      <c r="I18" s="264" t="s">
        <v>562</v>
      </c>
      <c r="J18" s="264" t="s">
        <v>563</v>
      </c>
      <c r="K18" s="264" t="s">
        <v>334</v>
      </c>
      <c r="L18" s="264" t="s">
        <v>564</v>
      </c>
      <c r="M18" s="264" t="s">
        <v>565</v>
      </c>
      <c r="N18" s="264" t="s">
        <v>566</v>
      </c>
      <c r="O18" s="246"/>
      <c r="Q18" s="185"/>
    </row>
    <row r="19" spans="1:18" s="245" customFormat="1" x14ac:dyDescent="0.2">
      <c r="I19" s="505"/>
      <c r="K19" s="244"/>
      <c r="L19" s="244"/>
      <c r="M19" s="244"/>
      <c r="N19" s="244"/>
      <c r="O19" s="246"/>
      <c r="Q19" s="185"/>
    </row>
    <row r="20" spans="1:18" s="245" customFormat="1" x14ac:dyDescent="0.2">
      <c r="A20" s="245" t="s">
        <v>49</v>
      </c>
      <c r="B20" s="266">
        <v>43949</v>
      </c>
      <c r="C20" s="266">
        <v>62141</v>
      </c>
      <c r="D20" s="281">
        <v>66843</v>
      </c>
      <c r="E20" s="282">
        <v>135579</v>
      </c>
      <c r="F20" s="282">
        <v>149137</v>
      </c>
      <c r="G20" s="282">
        <v>210974</v>
      </c>
      <c r="H20" s="282">
        <v>124392</v>
      </c>
      <c r="I20" s="281">
        <v>95499</v>
      </c>
      <c r="J20" s="531">
        <v>422548</v>
      </c>
      <c r="K20" s="2232">
        <v>307883</v>
      </c>
      <c r="L20" s="2232">
        <f>'2016 Summary Table B'!$M$7</f>
        <v>374926.40128642763</v>
      </c>
      <c r="M20" s="2232">
        <f>'2017 Summary Table B'!$M$7</f>
        <v>375811.34933203331</v>
      </c>
      <c r="N20" s="2232" t="e">
        <f>'2019 Summary Table B'!$M$7</f>
        <v>#REF!</v>
      </c>
      <c r="O20" s="246" t="s">
        <v>64</v>
      </c>
      <c r="Q20" s="183"/>
    </row>
    <row r="21" spans="1:18" s="245" customFormat="1" x14ac:dyDescent="0.2">
      <c r="A21" s="245" t="s">
        <v>50</v>
      </c>
      <c r="B21" s="266">
        <v>904811</v>
      </c>
      <c r="C21" s="266">
        <v>961680</v>
      </c>
      <c r="D21" s="281">
        <v>889992</v>
      </c>
      <c r="E21" s="282">
        <v>2160620</v>
      </c>
      <c r="F21" s="282">
        <v>2062386</v>
      </c>
      <c r="G21" s="282">
        <v>2751961</v>
      </c>
      <c r="H21" s="282">
        <v>2500101</v>
      </c>
      <c r="I21" s="281">
        <v>1611520</v>
      </c>
      <c r="J21" s="531">
        <v>8284988</v>
      </c>
      <c r="K21" s="2232">
        <v>6054336</v>
      </c>
      <c r="L21" s="2232">
        <f>'2016 Summary Table B'!$N$7</f>
        <v>7837031.1755982321</v>
      </c>
      <c r="M21" s="2232">
        <f>'2017 Summary Table B'!$N$7</f>
        <v>8055399.0096241124</v>
      </c>
      <c r="N21" s="2232" t="e">
        <f>'2019 Summary Table B'!$N$7</f>
        <v>#REF!</v>
      </c>
      <c r="O21" s="246" t="s">
        <v>10</v>
      </c>
      <c r="Q21" s="182"/>
    </row>
    <row r="22" spans="1:18" s="245" customFormat="1" x14ac:dyDescent="0.2">
      <c r="C22" s="268" t="s">
        <v>3</v>
      </c>
      <c r="D22" s="249"/>
      <c r="E22" s="249"/>
      <c r="F22" s="249"/>
      <c r="G22" s="249"/>
      <c r="H22" s="249"/>
      <c r="I22" s="197"/>
      <c r="J22" s="527"/>
      <c r="K22" s="244"/>
      <c r="L22" s="244"/>
      <c r="M22" s="244"/>
      <c r="N22" s="244"/>
      <c r="O22" s="246"/>
      <c r="Q22" s="182"/>
    </row>
    <row r="23" spans="1:18" s="245" customFormat="1" x14ac:dyDescent="0.2">
      <c r="A23" s="245" t="s">
        <v>51</v>
      </c>
      <c r="B23" s="269">
        <f t="shared" ref="B23:L23" si="1">SUM(B15/B20)</f>
        <v>10.090377482991649</v>
      </c>
      <c r="C23" s="269">
        <f t="shared" si="1"/>
        <v>6.4560756988139874</v>
      </c>
      <c r="D23" s="528">
        <f t="shared" si="1"/>
        <v>6.4458357644031539</v>
      </c>
      <c r="E23" s="528">
        <f t="shared" si="1"/>
        <v>4.9096501670612707</v>
      </c>
      <c r="F23" s="528">
        <f t="shared" si="1"/>
        <v>5.3997245485694361</v>
      </c>
      <c r="G23" s="528">
        <f t="shared" si="1"/>
        <v>4.9061755950970269</v>
      </c>
      <c r="H23" s="528">
        <f t="shared" si="1"/>
        <v>6.7344845327673806</v>
      </c>
      <c r="I23" s="528">
        <f t="shared" si="1"/>
        <v>9.4641063257206888</v>
      </c>
      <c r="J23" s="528">
        <f t="shared" si="1"/>
        <v>6.8914588875110026</v>
      </c>
      <c r="K23" s="269">
        <f t="shared" si="1"/>
        <v>10.253797708869929</v>
      </c>
      <c r="L23" s="269">
        <f t="shared" si="1"/>
        <v>11.310457160258428</v>
      </c>
      <c r="M23" s="269">
        <f>SUM(M15/M20)</f>
        <v>11.439695018359597</v>
      </c>
      <c r="N23" s="269" t="e">
        <f>SUM(N15/N20)</f>
        <v>#REF!</v>
      </c>
      <c r="O23" s="246" t="s">
        <v>65</v>
      </c>
      <c r="Q23" s="244"/>
    </row>
    <row r="24" spans="1:18" s="245" customFormat="1" x14ac:dyDescent="0.2">
      <c r="A24" s="245" t="s">
        <v>52</v>
      </c>
      <c r="B24" s="269">
        <f t="shared" ref="B24:L24" si="2">SUM(B15/B21)</f>
        <v>0.49011561530529579</v>
      </c>
      <c r="C24" s="269">
        <f t="shared" si="2"/>
        <v>0.41717307212378341</v>
      </c>
      <c r="D24" s="528">
        <f t="shared" si="2"/>
        <v>0.48411558755584322</v>
      </c>
      <c r="E24" s="528">
        <f t="shared" si="2"/>
        <v>0.30808076385481942</v>
      </c>
      <c r="F24" s="528">
        <f t="shared" si="2"/>
        <v>0.3904694465536519</v>
      </c>
      <c r="G24" s="528">
        <f t="shared" si="2"/>
        <v>0.37612287746810369</v>
      </c>
      <c r="H24" s="528">
        <f t="shared" si="2"/>
        <v>0.33507286305633255</v>
      </c>
      <c r="I24" s="528">
        <f t="shared" si="2"/>
        <v>0.56084484834193804</v>
      </c>
      <c r="J24" s="528">
        <f t="shared" si="2"/>
        <v>0.35147572573430391</v>
      </c>
      <c r="K24" s="269">
        <f t="shared" si="2"/>
        <v>0.52143951045994141</v>
      </c>
      <c r="L24" s="269">
        <f t="shared" si="2"/>
        <v>0.54109635459964833</v>
      </c>
      <c r="M24" s="269">
        <f>SUM(M15/M21)</f>
        <v>0.53370009550864828</v>
      </c>
      <c r="N24" s="269" t="e">
        <f>SUM(N15/N21)</f>
        <v>#REF!</v>
      </c>
      <c r="O24" s="246" t="s">
        <v>66</v>
      </c>
    </row>
    <row r="25" spans="1:18" s="245" customFormat="1" x14ac:dyDescent="0.2">
      <c r="C25" s="268"/>
      <c r="D25" s="249"/>
      <c r="E25" s="249"/>
      <c r="F25" s="249"/>
      <c r="G25" s="249"/>
      <c r="H25" s="249"/>
      <c r="I25" s="249"/>
      <c r="J25" s="249"/>
      <c r="O25" s="246"/>
    </row>
    <row r="26" spans="1:18" s="245" customFormat="1" x14ac:dyDescent="0.2">
      <c r="A26" s="245" t="s">
        <v>84</v>
      </c>
      <c r="B26" s="252">
        <v>638367</v>
      </c>
      <c r="C26" s="257">
        <f>772348/1042922*961680</f>
        <v>712183.29332394945</v>
      </c>
      <c r="D26" s="282">
        <v>912488</v>
      </c>
      <c r="E26" s="558">
        <v>2092912.1781139455</v>
      </c>
      <c r="F26" s="558">
        <v>2305058.0619370127</v>
      </c>
      <c r="G26" s="558">
        <v>2515222.8800835474</v>
      </c>
      <c r="H26" s="558">
        <f>+H21/2025706*1050153</f>
        <v>1296085.6933103816</v>
      </c>
      <c r="I26" s="257">
        <v>880439</v>
      </c>
      <c r="J26" s="257">
        <v>6643571</v>
      </c>
      <c r="K26" s="257">
        <v>5476004</v>
      </c>
      <c r="L26" s="257">
        <f>'2016 Summary Table B'!$F$7</f>
        <v>5073109.4628881579</v>
      </c>
      <c r="M26" s="257">
        <f>'2017 Summary Table B'!$F$7</f>
        <v>4909134.7115035793</v>
      </c>
      <c r="N26" s="257" t="e">
        <f>'2019 Summary Table B'!$F$7</f>
        <v>#REF!</v>
      </c>
      <c r="O26" s="246" t="s">
        <v>67</v>
      </c>
    </row>
    <row r="27" spans="1:18" s="245" customFormat="1" x14ac:dyDescent="0.2">
      <c r="A27" s="245" t="s">
        <v>85</v>
      </c>
      <c r="B27" s="271">
        <f t="shared" ref="B27:L27" si="3">SUM(B26/B15)</f>
        <v>1.439507781952005</v>
      </c>
      <c r="C27" s="271">
        <f t="shared" si="3"/>
        <v>1.7751903559286553</v>
      </c>
      <c r="D27" s="271">
        <f t="shared" si="3"/>
        <v>2.1178343727298259</v>
      </c>
      <c r="E27" s="271">
        <f t="shared" si="3"/>
        <v>3.1441845605225724</v>
      </c>
      <c r="F27" s="271">
        <f t="shared" si="3"/>
        <v>2.8623639957319349</v>
      </c>
      <c r="G27" s="271">
        <f t="shared" si="3"/>
        <v>2.4299897972500029</v>
      </c>
      <c r="H27" s="271">
        <f t="shared" si="3"/>
        <v>1.5471659766679657</v>
      </c>
      <c r="I27" s="529">
        <f t="shared" si="3"/>
        <v>0.97413878975299617</v>
      </c>
      <c r="J27" s="529">
        <f t="shared" si="3"/>
        <v>2.2814678891659881</v>
      </c>
      <c r="K27" s="271">
        <f t="shared" si="3"/>
        <v>1.7345758749687199</v>
      </c>
      <c r="L27" s="271">
        <f t="shared" si="3"/>
        <v>1.1963218937011246</v>
      </c>
      <c r="M27" s="271">
        <f>SUM(M26/M15)</f>
        <v>1.1418803827300044</v>
      </c>
      <c r="N27" s="271" t="e">
        <f>SUM(N26/N15)</f>
        <v>#REF!</v>
      </c>
      <c r="O27" s="246" t="s">
        <v>68</v>
      </c>
      <c r="Q27" s="182"/>
      <c r="R27" s="244"/>
    </row>
    <row r="28" spans="1:18" s="245" customFormat="1" x14ac:dyDescent="0.2">
      <c r="A28" s="245" t="s">
        <v>63</v>
      </c>
      <c r="B28" s="245">
        <v>582</v>
      </c>
      <c r="C28" s="267">
        <v>531</v>
      </c>
      <c r="D28" s="281">
        <v>963</v>
      </c>
      <c r="E28" s="282">
        <v>1492</v>
      </c>
      <c r="F28" s="282">
        <v>1428</v>
      </c>
      <c r="G28" s="282">
        <v>1720</v>
      </c>
      <c r="H28" s="282">
        <v>1112</v>
      </c>
      <c r="I28" s="281">
        <v>800</v>
      </c>
      <c r="J28" s="534">
        <v>3766</v>
      </c>
      <c r="K28" s="2232">
        <v>4917</v>
      </c>
      <c r="L28" s="2232">
        <f>'2016 Summary Table B'!$K$7</f>
        <v>5061.7014835034597</v>
      </c>
      <c r="M28" s="2232">
        <f>'2017 Summary Table B'!$K$7</f>
        <v>4433.1048366249788</v>
      </c>
      <c r="N28" s="2232" t="e">
        <f>'2019 Summary Table B'!$K$7</f>
        <v>#REF!</v>
      </c>
      <c r="O28" s="246" t="s">
        <v>69</v>
      </c>
      <c r="Q28" s="183"/>
      <c r="R28" s="244"/>
    </row>
    <row r="29" spans="1:18" s="245" customFormat="1" x14ac:dyDescent="0.2">
      <c r="A29" s="245" t="s">
        <v>74</v>
      </c>
      <c r="B29" s="266">
        <f t="shared" ref="B29:L29" si="4">SUM(B21/B28)</f>
        <v>1554.6580756013745</v>
      </c>
      <c r="C29" s="266">
        <f t="shared" si="4"/>
        <v>1811.0734463276835</v>
      </c>
      <c r="D29" s="282">
        <f t="shared" si="4"/>
        <v>924.18691588785043</v>
      </c>
      <c r="E29" s="282">
        <f t="shared" si="4"/>
        <v>1448.1367292225202</v>
      </c>
      <c r="F29" s="282">
        <f t="shared" si="4"/>
        <v>1444.2478991596638</v>
      </c>
      <c r="G29" s="282">
        <f t="shared" si="4"/>
        <v>1599.9773255813955</v>
      </c>
      <c r="H29" s="282">
        <f t="shared" si="4"/>
        <v>2248.2922661870502</v>
      </c>
      <c r="I29" s="282">
        <f t="shared" si="4"/>
        <v>2014.4</v>
      </c>
      <c r="J29" s="282">
        <f>SUM(J21/J28)</f>
        <v>2199.94370685077</v>
      </c>
      <c r="K29" s="266">
        <f t="shared" si="4"/>
        <v>1231.3068944478341</v>
      </c>
      <c r="L29" s="266">
        <f t="shared" si="4"/>
        <v>1548.2997567398672</v>
      </c>
      <c r="M29" s="266">
        <f>SUM(M21/M28)</f>
        <v>1817.1009498969727</v>
      </c>
      <c r="N29" s="266" t="e">
        <f>SUM(N21/N28)</f>
        <v>#REF!</v>
      </c>
      <c r="O29" s="246" t="s">
        <v>70</v>
      </c>
      <c r="Q29" s="183"/>
      <c r="R29" s="244"/>
    </row>
    <row r="30" spans="1:18" s="245" customFormat="1" x14ac:dyDescent="0.2">
      <c r="A30" s="245" t="s">
        <v>71</v>
      </c>
      <c r="B30" s="257">
        <f t="shared" ref="B30:L30" si="5">SUM(B15/B28)</f>
        <v>761.9621993127148</v>
      </c>
      <c r="C30" s="257">
        <f t="shared" si="5"/>
        <v>755.5310734463277</v>
      </c>
      <c r="D30" s="530">
        <f t="shared" si="5"/>
        <v>447.41329179646937</v>
      </c>
      <c r="E30" s="530">
        <f t="shared" si="5"/>
        <v>446.14306970509381</v>
      </c>
      <c r="F30" s="530">
        <f t="shared" si="5"/>
        <v>563.93467787114844</v>
      </c>
      <c r="G30" s="530">
        <f t="shared" si="5"/>
        <v>601.78807558139545</v>
      </c>
      <c r="H30" s="530">
        <f t="shared" si="5"/>
        <v>753.34172661870502</v>
      </c>
      <c r="I30" s="530">
        <f t="shared" si="5"/>
        <v>1129.7658625000001</v>
      </c>
      <c r="J30" s="530">
        <f t="shared" si="5"/>
        <v>773.22681093998915</v>
      </c>
      <c r="K30" s="257">
        <f t="shared" si="5"/>
        <v>642.05206426682935</v>
      </c>
      <c r="L30" s="257">
        <f t="shared" si="5"/>
        <v>837.77935419946448</v>
      </c>
      <c r="M30" s="257">
        <f>SUM(M15/M28)</f>
        <v>969.78695050886984</v>
      </c>
      <c r="N30" s="257" t="e">
        <f>SUM(N15/N28)</f>
        <v>#REF!</v>
      </c>
      <c r="O30" s="246" t="s">
        <v>72</v>
      </c>
      <c r="Q30" s="184"/>
      <c r="R30" s="244"/>
    </row>
    <row r="31" spans="1:18" s="245" customFormat="1" x14ac:dyDescent="0.2">
      <c r="A31" s="245" t="s">
        <v>62</v>
      </c>
      <c r="B31" s="257">
        <f t="shared" ref="B31:L31" si="6">SUM(B26/B28)</f>
        <v>1096.8505154639174</v>
      </c>
      <c r="C31" s="257">
        <f t="shared" si="6"/>
        <v>1341.2114751863455</v>
      </c>
      <c r="D31" s="530">
        <f t="shared" si="6"/>
        <v>947.54724818276225</v>
      </c>
      <c r="E31" s="530">
        <f t="shared" si="6"/>
        <v>1402.7561515509019</v>
      </c>
      <c r="F31" s="530">
        <f t="shared" si="6"/>
        <v>1614.1863178830622</v>
      </c>
      <c r="G31" s="530">
        <f t="shared" si="6"/>
        <v>1462.3388837695043</v>
      </c>
      <c r="H31" s="530">
        <f t="shared" si="6"/>
        <v>1165.5446882287604</v>
      </c>
      <c r="I31" s="530">
        <f t="shared" si="6"/>
        <v>1100.5487499999999</v>
      </c>
      <c r="J31" s="530">
        <f t="shared" si="6"/>
        <v>1764.0921402018057</v>
      </c>
      <c r="K31" s="257">
        <f t="shared" si="6"/>
        <v>1113.6880211511084</v>
      </c>
      <c r="L31" s="257">
        <f t="shared" si="6"/>
        <v>1002.2537835196085</v>
      </c>
      <c r="M31" s="257">
        <f>SUM(M26/M28)</f>
        <v>1107.3806942136321</v>
      </c>
      <c r="N31" s="257" t="e">
        <f>SUM(N26/N28)</f>
        <v>#REF!</v>
      </c>
      <c r="O31" s="246" t="s">
        <v>73</v>
      </c>
      <c r="Q31" s="182"/>
      <c r="R31" s="244"/>
    </row>
    <row r="32" spans="1:18" s="245" customFormat="1" ht="14.25" x14ac:dyDescent="0.2">
      <c r="A32" s="704" t="s">
        <v>324</v>
      </c>
      <c r="B32" s="945">
        <f t="shared" ref="B32:L32" si="7">B12/B21</f>
        <v>0.2777464022873285</v>
      </c>
      <c r="C32" s="945">
        <f t="shared" si="7"/>
        <v>0.3452894933865735</v>
      </c>
      <c r="D32" s="945">
        <f t="shared" si="7"/>
        <v>0.38273939541029584</v>
      </c>
      <c r="E32" s="945">
        <f t="shared" si="7"/>
        <v>0.24993288963353111</v>
      </c>
      <c r="F32" s="945">
        <f t="shared" si="7"/>
        <v>0.32821881063971536</v>
      </c>
      <c r="G32" s="945">
        <f t="shared" si="7"/>
        <v>0.3335043665226361</v>
      </c>
      <c r="H32" s="945">
        <f t="shared" si="7"/>
        <v>0.26103705410301425</v>
      </c>
      <c r="I32" s="945">
        <f t="shared" si="7"/>
        <v>0.49258140140984913</v>
      </c>
      <c r="J32" s="945">
        <f t="shared" si="7"/>
        <v>0.33757742920086298</v>
      </c>
      <c r="K32" s="945">
        <f t="shared" si="7"/>
        <v>0.47851060793454475</v>
      </c>
      <c r="L32" s="945">
        <f t="shared" si="7"/>
        <v>0.50538053393639404</v>
      </c>
      <c r="M32" s="945">
        <f>M12/M21</f>
        <v>0.50324313121589526</v>
      </c>
      <c r="N32" s="945" t="e">
        <f>N12/N21</f>
        <v>#REF!</v>
      </c>
      <c r="O32" s="557" t="s">
        <v>328</v>
      </c>
      <c r="P32" s="185"/>
      <c r="Q32" s="185"/>
      <c r="R32" s="244"/>
    </row>
    <row r="33" spans="1:19" s="245" customFormat="1" ht="14.25" x14ac:dyDescent="0.2">
      <c r="A33" s="704" t="s">
        <v>325</v>
      </c>
      <c r="B33" s="946">
        <f t="shared" ref="B33:L33" si="8">B13/B21</f>
        <v>3.9743106571427621E-3</v>
      </c>
      <c r="C33" s="946">
        <f t="shared" si="8"/>
        <v>1.9866275684219285E-2</v>
      </c>
      <c r="D33" s="946">
        <f t="shared" si="8"/>
        <v>1.9674334151318215E-3</v>
      </c>
      <c r="E33" s="946">
        <f t="shared" si="8"/>
        <v>8.0438485249604284E-4</v>
      </c>
      <c r="F33" s="946">
        <f t="shared" si="8"/>
        <v>3.2294488034732586E-3</v>
      </c>
      <c r="G33" s="946">
        <f t="shared" si="8"/>
        <v>1.8539034528468968E-3</v>
      </c>
      <c r="H33" s="946">
        <f t="shared" si="8"/>
        <v>1.4239424727241018E-4</v>
      </c>
      <c r="I33" s="946">
        <f t="shared" si="8"/>
        <v>2.4723304706115966E-3</v>
      </c>
      <c r="J33" s="2231">
        <f t="shared" si="8"/>
        <v>9.0482931296943336E-5</v>
      </c>
      <c r="K33" s="946">
        <f t="shared" si="8"/>
        <v>1.651708791847694E-3</v>
      </c>
      <c r="L33" s="946">
        <f t="shared" si="8"/>
        <v>1.275993392898129E-3</v>
      </c>
      <c r="M33" s="946">
        <f>M13/M21</f>
        <v>3.9724909916651306E-3</v>
      </c>
      <c r="N33" s="946" t="e">
        <f>N13/N21</f>
        <v>#REF!</v>
      </c>
      <c r="O33" s="557" t="s">
        <v>329</v>
      </c>
      <c r="P33" s="185"/>
      <c r="Q33" s="185"/>
      <c r="R33" s="244"/>
    </row>
    <row r="34" spans="1:19" s="245" customFormat="1" x14ac:dyDescent="0.2">
      <c r="A34" s="247"/>
      <c r="B34" s="265"/>
      <c r="C34" s="250"/>
      <c r="D34" s="250"/>
      <c r="I34" s="246"/>
      <c r="K34" s="246"/>
      <c r="L34" s="246"/>
      <c r="M34" s="246"/>
      <c r="N34" s="246"/>
      <c r="O34" s="185"/>
      <c r="P34" s="182"/>
      <c r="Q34" s="182"/>
      <c r="R34" s="182"/>
      <c r="S34" s="244"/>
    </row>
    <row r="35" spans="1:19" s="245" customFormat="1" x14ac:dyDescent="0.2">
      <c r="A35" s="248" t="s">
        <v>194</v>
      </c>
      <c r="B35" s="270"/>
      <c r="C35" s="244"/>
      <c r="H35" s="276" t="s">
        <v>191</v>
      </c>
      <c r="I35" s="276"/>
      <c r="J35" s="276"/>
      <c r="L35" s="246"/>
      <c r="M35" s="246"/>
      <c r="N35" s="246"/>
      <c r="O35" s="185"/>
      <c r="P35" s="182"/>
      <c r="Q35" s="182"/>
      <c r="R35" s="182"/>
      <c r="S35" s="244"/>
    </row>
    <row r="36" spans="1:19" s="245" customFormat="1" x14ac:dyDescent="0.2">
      <c r="A36" s="273" t="s">
        <v>185</v>
      </c>
      <c r="B36" s="250" t="s">
        <v>1</v>
      </c>
      <c r="C36" s="250" t="s">
        <v>186</v>
      </c>
      <c r="D36" s="250" t="s">
        <v>18</v>
      </c>
      <c r="H36" s="273" t="s">
        <v>185</v>
      </c>
      <c r="I36" s="250" t="s">
        <v>188</v>
      </c>
      <c r="J36" s="250" t="s">
        <v>186</v>
      </c>
      <c r="K36" s="250" t="s">
        <v>189</v>
      </c>
      <c r="L36" s="246"/>
      <c r="M36" s="246"/>
      <c r="N36" s="246"/>
    </row>
    <row r="37" spans="1:19" s="245" customFormat="1" x14ac:dyDescent="0.2">
      <c r="A37" s="273">
        <v>2006</v>
      </c>
      <c r="B37" s="274">
        <v>265000</v>
      </c>
      <c r="C37" s="274">
        <f>B15</f>
        <v>443462</v>
      </c>
      <c r="D37" s="275">
        <f t="shared" ref="D37:D45" si="9">IF(ISERROR(C37/B37),"-",(C37/B37))</f>
        <v>1.6734415094339623</v>
      </c>
      <c r="H37" s="273">
        <v>2006</v>
      </c>
      <c r="I37" s="278">
        <v>38869</v>
      </c>
      <c r="J37" s="278">
        <v>43949</v>
      </c>
      <c r="K37" s="275">
        <f t="shared" ref="K37:K45" si="10">IF(ISERROR(J37/I37),"-",(J37/I37))</f>
        <v>1.1306954127968303</v>
      </c>
      <c r="L37" s="246"/>
      <c r="M37" s="246"/>
      <c r="N37" s="246"/>
    </row>
    <row r="38" spans="1:19" s="245" customFormat="1" x14ac:dyDescent="0.2">
      <c r="A38" s="273">
        <v>2007</v>
      </c>
      <c r="B38" s="274">
        <v>370000</v>
      </c>
      <c r="C38" s="274">
        <f>C15</f>
        <v>401187</v>
      </c>
      <c r="D38" s="275">
        <f t="shared" si="9"/>
        <v>1.0842891891891893</v>
      </c>
      <c r="H38" s="273">
        <v>2007</v>
      </c>
      <c r="I38" s="278">
        <v>52146</v>
      </c>
      <c r="J38" s="278">
        <f>C20</f>
        <v>62141</v>
      </c>
      <c r="K38" s="275">
        <f t="shared" si="10"/>
        <v>1.1916733785908795</v>
      </c>
      <c r="L38" s="246"/>
      <c r="M38" s="246"/>
      <c r="N38" s="246"/>
    </row>
    <row r="39" spans="1:19" s="245" customFormat="1" x14ac:dyDescent="0.2">
      <c r="A39" s="273">
        <v>2008</v>
      </c>
      <c r="B39" s="274">
        <v>385000</v>
      </c>
      <c r="C39" s="274">
        <f>D15</f>
        <v>430859</v>
      </c>
      <c r="D39" s="275">
        <f t="shared" si="9"/>
        <v>1.1191142857142857</v>
      </c>
      <c r="H39" s="273">
        <v>2008</v>
      </c>
      <c r="I39" s="278">
        <v>69003</v>
      </c>
      <c r="J39" s="278">
        <f>D20</f>
        <v>66843</v>
      </c>
      <c r="K39" s="275">
        <f t="shared" si="10"/>
        <v>0.96869701317334034</v>
      </c>
      <c r="L39" s="246"/>
      <c r="M39" s="246"/>
      <c r="N39" s="246"/>
    </row>
    <row r="40" spans="1:19" s="245" customFormat="1" x14ac:dyDescent="0.2">
      <c r="A40" s="273">
        <v>2009</v>
      </c>
      <c r="B40" s="274">
        <v>570000</v>
      </c>
      <c r="C40" s="274">
        <v>665645</v>
      </c>
      <c r="D40" s="275">
        <f t="shared" si="9"/>
        <v>1.167798245614035</v>
      </c>
      <c r="H40" s="273">
        <v>2009</v>
      </c>
      <c r="I40" s="543">
        <v>74514</v>
      </c>
      <c r="J40" s="278">
        <v>135579</v>
      </c>
      <c r="K40" s="275">
        <f t="shared" si="10"/>
        <v>1.819510427570658</v>
      </c>
      <c r="L40" s="246"/>
      <c r="M40" s="246"/>
      <c r="N40" s="246"/>
    </row>
    <row r="41" spans="1:19" s="245" customFormat="1" x14ac:dyDescent="0.2">
      <c r="A41" s="273">
        <v>2010</v>
      </c>
      <c r="B41" s="274">
        <v>699867</v>
      </c>
      <c r="C41" s="274">
        <v>805298.72</v>
      </c>
      <c r="D41" s="275">
        <f t="shared" si="9"/>
        <v>1.1506453654765834</v>
      </c>
      <c r="H41" s="273">
        <v>2010</v>
      </c>
      <c r="I41" s="543">
        <v>105666</v>
      </c>
      <c r="J41" s="278">
        <v>149137</v>
      </c>
      <c r="K41" s="275">
        <f t="shared" si="10"/>
        <v>1.4114000719247439</v>
      </c>
      <c r="L41" s="246"/>
      <c r="M41" s="246"/>
      <c r="N41" s="246"/>
    </row>
    <row r="42" spans="1:19" s="245" customFormat="1" x14ac:dyDescent="0.2">
      <c r="A42" s="273">
        <v>2011</v>
      </c>
      <c r="B42" s="274">
        <v>825771.86</v>
      </c>
      <c r="C42" s="274">
        <v>1035075.4900000001</v>
      </c>
      <c r="D42" s="275">
        <f t="shared" si="9"/>
        <v>1.2534642316341467</v>
      </c>
      <c r="H42" s="273">
        <v>2011</v>
      </c>
      <c r="I42" s="543">
        <v>134146</v>
      </c>
      <c r="J42" s="278">
        <v>210974</v>
      </c>
      <c r="K42" s="275">
        <f t="shared" si="10"/>
        <v>1.5727192760127027</v>
      </c>
      <c r="L42" s="246"/>
      <c r="M42" s="246"/>
      <c r="N42" s="246"/>
    </row>
    <row r="43" spans="1:19" s="245" customFormat="1" x14ac:dyDescent="0.2">
      <c r="A43" s="273">
        <v>2012</v>
      </c>
      <c r="B43" s="274">
        <v>1025772</v>
      </c>
      <c r="C43" s="274">
        <f>+H15</f>
        <v>837716</v>
      </c>
      <c r="D43" s="275">
        <f t="shared" si="9"/>
        <v>0.81666881139278513</v>
      </c>
      <c r="H43" s="273">
        <v>2012</v>
      </c>
      <c r="I43" s="543">
        <v>113054</v>
      </c>
      <c r="J43" s="278">
        <f>+H20</f>
        <v>124392</v>
      </c>
      <c r="K43" s="275">
        <f t="shared" si="10"/>
        <v>1.1002883577759301</v>
      </c>
      <c r="L43" s="246"/>
      <c r="M43" s="246"/>
      <c r="N43" s="246"/>
    </row>
    <row r="44" spans="1:19" s="245" customFormat="1" x14ac:dyDescent="0.2">
      <c r="A44" s="273">
        <v>2013</v>
      </c>
      <c r="B44" s="274">
        <v>1686570</v>
      </c>
      <c r="C44" s="274">
        <v>903813</v>
      </c>
      <c r="D44" s="275">
        <f t="shared" si="9"/>
        <v>0.53588822284281112</v>
      </c>
      <c r="H44" s="273">
        <v>2013</v>
      </c>
      <c r="I44" s="278">
        <v>213531</v>
      </c>
      <c r="J44" s="278">
        <v>95499</v>
      </c>
      <c r="K44" s="275">
        <f t="shared" si="10"/>
        <v>0.44723716931031093</v>
      </c>
      <c r="L44" s="246"/>
      <c r="M44" s="246"/>
      <c r="N44" s="246"/>
    </row>
    <row r="45" spans="1:19" s="245" customFormat="1" x14ac:dyDescent="0.2">
      <c r="A45" s="273">
        <v>2014</v>
      </c>
      <c r="B45" s="274">
        <v>2744857</v>
      </c>
      <c r="C45" s="274">
        <v>2911972</v>
      </c>
      <c r="D45" s="275">
        <f t="shared" si="9"/>
        <v>1.0608829531010175</v>
      </c>
      <c r="H45" s="273">
        <v>2014</v>
      </c>
      <c r="I45" s="278">
        <v>341437</v>
      </c>
      <c r="J45" s="278">
        <v>422548</v>
      </c>
      <c r="K45" s="275">
        <f t="shared" si="10"/>
        <v>1.2375577339304176</v>
      </c>
      <c r="L45" s="246"/>
      <c r="M45" s="246"/>
      <c r="N45" s="246"/>
    </row>
    <row r="46" spans="1:19" s="245" customFormat="1" x14ac:dyDescent="0.2">
      <c r="A46" s="273">
        <v>2015</v>
      </c>
      <c r="B46" s="274">
        <f>K15</f>
        <v>3156970</v>
      </c>
      <c r="C46" s="274"/>
      <c r="D46" s="275"/>
      <c r="H46" s="273">
        <v>2015</v>
      </c>
      <c r="I46" s="278">
        <f>K20</f>
        <v>307883</v>
      </c>
      <c r="J46" s="278"/>
      <c r="K46" s="275"/>
      <c r="L46" s="246"/>
      <c r="M46" s="246"/>
      <c r="N46" s="246"/>
    </row>
    <row r="47" spans="1:19" s="245" customFormat="1" x14ac:dyDescent="0.2">
      <c r="A47" s="273">
        <v>2016</v>
      </c>
      <c r="B47" s="274">
        <f>L15</f>
        <v>4240589</v>
      </c>
      <c r="C47" s="274"/>
      <c r="D47" s="275"/>
      <c r="H47" s="273">
        <v>2016</v>
      </c>
      <c r="I47" s="278">
        <f>L20</f>
        <v>374926.40128642763</v>
      </c>
      <c r="J47" s="278"/>
      <c r="K47" s="275"/>
      <c r="L47" s="246"/>
      <c r="M47" s="246"/>
      <c r="N47" s="246"/>
    </row>
    <row r="48" spans="1:19" s="245" customFormat="1" x14ac:dyDescent="0.2">
      <c r="A48" s="273">
        <v>2017</v>
      </c>
      <c r="B48" s="274">
        <f>M15</f>
        <v>4299167.2207966596</v>
      </c>
      <c r="C48" s="274"/>
      <c r="D48" s="275"/>
      <c r="H48" s="273">
        <v>2017</v>
      </c>
      <c r="I48" s="278">
        <f>M20</f>
        <v>375811.34933203331</v>
      </c>
      <c r="J48" s="278"/>
      <c r="K48" s="275"/>
      <c r="L48" s="246"/>
      <c r="M48" s="246"/>
      <c r="N48" s="246"/>
    </row>
    <row r="49" spans="1:14" s="245" customFormat="1" x14ac:dyDescent="0.2">
      <c r="A49" s="273">
        <v>2018</v>
      </c>
      <c r="B49" s="274">
        <f>N15</f>
        <v>4206423.5759320501</v>
      </c>
      <c r="C49" s="274"/>
      <c r="D49" s="275"/>
      <c r="H49" s="273">
        <v>2018</v>
      </c>
      <c r="I49" s="278" t="e">
        <f>N20</f>
        <v>#REF!</v>
      </c>
      <c r="J49" s="278"/>
      <c r="K49" s="275"/>
      <c r="L49" s="246"/>
      <c r="M49" s="246"/>
      <c r="N49" s="246"/>
    </row>
    <row r="50" spans="1:14" s="245" customFormat="1" x14ac:dyDescent="0.2">
      <c r="A50" s="273"/>
      <c r="B50" s="274"/>
      <c r="C50" s="274"/>
      <c r="D50" s="275"/>
      <c r="H50" s="273"/>
      <c r="I50" s="279"/>
      <c r="J50" s="279"/>
      <c r="K50" s="279"/>
      <c r="L50" s="246"/>
      <c r="M50" s="246"/>
      <c r="N50" s="246"/>
    </row>
    <row r="51" spans="1:14" s="245" customFormat="1" x14ac:dyDescent="0.2">
      <c r="A51" s="276" t="s">
        <v>193</v>
      </c>
      <c r="B51" s="277"/>
      <c r="C51" s="277"/>
      <c r="D51" s="244"/>
      <c r="H51" s="276" t="s">
        <v>190</v>
      </c>
      <c r="I51" s="276"/>
      <c r="J51" s="276"/>
      <c r="K51" s="276"/>
      <c r="L51" s="246"/>
      <c r="M51" s="246"/>
      <c r="N51" s="246"/>
    </row>
    <row r="52" spans="1:14" s="245" customFormat="1" x14ac:dyDescent="0.2">
      <c r="A52" s="273" t="s">
        <v>185</v>
      </c>
      <c r="B52" s="250" t="s">
        <v>188</v>
      </c>
      <c r="C52" s="250" t="s">
        <v>186</v>
      </c>
      <c r="D52" s="250" t="s">
        <v>189</v>
      </c>
      <c r="H52" s="273" t="s">
        <v>185</v>
      </c>
      <c r="I52" s="250" t="s">
        <v>188</v>
      </c>
      <c r="J52" s="250" t="s">
        <v>186</v>
      </c>
      <c r="K52" s="250" t="s">
        <v>189</v>
      </c>
      <c r="L52" s="246"/>
      <c r="M52" s="246"/>
      <c r="N52" s="246"/>
    </row>
    <row r="53" spans="1:14" s="245" customFormat="1" x14ac:dyDescent="0.2">
      <c r="A53" s="273">
        <v>2006</v>
      </c>
      <c r="B53" s="278">
        <v>333</v>
      </c>
      <c r="C53" s="278">
        <v>582</v>
      </c>
      <c r="D53" s="275">
        <f t="shared" ref="D53:D61" si="11">IF(ISERROR(C53/B53),"-",(C53/B53))</f>
        <v>1.7477477477477477</v>
      </c>
      <c r="H53" s="273">
        <v>2006</v>
      </c>
      <c r="I53" s="278">
        <v>632949</v>
      </c>
      <c r="J53" s="278">
        <v>904811</v>
      </c>
      <c r="K53" s="275">
        <f t="shared" ref="K53:K61" si="12">IF(ISERROR(J53/I53),"-",(J53/I53))</f>
        <v>1.4295164381332461</v>
      </c>
      <c r="L53" s="246"/>
      <c r="M53" s="246"/>
      <c r="N53" s="246"/>
    </row>
    <row r="54" spans="1:14" s="245" customFormat="1" x14ac:dyDescent="0.2">
      <c r="A54" s="273">
        <v>2007</v>
      </c>
      <c r="B54" s="278">
        <v>610</v>
      </c>
      <c r="C54" s="278">
        <f>C28</f>
        <v>531</v>
      </c>
      <c r="D54" s="275">
        <f t="shared" si="11"/>
        <v>0.87049180327868847</v>
      </c>
      <c r="H54" s="273">
        <v>2007</v>
      </c>
      <c r="I54" s="278">
        <v>1042922</v>
      </c>
      <c r="J54" s="278">
        <f>C21</f>
        <v>961680</v>
      </c>
      <c r="K54" s="275">
        <f t="shared" si="12"/>
        <v>0.9221015569716623</v>
      </c>
      <c r="L54" s="246"/>
      <c r="M54" s="246"/>
      <c r="N54" s="246"/>
    </row>
    <row r="55" spans="1:14" s="245" customFormat="1" x14ac:dyDescent="0.2">
      <c r="A55" s="273">
        <v>2008</v>
      </c>
      <c r="B55" s="278">
        <v>1132</v>
      </c>
      <c r="C55" s="278">
        <v>963</v>
      </c>
      <c r="D55" s="275">
        <f t="shared" si="11"/>
        <v>0.85070671378091878</v>
      </c>
      <c r="H55" s="273">
        <v>2008</v>
      </c>
      <c r="I55" s="278">
        <v>897042</v>
      </c>
      <c r="J55" s="278">
        <v>889992</v>
      </c>
      <c r="K55" s="275">
        <f t="shared" si="12"/>
        <v>0.99214083621502669</v>
      </c>
      <c r="L55" s="246"/>
      <c r="M55" s="246"/>
      <c r="N55" s="246"/>
    </row>
    <row r="56" spans="1:14" s="245" customFormat="1" x14ac:dyDescent="0.2">
      <c r="A56" s="273">
        <v>2009</v>
      </c>
      <c r="B56" s="278">
        <v>1185</v>
      </c>
      <c r="C56" s="278">
        <v>1492</v>
      </c>
      <c r="D56" s="275">
        <f t="shared" si="11"/>
        <v>1.2590717299578058</v>
      </c>
      <c r="H56" s="273">
        <v>2009</v>
      </c>
      <c r="I56" s="278">
        <v>1142515</v>
      </c>
      <c r="J56" s="278">
        <v>2160620</v>
      </c>
      <c r="K56" s="275">
        <f t="shared" si="12"/>
        <v>1.8911086506522889</v>
      </c>
      <c r="L56" s="246"/>
      <c r="M56" s="246"/>
      <c r="N56" s="246"/>
    </row>
    <row r="57" spans="1:14" s="245" customFormat="1" x14ac:dyDescent="0.2">
      <c r="A57" s="273">
        <v>2010</v>
      </c>
      <c r="B57" s="278">
        <v>852</v>
      </c>
      <c r="C57" s="278">
        <v>1428</v>
      </c>
      <c r="D57" s="275">
        <f t="shared" si="11"/>
        <v>1.676056338028169</v>
      </c>
      <c r="H57" s="273">
        <v>2010</v>
      </c>
      <c r="I57" s="278">
        <v>1885367</v>
      </c>
      <c r="J57" s="278">
        <v>2062386</v>
      </c>
      <c r="K57" s="275">
        <f t="shared" si="12"/>
        <v>1.0938910037143963</v>
      </c>
      <c r="L57" s="246"/>
      <c r="M57" s="246"/>
      <c r="N57" s="246"/>
    </row>
    <row r="58" spans="1:14" s="245" customFormat="1" x14ac:dyDescent="0.2">
      <c r="A58" s="273">
        <v>2011</v>
      </c>
      <c r="B58" s="278">
        <v>1235</v>
      </c>
      <c r="C58" s="278">
        <v>1720</v>
      </c>
      <c r="D58" s="275">
        <f t="shared" si="11"/>
        <v>1.3927125506072875</v>
      </c>
      <c r="H58" s="273">
        <v>2011</v>
      </c>
      <c r="I58" s="278">
        <v>2180736</v>
      </c>
      <c r="J58" s="278">
        <v>2751961</v>
      </c>
      <c r="K58" s="275">
        <f t="shared" si="12"/>
        <v>1.2619413812584375</v>
      </c>
      <c r="L58" s="246"/>
      <c r="M58" s="246"/>
      <c r="N58" s="246"/>
    </row>
    <row r="59" spans="1:14" s="245" customFormat="1" x14ac:dyDescent="0.2">
      <c r="A59" s="273">
        <v>2012</v>
      </c>
      <c r="B59" s="278">
        <v>1661</v>
      </c>
      <c r="C59" s="278">
        <f>+H28</f>
        <v>1112</v>
      </c>
      <c r="D59" s="275">
        <f t="shared" si="11"/>
        <v>0.66947621914509337</v>
      </c>
      <c r="H59" s="273">
        <v>2012</v>
      </c>
      <c r="I59" s="543">
        <v>2025706</v>
      </c>
      <c r="J59" s="278">
        <f>+H21</f>
        <v>2500101</v>
      </c>
      <c r="K59" s="275">
        <f t="shared" si="12"/>
        <v>1.2341874882139856</v>
      </c>
      <c r="L59" s="246"/>
      <c r="M59" s="246"/>
      <c r="N59" s="246"/>
    </row>
    <row r="60" spans="1:14" s="245" customFormat="1" x14ac:dyDescent="0.2">
      <c r="A60" s="273">
        <v>2013</v>
      </c>
      <c r="B60" s="278">
        <v>2660</v>
      </c>
      <c r="C60" s="278">
        <v>800</v>
      </c>
      <c r="D60" s="275">
        <f t="shared" si="11"/>
        <v>0.3007518796992481</v>
      </c>
      <c r="H60" s="273">
        <v>2013</v>
      </c>
      <c r="I60" s="278">
        <v>4219270</v>
      </c>
      <c r="J60" s="278">
        <v>1611520</v>
      </c>
      <c r="K60" s="275">
        <f t="shared" si="12"/>
        <v>0.38194284793341027</v>
      </c>
      <c r="L60" s="246"/>
      <c r="M60" s="246"/>
      <c r="N60" s="246"/>
    </row>
    <row r="61" spans="1:14" s="245" customFormat="1" x14ac:dyDescent="0.2">
      <c r="A61" s="273">
        <v>2014</v>
      </c>
      <c r="B61" s="278">
        <v>4124</v>
      </c>
      <c r="C61" s="278">
        <v>3766</v>
      </c>
      <c r="D61" s="275">
        <f t="shared" si="11"/>
        <v>0.91319107662463628</v>
      </c>
      <c r="H61" s="273">
        <v>2014</v>
      </c>
      <c r="I61" s="278">
        <v>6706839</v>
      </c>
      <c r="J61" s="278">
        <v>8284988</v>
      </c>
      <c r="K61" s="275">
        <f t="shared" si="12"/>
        <v>1.2353044407357923</v>
      </c>
      <c r="L61" s="246"/>
      <c r="M61" s="246"/>
      <c r="N61" s="246"/>
    </row>
    <row r="62" spans="1:14" s="245" customFormat="1" x14ac:dyDescent="0.2">
      <c r="A62" s="273">
        <v>2015</v>
      </c>
      <c r="B62" s="278">
        <f>K29</f>
        <v>1231.3068944478341</v>
      </c>
      <c r="C62" s="278"/>
      <c r="D62" s="275"/>
      <c r="H62" s="273">
        <v>2015</v>
      </c>
      <c r="I62" s="278">
        <f>K21</f>
        <v>6054336</v>
      </c>
      <c r="J62" s="278"/>
      <c r="K62" s="275"/>
      <c r="L62" s="246"/>
      <c r="M62" s="246"/>
      <c r="N62" s="246"/>
    </row>
    <row r="63" spans="1:14" s="245" customFormat="1" x14ac:dyDescent="0.2">
      <c r="A63" s="273">
        <v>2016</v>
      </c>
      <c r="B63" s="278">
        <f>L29</f>
        <v>1548.2997567398672</v>
      </c>
      <c r="C63" s="278"/>
      <c r="D63" s="275"/>
      <c r="H63" s="273">
        <v>2016</v>
      </c>
      <c r="I63" s="278">
        <f>L21</f>
        <v>7837031.1755982321</v>
      </c>
      <c r="J63" s="571"/>
      <c r="K63" s="571"/>
      <c r="L63" s="246"/>
      <c r="M63" s="246"/>
      <c r="N63" s="246"/>
    </row>
    <row r="64" spans="1:14" s="245" customFormat="1" x14ac:dyDescent="0.2">
      <c r="A64" s="273">
        <v>2017</v>
      </c>
      <c r="B64" s="278">
        <f>M29</f>
        <v>1817.1009498969727</v>
      </c>
      <c r="C64" s="278"/>
      <c r="D64" s="275"/>
      <c r="H64" s="273">
        <v>2017</v>
      </c>
      <c r="I64" s="278">
        <f>M21</f>
        <v>8055399.0096241124</v>
      </c>
      <c r="J64" s="571"/>
      <c r="K64" s="571"/>
      <c r="L64" s="246"/>
      <c r="M64" s="246"/>
      <c r="N64" s="246"/>
    </row>
    <row r="65" spans="1:14" s="245" customFormat="1" x14ac:dyDescent="0.2">
      <c r="A65" s="273">
        <v>2018</v>
      </c>
      <c r="B65" s="278" t="e">
        <f>N29</f>
        <v>#REF!</v>
      </c>
      <c r="C65" s="278"/>
      <c r="D65" s="275"/>
      <c r="H65" s="273">
        <v>2018</v>
      </c>
      <c r="I65" s="278" t="e">
        <f>N21</f>
        <v>#REF!</v>
      </c>
      <c r="J65" s="571"/>
      <c r="K65" s="571"/>
      <c r="L65" s="246"/>
      <c r="M65" s="246"/>
      <c r="N65" s="246"/>
    </row>
    <row r="66" spans="1:14" s="245" customFormat="1" x14ac:dyDescent="0.2">
      <c r="A66" s="273"/>
      <c r="B66" s="244"/>
      <c r="I66" s="246"/>
      <c r="K66" s="246"/>
      <c r="L66" s="246"/>
      <c r="M66" s="246"/>
      <c r="N66" s="246"/>
    </row>
    <row r="67" spans="1:14" s="245" customFormat="1" x14ac:dyDescent="0.2">
      <c r="I67" s="246"/>
      <c r="K67" s="246"/>
      <c r="L67" s="246"/>
      <c r="M67" s="246"/>
      <c r="N67" s="246"/>
    </row>
    <row r="68" spans="1:14" s="245" customFormat="1" x14ac:dyDescent="0.2">
      <c r="I68" s="246"/>
      <c r="K68" s="246"/>
      <c r="L68" s="246"/>
      <c r="M68" s="246"/>
      <c r="N68" s="246"/>
    </row>
    <row r="69" spans="1:14" s="245" customFormat="1" x14ac:dyDescent="0.2">
      <c r="I69" s="246"/>
      <c r="K69" s="246"/>
      <c r="L69" s="246"/>
      <c r="M69" s="246"/>
      <c r="N69" s="246"/>
    </row>
    <row r="70" spans="1:14" s="245" customFormat="1" x14ac:dyDescent="0.2">
      <c r="I70" s="246"/>
      <c r="K70" s="246"/>
      <c r="L70" s="246"/>
      <c r="M70" s="246"/>
      <c r="N70" s="246"/>
    </row>
    <row r="71" spans="1:14" s="245" customFormat="1" x14ac:dyDescent="0.2">
      <c r="I71" s="246"/>
      <c r="K71" s="246"/>
      <c r="L71" s="246"/>
      <c r="M71" s="246"/>
      <c r="N71" s="246"/>
    </row>
    <row r="72" spans="1:14" s="245" customFormat="1" x14ac:dyDescent="0.2">
      <c r="I72" s="246"/>
      <c r="K72" s="246"/>
      <c r="L72" s="246"/>
      <c r="M72" s="246"/>
      <c r="N72" s="246"/>
    </row>
    <row r="73" spans="1:14" s="245" customFormat="1" x14ac:dyDescent="0.2">
      <c r="I73" s="246"/>
      <c r="K73" s="246"/>
      <c r="L73" s="246"/>
      <c r="M73" s="246"/>
      <c r="N73" s="246"/>
    </row>
    <row r="74" spans="1:14" s="245" customFormat="1" x14ac:dyDescent="0.2">
      <c r="I74" s="246"/>
      <c r="K74" s="246"/>
      <c r="L74" s="246"/>
      <c r="M74" s="246"/>
      <c r="N74" s="246"/>
    </row>
    <row r="75" spans="1:14" s="245" customFormat="1" x14ac:dyDescent="0.2">
      <c r="I75" s="246"/>
      <c r="K75" s="246"/>
      <c r="L75" s="246"/>
      <c r="M75" s="246"/>
      <c r="N75" s="246"/>
    </row>
    <row r="76" spans="1:14" s="245" customFormat="1" x14ac:dyDescent="0.2">
      <c r="I76" s="246"/>
      <c r="K76" s="246"/>
      <c r="L76" s="246"/>
      <c r="M76" s="246"/>
      <c r="N76" s="246"/>
    </row>
    <row r="77" spans="1:14" s="245" customFormat="1" x14ac:dyDescent="0.2">
      <c r="I77" s="246"/>
      <c r="K77" s="246"/>
      <c r="L77" s="246"/>
      <c r="M77" s="246"/>
      <c r="N77" s="246"/>
    </row>
    <row r="78" spans="1:14" s="245" customFormat="1" x14ac:dyDescent="0.2">
      <c r="I78" s="246"/>
      <c r="K78" s="246"/>
      <c r="L78" s="246"/>
      <c r="M78" s="246"/>
      <c r="N78" s="246"/>
    </row>
    <row r="79" spans="1:14" s="245" customFormat="1" x14ac:dyDescent="0.2">
      <c r="I79" s="246"/>
      <c r="K79" s="246"/>
      <c r="L79" s="246"/>
      <c r="M79" s="246"/>
      <c r="N79" s="246"/>
    </row>
    <row r="80" spans="1:14" s="245" customFormat="1" x14ac:dyDescent="0.2">
      <c r="I80" s="246"/>
      <c r="K80" s="246"/>
      <c r="L80" s="246"/>
      <c r="M80" s="246"/>
      <c r="N80" s="246"/>
    </row>
    <row r="81" spans="5:14" s="245" customFormat="1" x14ac:dyDescent="0.2">
      <c r="I81" s="246"/>
      <c r="K81" s="246"/>
      <c r="L81" s="246"/>
      <c r="M81" s="246"/>
      <c r="N81" s="246"/>
    </row>
    <row r="82" spans="5:14" s="245" customFormat="1" x14ac:dyDescent="0.2">
      <c r="I82" s="246"/>
      <c r="K82" s="246"/>
      <c r="L82" s="246"/>
      <c r="M82" s="246"/>
      <c r="N82" s="246"/>
    </row>
    <row r="83" spans="5:14" s="245" customFormat="1" x14ac:dyDescent="0.2">
      <c r="I83" s="246"/>
      <c r="K83" s="246"/>
      <c r="L83" s="246"/>
      <c r="M83" s="246"/>
      <c r="N83" s="246"/>
    </row>
    <row r="84" spans="5:14" s="245" customFormat="1" x14ac:dyDescent="0.2">
      <c r="I84" s="246"/>
      <c r="K84" s="246"/>
      <c r="L84" s="246"/>
      <c r="M84" s="246"/>
      <c r="N84" s="246"/>
    </row>
    <row r="85" spans="5:14" s="245" customFormat="1" x14ac:dyDescent="0.2">
      <c r="I85" s="246"/>
      <c r="K85" s="246"/>
      <c r="L85" s="246"/>
      <c r="M85" s="246"/>
      <c r="N85" s="246"/>
    </row>
    <row r="86" spans="5:14" s="245" customFormat="1" x14ac:dyDescent="0.2">
      <c r="I86" s="246"/>
      <c r="K86" s="246"/>
      <c r="L86" s="246"/>
      <c r="M86" s="246"/>
      <c r="N86" s="246"/>
    </row>
    <row r="87" spans="5:14" s="245" customFormat="1" x14ac:dyDescent="0.2">
      <c r="I87" s="246"/>
      <c r="K87" s="246"/>
      <c r="L87" s="246"/>
      <c r="M87" s="246"/>
      <c r="N87" s="246"/>
    </row>
    <row r="88" spans="5:14" s="245" customFormat="1" x14ac:dyDescent="0.2">
      <c r="I88" s="246"/>
      <c r="K88" s="246"/>
      <c r="L88" s="246"/>
      <c r="M88" s="246"/>
      <c r="N88" s="246"/>
    </row>
    <row r="89" spans="5:14" s="245" customFormat="1" x14ac:dyDescent="0.2">
      <c r="I89" s="246"/>
      <c r="K89" s="246"/>
      <c r="L89" s="246"/>
      <c r="M89" s="246"/>
      <c r="N89" s="246"/>
    </row>
    <row r="90" spans="5:14" s="245" customFormat="1" x14ac:dyDescent="0.2">
      <c r="I90" s="246"/>
      <c r="K90" s="246"/>
      <c r="L90" s="246"/>
      <c r="M90" s="246"/>
      <c r="N90" s="246"/>
    </row>
    <row r="91" spans="5:14" s="245" customFormat="1" x14ac:dyDescent="0.2">
      <c r="I91" s="246"/>
      <c r="K91" s="246"/>
      <c r="L91" s="246"/>
      <c r="M91" s="246"/>
      <c r="N91" s="246"/>
    </row>
    <row r="92" spans="5:14" s="245" customFormat="1" x14ac:dyDescent="0.2">
      <c r="I92" s="246"/>
      <c r="K92" s="246"/>
      <c r="L92" s="246"/>
      <c r="M92" s="246"/>
      <c r="N92" s="246"/>
    </row>
    <row r="93" spans="5:14" x14ac:dyDescent="0.2">
      <c r="E93" s="245"/>
      <c r="F93" s="571"/>
      <c r="G93" s="571"/>
      <c r="H93" s="571"/>
      <c r="I93" s="181"/>
      <c r="K93" s="181"/>
      <c r="L93" s="181"/>
      <c r="M93" s="181"/>
      <c r="N93" s="181"/>
    </row>
  </sheetData>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rgb="FF00FF00"/>
  </sheetPr>
  <dimension ref="A1:U49"/>
  <sheetViews>
    <sheetView topLeftCell="A22" workbookViewId="0">
      <selection activeCell="C9" sqref="C9:E10"/>
    </sheetView>
  </sheetViews>
  <sheetFormatPr defaultRowHeight="12.75" x14ac:dyDescent="0.2"/>
  <cols>
    <col min="1" max="1" width="32.5703125" style="1039" customWidth="1"/>
    <col min="2" max="2" width="3.5703125" style="1039" customWidth="1"/>
    <col min="3" max="3" width="14.42578125" style="1039" customWidth="1"/>
    <col min="4" max="6" width="13.28515625" style="1039" customWidth="1"/>
    <col min="7" max="7" width="14" style="1039" customWidth="1"/>
    <col min="8" max="9" width="12.28515625" style="1039" bestFit="1" customWidth="1"/>
    <col min="10" max="18" width="9.140625" style="1039"/>
    <col min="19" max="19" width="12.85546875" style="1039" customWidth="1"/>
    <col min="20" max="16384" width="9.140625" style="1039"/>
  </cols>
  <sheetData>
    <row r="1" spans="1:19" ht="15" x14ac:dyDescent="0.25">
      <c r="A1" s="2856" t="s">
        <v>472</v>
      </c>
      <c r="B1" s="2856"/>
      <c r="C1" s="2856"/>
      <c r="D1" s="2856"/>
      <c r="E1" s="2856"/>
      <c r="F1" s="1187"/>
      <c r="O1" s="1188"/>
      <c r="P1" s="1188"/>
      <c r="Q1" s="1188"/>
      <c r="R1" s="1188"/>
      <c r="S1" s="1188"/>
    </row>
    <row r="2" spans="1:19" ht="15" x14ac:dyDescent="0.25">
      <c r="A2" s="1189"/>
      <c r="O2" s="1188"/>
      <c r="P2" s="1188"/>
      <c r="Q2" s="1188"/>
      <c r="R2" s="1188"/>
      <c r="S2" s="1188"/>
    </row>
    <row r="3" spans="1:19" x14ac:dyDescent="0.2">
      <c r="O3" s="1190"/>
      <c r="P3" s="1191"/>
      <c r="Q3" s="1192"/>
      <c r="R3" s="1192"/>
      <c r="S3" s="1188"/>
    </row>
    <row r="4" spans="1:19" x14ac:dyDescent="0.2">
      <c r="O4" s="1193"/>
      <c r="P4" s="1191"/>
      <c r="Q4" s="1192"/>
      <c r="R4" s="1192"/>
      <c r="S4" s="1188"/>
    </row>
    <row r="5" spans="1:19" x14ac:dyDescent="0.2">
      <c r="O5" s="1193"/>
      <c r="P5" s="1191"/>
      <c r="Q5" s="1192"/>
      <c r="R5" s="1192"/>
      <c r="S5" s="1188"/>
    </row>
    <row r="6" spans="1:19" x14ac:dyDescent="0.2">
      <c r="O6" s="1193"/>
      <c r="P6" s="1191"/>
      <c r="Q6" s="1192"/>
      <c r="R6" s="1192"/>
      <c r="S6" s="1188"/>
    </row>
    <row r="7" spans="1:19" x14ac:dyDescent="0.2">
      <c r="O7" s="1193"/>
      <c r="P7" s="1191"/>
      <c r="Q7" s="1192"/>
      <c r="R7" s="1192"/>
      <c r="S7" s="1188"/>
    </row>
    <row r="8" spans="1:19" x14ac:dyDescent="0.2">
      <c r="O8" s="1192"/>
      <c r="P8" s="1192"/>
      <c r="Q8" s="1192"/>
      <c r="R8" s="1192"/>
      <c r="S8" s="1188"/>
    </row>
    <row r="9" spans="1:19" x14ac:dyDescent="0.2">
      <c r="O9" s="1190"/>
      <c r="P9" s="1192"/>
      <c r="Q9" s="1192"/>
      <c r="R9" s="1192"/>
      <c r="S9" s="1188"/>
    </row>
    <row r="10" spans="1:19" x14ac:dyDescent="0.2">
      <c r="O10" s="1192"/>
      <c r="P10" s="1192"/>
      <c r="Q10" s="1192"/>
      <c r="R10" s="1192"/>
      <c r="S10" s="1188"/>
    </row>
    <row r="11" spans="1:19" x14ac:dyDescent="0.2">
      <c r="O11" s="1192"/>
      <c r="P11" s="1191"/>
      <c r="Q11" s="1192"/>
      <c r="R11" s="1192"/>
      <c r="S11" s="1188"/>
    </row>
    <row r="12" spans="1:19" x14ac:dyDescent="0.2">
      <c r="O12" s="1192"/>
      <c r="P12" s="1191"/>
      <c r="Q12" s="1192"/>
      <c r="R12" s="1192"/>
      <c r="S12" s="1188"/>
    </row>
    <row r="13" spans="1:19" x14ac:dyDescent="0.2">
      <c r="O13" s="1192"/>
      <c r="P13" s="1192"/>
      <c r="Q13" s="1192"/>
      <c r="R13" s="1192"/>
      <c r="S13" s="1188"/>
    </row>
    <row r="14" spans="1:19" x14ac:dyDescent="0.2">
      <c r="O14" s="1188"/>
      <c r="P14" s="1188"/>
      <c r="Q14" s="1188"/>
      <c r="R14" s="1188"/>
      <c r="S14" s="1188"/>
    </row>
    <row r="15" spans="1:19" x14ac:dyDescent="0.2">
      <c r="O15" s="1190"/>
      <c r="P15" s="1191"/>
      <c r="Q15" s="1192"/>
      <c r="R15" s="1192"/>
      <c r="S15" s="1188"/>
    </row>
    <row r="16" spans="1:19" x14ac:dyDescent="0.2">
      <c r="O16" s="1193"/>
      <c r="P16" s="1191"/>
      <c r="Q16" s="1192"/>
      <c r="R16" s="1192"/>
      <c r="S16" s="1188"/>
    </row>
    <row r="17" spans="1:21" x14ac:dyDescent="0.2">
      <c r="O17" s="1193"/>
      <c r="P17" s="1191"/>
      <c r="Q17" s="1192"/>
      <c r="R17" s="1192"/>
      <c r="S17" s="1188"/>
    </row>
    <row r="18" spans="1:21" x14ac:dyDescent="0.2">
      <c r="O18" s="1193"/>
      <c r="P18" s="1191"/>
      <c r="Q18" s="1192"/>
      <c r="R18" s="1192"/>
      <c r="S18" s="1188"/>
    </row>
    <row r="19" spans="1:21" x14ac:dyDescent="0.2">
      <c r="O19" s="1193"/>
      <c r="P19" s="1191"/>
      <c r="Q19" s="1192"/>
      <c r="R19" s="1192"/>
      <c r="S19" s="1188"/>
    </row>
    <row r="20" spans="1:21" x14ac:dyDescent="0.2">
      <c r="O20" s="1192"/>
      <c r="P20" s="1192"/>
      <c r="Q20" s="1192"/>
      <c r="R20" s="1192"/>
      <c r="S20" s="1188"/>
    </row>
    <row r="21" spans="1:21" x14ac:dyDescent="0.2">
      <c r="O21" s="1190"/>
      <c r="P21" s="1192"/>
      <c r="Q21" s="1192"/>
      <c r="R21" s="1192"/>
      <c r="S21" s="1188"/>
    </row>
    <row r="22" spans="1:21" x14ac:dyDescent="0.2">
      <c r="O22" s="1192"/>
      <c r="P22" s="1192"/>
      <c r="Q22" s="1192"/>
      <c r="R22" s="1192"/>
      <c r="S22" s="1188"/>
    </row>
    <row r="23" spans="1:21" ht="13.5" customHeight="1" x14ac:dyDescent="0.2">
      <c r="O23" s="1192"/>
      <c r="P23" s="1191"/>
      <c r="Q23" s="1192"/>
      <c r="R23" s="1192"/>
      <c r="S23" s="1188"/>
    </row>
    <row r="24" spans="1:21" ht="13.5" customHeight="1" x14ac:dyDescent="0.2">
      <c r="O24" s="1192"/>
      <c r="P24" s="1191"/>
      <c r="Q24" s="1192"/>
      <c r="R24" s="1192"/>
      <c r="S24" s="1188"/>
    </row>
    <row r="25" spans="1:21" s="1188" customFormat="1" ht="13.5" customHeight="1" x14ac:dyDescent="0.2">
      <c r="O25" s="1039"/>
      <c r="P25" s="1039"/>
      <c r="Q25" s="1039"/>
      <c r="R25" s="1039"/>
      <c r="S25" s="1039"/>
      <c r="T25" s="1039"/>
    </row>
    <row r="26" spans="1:21" s="1188" customFormat="1" ht="13.5" customHeight="1" x14ac:dyDescent="0.2">
      <c r="O26" s="1039"/>
      <c r="P26" s="1039"/>
      <c r="Q26" s="1039"/>
      <c r="R26" s="1039"/>
      <c r="S26" s="1039"/>
      <c r="T26" s="1039"/>
    </row>
    <row r="27" spans="1:21" x14ac:dyDescent="0.2">
      <c r="O27" s="1194"/>
      <c r="T27" s="1195"/>
    </row>
    <row r="28" spans="1:21" ht="44.25" customHeight="1" x14ac:dyDescent="0.2">
      <c r="A28" s="1196" t="s">
        <v>20</v>
      </c>
      <c r="B28" s="1196"/>
      <c r="C28" s="1196" t="s">
        <v>26</v>
      </c>
      <c r="D28" s="1196" t="s">
        <v>57</v>
      </c>
      <c r="E28" s="1196" t="s">
        <v>21</v>
      </c>
      <c r="F28" s="1197"/>
      <c r="G28" s="1197"/>
      <c r="H28" s="1198"/>
      <c r="I28" s="1095"/>
      <c r="O28" s="1192"/>
      <c r="P28" s="1192"/>
      <c r="Q28" s="1199"/>
      <c r="R28" s="1199"/>
      <c r="S28" s="1200"/>
      <c r="T28" s="1201"/>
      <c r="U28" s="1199"/>
    </row>
    <row r="29" spans="1:21" x14ac:dyDescent="0.2">
      <c r="A29" s="1202" t="s">
        <v>228</v>
      </c>
      <c r="B29" s="1203"/>
      <c r="C29" s="1204">
        <v>2771000</v>
      </c>
      <c r="D29" s="1205">
        <f>C29/C42</f>
        <v>0.1699369252516704</v>
      </c>
      <c r="E29" s="1206">
        <f>C29/C36</f>
        <v>0.18864456395942542</v>
      </c>
      <c r="F29" s="1205"/>
      <c r="G29" s="1205"/>
      <c r="H29" s="1095"/>
      <c r="I29" s="1095"/>
      <c r="O29" s="1192"/>
      <c r="P29" s="1192"/>
      <c r="Q29" s="1199"/>
      <c r="R29" s="1199"/>
      <c r="S29" s="1200"/>
      <c r="T29" s="1201"/>
      <c r="U29" s="1199"/>
    </row>
    <row r="30" spans="1:21" x14ac:dyDescent="0.2">
      <c r="A30" s="1202" t="s">
        <v>229</v>
      </c>
      <c r="B30" s="1203"/>
      <c r="C30" s="1204">
        <v>6022000</v>
      </c>
      <c r="D30" s="1205">
        <f>C30/C42</f>
        <v>0.36931077728818446</v>
      </c>
      <c r="E30" s="1206">
        <f>C30/C36</f>
        <v>0.40996664170467695</v>
      </c>
      <c r="F30" s="1205"/>
      <c r="G30" s="1205"/>
      <c r="H30" s="1095"/>
      <c r="I30" s="1207"/>
      <c r="J30" s="1208"/>
      <c r="K30" s="1208"/>
      <c r="L30" s="1208"/>
      <c r="M30" s="1208"/>
      <c r="O30" s="1192"/>
      <c r="P30" s="1192"/>
      <c r="Q30" s="1199"/>
      <c r="R30" s="1199"/>
      <c r="S30" s="1200"/>
      <c r="T30" s="1201"/>
      <c r="U30" s="1199"/>
    </row>
    <row r="31" spans="1:21" x14ac:dyDescent="0.2">
      <c r="A31" s="1209" t="s">
        <v>22</v>
      </c>
      <c r="B31" s="1210"/>
      <c r="C31" s="1211">
        <f>SUM(C29:C30)</f>
        <v>8793000</v>
      </c>
      <c r="D31" s="1212">
        <f>SUM(D29:D30)</f>
        <v>0.53924770253985488</v>
      </c>
      <c r="E31" s="1212">
        <f>SUM(E29:E30)</f>
        <v>0.59861120566410242</v>
      </c>
      <c r="F31" s="1205"/>
      <c r="G31" s="1205"/>
      <c r="H31" s="1095"/>
      <c r="I31" s="1095"/>
      <c r="O31" s="1192"/>
      <c r="P31" s="1192"/>
      <c r="Q31" s="1199"/>
      <c r="R31" s="1199"/>
      <c r="S31" s="1200"/>
      <c r="T31" s="1201"/>
      <c r="U31" s="1199"/>
    </row>
    <row r="32" spans="1:21" x14ac:dyDescent="0.2">
      <c r="A32" s="1203"/>
      <c r="B32" s="1203"/>
      <c r="C32" s="1213"/>
      <c r="D32" s="1205"/>
      <c r="E32" s="1206"/>
      <c r="F32" s="1205"/>
      <c r="G32" s="1205"/>
      <c r="H32" s="1214"/>
      <c r="I32" s="1214"/>
      <c r="O32" s="1199"/>
      <c r="P32" s="1199"/>
      <c r="Q32" s="1199"/>
      <c r="R32" s="1199"/>
      <c r="S32" s="1199"/>
      <c r="T32" s="1199"/>
      <c r="U32" s="1199"/>
    </row>
    <row r="33" spans="1:21" x14ac:dyDescent="0.2">
      <c r="A33" s="1202" t="s">
        <v>56</v>
      </c>
      <c r="B33" s="1203"/>
      <c r="C33" s="1213">
        <v>5896000</v>
      </c>
      <c r="D33" s="1205">
        <f>SUM(C33/C42)</f>
        <v>0.36158358400716301</v>
      </c>
      <c r="E33" s="1206">
        <f>SUM(C33/C36)</f>
        <v>0.40138879433589764</v>
      </c>
      <c r="F33" s="1205"/>
      <c r="G33" s="1205"/>
      <c r="H33" s="1214"/>
      <c r="I33" s="1214"/>
      <c r="O33" s="1199"/>
      <c r="P33" s="1199"/>
      <c r="Q33" s="1199"/>
      <c r="R33" s="1199"/>
      <c r="S33" s="1199"/>
      <c r="T33" s="1199"/>
      <c r="U33" s="1199"/>
    </row>
    <row r="34" spans="1:21" x14ac:dyDescent="0.2">
      <c r="A34" s="1209" t="s">
        <v>23</v>
      </c>
      <c r="B34" s="1210"/>
      <c r="C34" s="1211">
        <f>SUM(C32:C33)</f>
        <v>5896000</v>
      </c>
      <c r="D34" s="1212">
        <f>SUM(D32:D33)</f>
        <v>0.36158358400716301</v>
      </c>
      <c r="E34" s="1212">
        <f>SUM(E32:E33)</f>
        <v>0.40138879433589764</v>
      </c>
      <c r="F34" s="1205"/>
      <c r="G34" s="1205"/>
      <c r="H34" s="1095"/>
      <c r="I34" s="1215"/>
      <c r="O34" s="1199"/>
      <c r="P34" s="1199"/>
      <c r="Q34" s="1199"/>
      <c r="R34" s="1199"/>
      <c r="S34" s="1199"/>
      <c r="T34" s="1199"/>
      <c r="U34" s="1199"/>
    </row>
    <row r="35" spans="1:21" x14ac:dyDescent="0.2">
      <c r="A35" s="1095"/>
      <c r="B35" s="1095"/>
      <c r="C35" s="1095"/>
      <c r="D35" s="1216"/>
      <c r="E35" s="1216"/>
      <c r="F35" s="1217"/>
      <c r="G35" s="1217"/>
      <c r="H35" s="1095"/>
      <c r="I35" s="1215"/>
    </row>
    <row r="36" spans="1:21" x14ac:dyDescent="0.2">
      <c r="A36" s="1209" t="s">
        <v>29</v>
      </c>
      <c r="B36" s="1218"/>
      <c r="C36" s="1211">
        <f>C31+C34</f>
        <v>14689000</v>
      </c>
      <c r="D36" s="1212">
        <f>D31+D34</f>
        <v>0.90083128654701783</v>
      </c>
      <c r="E36" s="1212">
        <f>E31+E34</f>
        <v>1</v>
      </c>
      <c r="F36" s="1205"/>
      <c r="G36" s="1219"/>
      <c r="H36" s="1095"/>
      <c r="I36" s="1215"/>
    </row>
    <row r="37" spans="1:21" x14ac:dyDescent="0.2">
      <c r="A37" s="1203"/>
      <c r="B37" s="1203"/>
      <c r="C37" s="1213"/>
      <c r="D37" s="1206"/>
      <c r="E37" s="1220"/>
      <c r="F37" s="1221"/>
      <c r="G37" s="1221"/>
      <c r="H37" s="1095"/>
      <c r="I37" s="1222"/>
    </row>
    <row r="38" spans="1:21" s="1229" customFormat="1" ht="15" customHeight="1" x14ac:dyDescent="0.25">
      <c r="A38" s="1223" t="s">
        <v>24</v>
      </c>
      <c r="B38" s="1224"/>
      <c r="C38" s="1225"/>
      <c r="D38" s="1226"/>
      <c r="E38" s="1227"/>
      <c r="F38" s="1225"/>
      <c r="G38" s="1228"/>
      <c r="H38" s="1227"/>
      <c r="I38" s="1227"/>
    </row>
    <row r="39" spans="1:21" s="1229" customFormat="1" ht="15" customHeight="1" x14ac:dyDescent="0.2">
      <c r="A39" s="1202" t="s">
        <v>24</v>
      </c>
      <c r="B39" s="1203"/>
      <c r="C39" s="1230">
        <v>1617050</v>
      </c>
      <c r="D39" s="1205">
        <f>C39/C42</f>
        <v>9.9168713452982171E-2</v>
      </c>
      <c r="E39" s="1227"/>
      <c r="F39" s="1225"/>
      <c r="G39" s="1228"/>
      <c r="H39" s="1227"/>
      <c r="I39" s="1227"/>
    </row>
    <row r="40" spans="1:21" s="1229" customFormat="1" ht="15" customHeight="1" x14ac:dyDescent="0.2">
      <c r="A40" s="1209" t="s">
        <v>25</v>
      </c>
      <c r="B40" s="1231"/>
      <c r="C40" s="1232">
        <f>SUM(C39)</f>
        <v>1617050</v>
      </c>
      <c r="D40" s="1233">
        <f>SUM(D39)</f>
        <v>9.9168713452982171E-2</v>
      </c>
      <c r="E40" s="1234"/>
      <c r="F40" s="1225"/>
      <c r="G40" s="1235"/>
      <c r="H40" s="1227"/>
      <c r="I40" s="1227"/>
    </row>
    <row r="41" spans="1:21" s="1229" customFormat="1" x14ac:dyDescent="0.2">
      <c r="A41" s="1236"/>
      <c r="B41" s="1236"/>
      <c r="C41" s="76"/>
      <c r="D41" s="77"/>
      <c r="E41" s="78"/>
      <c r="F41" s="204"/>
      <c r="G41" s="1237"/>
      <c r="H41" s="1227"/>
      <c r="I41" s="1227"/>
    </row>
    <row r="42" spans="1:21" s="1229" customFormat="1" x14ac:dyDescent="0.2">
      <c r="A42" s="1238" t="s">
        <v>16</v>
      </c>
      <c r="B42" s="1238"/>
      <c r="C42" s="80">
        <f>C40+C36</f>
        <v>16306050</v>
      </c>
      <c r="D42" s="1206">
        <f>D36+D40</f>
        <v>1</v>
      </c>
      <c r="E42" s="1227"/>
      <c r="F42" s="1227"/>
      <c r="G42" s="1227"/>
      <c r="H42" s="1227"/>
      <c r="I42" s="1227"/>
    </row>
    <row r="43" spans="1:21" s="1241" customFormat="1" x14ac:dyDescent="0.2">
      <c r="A43" s="1239"/>
      <c r="B43" s="1239"/>
      <c r="C43" s="38"/>
      <c r="D43" s="1240"/>
    </row>
    <row r="44" spans="1:21" s="1241" customFormat="1" x14ac:dyDescent="0.2">
      <c r="A44" s="1242"/>
      <c r="B44" s="1242"/>
      <c r="C44" s="1242"/>
      <c r="D44" s="1242"/>
      <c r="E44" s="1242"/>
    </row>
    <row r="45" spans="1:21" s="1241" customFormat="1" x14ac:dyDescent="0.2">
      <c r="A45" s="1192"/>
      <c r="B45" s="1239"/>
      <c r="C45" s="38"/>
      <c r="D45" s="39"/>
      <c r="E45" s="39"/>
      <c r="F45" s="1243"/>
      <c r="G45" s="1244"/>
    </row>
    <row r="46" spans="1:21" s="1241" customFormat="1" x14ac:dyDescent="0.2">
      <c r="B46" s="1239"/>
      <c r="C46" s="38"/>
      <c r="D46" s="1244"/>
      <c r="E46" s="1244"/>
      <c r="F46" s="1244"/>
      <c r="G46" s="1244"/>
    </row>
    <row r="47" spans="1:21" s="1241" customFormat="1" x14ac:dyDescent="0.2">
      <c r="A47" s="1199"/>
      <c r="B47" s="1239"/>
      <c r="C47" s="38"/>
      <c r="D47" s="1229"/>
      <c r="E47" s="1229"/>
      <c r="F47" s="1229"/>
      <c r="G47" s="1229"/>
    </row>
    <row r="48" spans="1:21" x14ac:dyDescent="0.2">
      <c r="B48" s="1245"/>
      <c r="C48" s="42"/>
      <c r="D48" s="1199"/>
      <c r="E48" s="1199"/>
      <c r="F48" s="1199"/>
      <c r="G48" s="1199"/>
    </row>
    <row r="49" spans="2:7" x14ac:dyDescent="0.2">
      <c r="B49" s="1199"/>
      <c r="C49" s="1246"/>
      <c r="D49" s="1199"/>
      <c r="E49" s="1199"/>
      <c r="F49" s="1199"/>
      <c r="G49" s="1199"/>
    </row>
  </sheetData>
  <mergeCells count="1">
    <mergeCell ref="A1:E1"/>
  </mergeCells>
  <pageMargins left="0.7" right="0.7" top="0.75" bottom="0.75" header="0.3" footer="0.3"/>
  <pageSetup orientation="portrait" r:id="rId1"/>
  <headerFooter>
    <oddFooter>&amp;C&amp;1#&amp;"Calibri"&amp;12&amp;K008000Internal Use</oddFoot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19">
    <tabColor indexed="44"/>
    <pageSetUpPr fitToPage="1"/>
  </sheetPr>
  <dimension ref="A1:T87"/>
  <sheetViews>
    <sheetView view="pageBreakPreview" zoomScale="60" zoomScaleNormal="100" workbookViewId="0">
      <selection activeCell="W61" sqref="W61"/>
    </sheetView>
  </sheetViews>
  <sheetFormatPr defaultRowHeight="12.75" x14ac:dyDescent="0.2"/>
  <cols>
    <col min="1" max="1" width="38.85546875" style="168" customWidth="1"/>
    <col min="2" max="3" width="11.28515625" style="168" bestFit="1" customWidth="1"/>
    <col min="4" max="4" width="11.7109375" style="168" bestFit="1" customWidth="1"/>
    <col min="5" max="5" width="11.28515625" style="168" bestFit="1" customWidth="1"/>
    <col min="6" max="8" width="11.28515625" style="168" customWidth="1"/>
    <col min="9" max="9" width="11.28515625" style="168" bestFit="1" customWidth="1"/>
    <col min="10" max="10" width="13.28515625" style="245" bestFit="1" customWidth="1"/>
    <col min="11" max="14" width="11.28515625" style="168" customWidth="1"/>
    <col min="15" max="16384" width="9.140625" style="168"/>
  </cols>
  <sheetData>
    <row r="1" spans="1:19" ht="15.75" x14ac:dyDescent="0.25">
      <c r="A1" s="3055" t="s">
        <v>77</v>
      </c>
      <c r="B1" s="3055"/>
      <c r="C1" s="3055"/>
      <c r="D1" s="3055"/>
      <c r="E1" s="3055"/>
      <c r="F1" s="3055"/>
      <c r="G1" s="3055"/>
      <c r="H1" s="3055"/>
      <c r="I1" s="3055"/>
      <c r="J1" s="3055"/>
      <c r="K1" s="3055"/>
      <c r="L1" s="3055"/>
      <c r="M1" s="3055"/>
      <c r="N1" s="3055"/>
      <c r="O1" s="3055"/>
      <c r="P1" s="170"/>
      <c r="Q1" s="170"/>
      <c r="R1" s="170"/>
    </row>
    <row r="2" spans="1:19" x14ac:dyDescent="0.2">
      <c r="A2" s="169"/>
      <c r="I2" s="170"/>
      <c r="K2" s="170"/>
      <c r="L2" s="170"/>
      <c r="M2" s="170"/>
      <c r="N2" s="170"/>
      <c r="O2" s="170"/>
      <c r="P2" s="170"/>
      <c r="Q2" s="170"/>
      <c r="R2" s="170"/>
    </row>
    <row r="3" spans="1:19" ht="15.75" x14ac:dyDescent="0.25">
      <c r="A3" s="172" t="s">
        <v>240</v>
      </c>
      <c r="I3" s="170"/>
      <c r="K3" s="170"/>
      <c r="L3" s="170"/>
      <c r="M3" s="170"/>
      <c r="N3" s="170"/>
      <c r="O3" s="170"/>
      <c r="P3" s="170"/>
      <c r="Q3" s="170"/>
      <c r="R3" s="170"/>
    </row>
    <row r="4" spans="1:19" x14ac:dyDescent="0.2">
      <c r="A4" s="169"/>
      <c r="I4" s="170"/>
      <c r="K4" s="170"/>
      <c r="L4" s="170"/>
      <c r="M4" s="170"/>
      <c r="N4" s="170"/>
      <c r="O4" s="170"/>
      <c r="P4" s="170"/>
      <c r="Q4" s="170"/>
      <c r="R4" s="170"/>
    </row>
    <row r="5" spans="1:19" ht="11.25" x14ac:dyDescent="0.2">
      <c r="A5" s="173"/>
      <c r="I5" s="170"/>
      <c r="J5" s="794"/>
      <c r="K5" s="170"/>
      <c r="L5" s="170"/>
      <c r="M5" s="170"/>
      <c r="N5" s="170"/>
      <c r="O5" s="170"/>
      <c r="P5" s="170"/>
      <c r="Q5" s="170"/>
      <c r="R5" s="170"/>
    </row>
    <row r="6" spans="1:19" s="245" customFormat="1" x14ac:dyDescent="0.2">
      <c r="A6" s="242"/>
      <c r="B6" s="243">
        <v>2006</v>
      </c>
      <c r="C6" s="243">
        <v>2007</v>
      </c>
      <c r="D6" s="243">
        <v>2008</v>
      </c>
      <c r="E6" s="243">
        <v>2009</v>
      </c>
      <c r="F6" s="243">
        <v>2010</v>
      </c>
      <c r="G6" s="243">
        <v>2011</v>
      </c>
      <c r="H6" s="243">
        <v>2012</v>
      </c>
      <c r="I6" s="243">
        <v>2013</v>
      </c>
      <c r="J6" s="243">
        <v>2014</v>
      </c>
      <c r="K6" s="243">
        <v>2015</v>
      </c>
      <c r="L6" s="243">
        <v>2016</v>
      </c>
      <c r="M6" s="243">
        <v>2017</v>
      </c>
      <c r="N6" s="243">
        <v>2018</v>
      </c>
      <c r="O6" s="244"/>
      <c r="P6" s="244"/>
      <c r="Q6" s="244"/>
      <c r="R6" s="244"/>
    </row>
    <row r="7" spans="1:19" s="245" customFormat="1" x14ac:dyDescent="0.2">
      <c r="A7" s="247" t="s">
        <v>44</v>
      </c>
      <c r="B7" s="248" t="s">
        <v>148</v>
      </c>
      <c r="C7" s="248" t="s">
        <v>148</v>
      </c>
      <c r="D7" s="248" t="s">
        <v>148</v>
      </c>
      <c r="E7" s="248" t="s">
        <v>148</v>
      </c>
      <c r="F7" s="248" t="s">
        <v>148</v>
      </c>
      <c r="G7" s="248" t="s">
        <v>148</v>
      </c>
      <c r="H7" s="248" t="s">
        <v>148</v>
      </c>
      <c r="I7" s="248" t="s">
        <v>148</v>
      </c>
      <c r="J7" s="248" t="s">
        <v>148</v>
      </c>
      <c r="K7" s="248" t="s">
        <v>1</v>
      </c>
      <c r="L7" s="248" t="s">
        <v>1</v>
      </c>
      <c r="M7" s="248" t="s">
        <v>1</v>
      </c>
      <c r="N7" s="248" t="s">
        <v>1</v>
      </c>
      <c r="O7" s="244"/>
      <c r="P7" s="244"/>
      <c r="Q7" s="244"/>
      <c r="R7" s="244"/>
    </row>
    <row r="8" spans="1:19" s="245" customFormat="1" x14ac:dyDescent="0.2">
      <c r="A8" s="244"/>
      <c r="I8" s="575"/>
      <c r="K8" s="575"/>
      <c r="L8" s="575"/>
      <c r="M8" s="575"/>
      <c r="N8" s="575"/>
      <c r="O8" s="575"/>
      <c r="P8" s="575"/>
      <c r="Q8" s="575"/>
      <c r="R8" s="575"/>
    </row>
    <row r="9" spans="1:19" s="245" customFormat="1" x14ac:dyDescent="0.2">
      <c r="A9" s="244" t="s">
        <v>53</v>
      </c>
      <c r="B9" s="252">
        <v>19494</v>
      </c>
      <c r="C9" s="252">
        <v>27200</v>
      </c>
      <c r="D9" s="252">
        <v>12629</v>
      </c>
      <c r="E9" s="252">
        <v>11949.73</v>
      </c>
      <c r="F9" s="252">
        <v>8955.52</v>
      </c>
      <c r="G9" s="252">
        <v>10028.65</v>
      </c>
      <c r="H9" s="252">
        <v>39957</v>
      </c>
      <c r="I9" s="252">
        <v>120843.52</v>
      </c>
      <c r="J9" s="252">
        <v>156031.47999999998</v>
      </c>
      <c r="K9" s="252">
        <v>213070</v>
      </c>
      <c r="L9" s="252">
        <f>'SCG Table C 2016'!$C$15</f>
        <v>213070</v>
      </c>
      <c r="M9" s="252">
        <f>'SCG Table C 2017'!$C$15</f>
        <v>178243</v>
      </c>
      <c r="N9" s="252">
        <f>'SCG Table C 2019'!$C$15</f>
        <v>190395</v>
      </c>
      <c r="O9" s="252"/>
      <c r="P9" s="187"/>
      <c r="Q9" s="187"/>
      <c r="R9" s="187"/>
      <c r="S9" s="187"/>
    </row>
    <row r="10" spans="1:19" s="245" customFormat="1" x14ac:dyDescent="0.2">
      <c r="A10" s="244" t="s">
        <v>45</v>
      </c>
      <c r="B10" s="252">
        <v>85169</v>
      </c>
      <c r="C10" s="252">
        <v>118376</v>
      </c>
      <c r="D10" s="252">
        <v>0</v>
      </c>
      <c r="E10" s="252">
        <v>307.88</v>
      </c>
      <c r="F10" s="252">
        <v>938.51</v>
      </c>
      <c r="G10" s="252">
        <v>3488.6099999999997</v>
      </c>
      <c r="H10" s="252">
        <v>1658</v>
      </c>
      <c r="I10" s="252">
        <v>12414.880000000001</v>
      </c>
      <c r="J10" s="252">
        <v>24194.25</v>
      </c>
      <c r="K10" s="252">
        <v>10000</v>
      </c>
      <c r="L10" s="252">
        <f>'SCG Table C 2016'!$E$15</f>
        <v>20000</v>
      </c>
      <c r="M10" s="252">
        <f>'SCG Table C 2017'!$E$15</f>
        <v>20000</v>
      </c>
      <c r="N10" s="252">
        <f>'SCG Table C 2019'!$E$15</f>
        <v>43118.81</v>
      </c>
      <c r="O10" s="252"/>
      <c r="P10" s="187"/>
      <c r="Q10" s="129"/>
      <c r="R10" s="129"/>
      <c r="S10" s="129"/>
    </row>
    <row r="11" spans="1:19" s="245" customFormat="1" x14ac:dyDescent="0.2">
      <c r="A11" s="244" t="s">
        <v>19</v>
      </c>
      <c r="B11" s="252">
        <v>1433</v>
      </c>
      <c r="C11" s="252">
        <v>0</v>
      </c>
      <c r="D11" s="252">
        <v>24</v>
      </c>
      <c r="E11" s="252">
        <v>0</v>
      </c>
      <c r="F11" s="252">
        <v>146.88</v>
      </c>
      <c r="G11" s="252">
        <v>61.46</v>
      </c>
      <c r="H11" s="252">
        <v>0</v>
      </c>
      <c r="I11" s="252">
        <v>0</v>
      </c>
      <c r="J11" s="252">
        <v>0</v>
      </c>
      <c r="K11" s="252">
        <v>2500</v>
      </c>
      <c r="L11" s="252">
        <f>'SCG Table C 2016'!$D$15</f>
        <v>2500</v>
      </c>
      <c r="M11" s="252">
        <f>'SCG Table C 2017'!$D$15</f>
        <v>2500</v>
      </c>
      <c r="N11" s="252">
        <f>'SCG Table C 2019'!$D$15</f>
        <v>2500</v>
      </c>
      <c r="O11" s="252"/>
      <c r="P11" s="187"/>
      <c r="Q11" s="190"/>
      <c r="R11" s="190"/>
      <c r="S11" s="190"/>
    </row>
    <row r="12" spans="1:19" s="245" customFormat="1" ht="14.25" x14ac:dyDescent="0.2">
      <c r="A12" s="244" t="s">
        <v>2</v>
      </c>
      <c r="B12" s="252">
        <v>141593</v>
      </c>
      <c r="C12" s="252">
        <v>197564</v>
      </c>
      <c r="D12" s="252">
        <v>478618</v>
      </c>
      <c r="E12" s="257">
        <v>1335250.72</v>
      </c>
      <c r="F12" s="257">
        <v>936647.45</v>
      </c>
      <c r="G12" s="257">
        <v>2036727.59</v>
      </c>
      <c r="H12" s="257">
        <v>1720119</v>
      </c>
      <c r="I12" s="257">
        <v>3678619.7499999991</v>
      </c>
      <c r="J12" s="252">
        <v>3357727.3199999984</v>
      </c>
      <c r="K12" s="257">
        <v>1516682</v>
      </c>
      <c r="L12" s="257">
        <f>'SCG Table C 2016'!$F$15</f>
        <v>2271857</v>
      </c>
      <c r="M12" s="257">
        <f>'SCG Table C 2017'!$F$15</f>
        <v>1919452</v>
      </c>
      <c r="N12" s="257">
        <f>'SCG Table C 2019'!$F$15</f>
        <v>3069541</v>
      </c>
      <c r="O12" s="947" t="s">
        <v>326</v>
      </c>
      <c r="P12" s="187"/>
      <c r="Q12" s="190"/>
      <c r="R12" s="190"/>
      <c r="S12" s="190"/>
    </row>
    <row r="13" spans="1:19" s="245" customFormat="1" ht="14.25" x14ac:dyDescent="0.2">
      <c r="A13" s="244" t="s">
        <v>14</v>
      </c>
      <c r="B13" s="252">
        <v>2150</v>
      </c>
      <c r="C13" s="252">
        <v>796</v>
      </c>
      <c r="D13" s="252">
        <v>674</v>
      </c>
      <c r="E13" s="252">
        <v>2365.9899999999998</v>
      </c>
      <c r="F13" s="252">
        <v>834.06</v>
      </c>
      <c r="G13" s="252">
        <v>5379.84</v>
      </c>
      <c r="H13" s="252">
        <v>4046</v>
      </c>
      <c r="I13" s="252">
        <v>3984.21</v>
      </c>
      <c r="J13" s="252">
        <v>99.289999999999935</v>
      </c>
      <c r="K13" s="252">
        <v>2000</v>
      </c>
      <c r="L13" s="252">
        <f>'SCG Table C 2016'!$G$15</f>
        <v>2000</v>
      </c>
      <c r="M13" s="252">
        <f>'SCG Table C 2017'!$G$15</f>
        <v>2000</v>
      </c>
      <c r="N13" s="252">
        <f>'SCG Table C 2019'!$G$15</f>
        <v>12272.6</v>
      </c>
      <c r="O13" s="947" t="s">
        <v>327</v>
      </c>
      <c r="P13" s="187"/>
      <c r="Q13" s="190"/>
      <c r="R13" s="190"/>
      <c r="S13" s="190"/>
    </row>
    <row r="14" spans="1:19" s="245" customFormat="1" ht="15" customHeight="1" x14ac:dyDescent="0.35">
      <c r="A14" s="244" t="s">
        <v>46</v>
      </c>
      <c r="B14" s="256">
        <v>1003</v>
      </c>
      <c r="C14" s="256">
        <v>7</v>
      </c>
      <c r="D14" s="256">
        <v>107</v>
      </c>
      <c r="E14" s="256">
        <v>0</v>
      </c>
      <c r="F14" s="256">
        <v>10.72</v>
      </c>
      <c r="G14" s="256">
        <v>0</v>
      </c>
      <c r="H14" s="256">
        <v>0</v>
      </c>
      <c r="I14" s="256">
        <v>0</v>
      </c>
      <c r="J14" s="256">
        <v>3025</v>
      </c>
      <c r="K14" s="256">
        <v>1500</v>
      </c>
      <c r="L14" s="256">
        <f>'SCG Table C 2016'!$H$15</f>
        <v>1500</v>
      </c>
      <c r="M14" s="256">
        <f>'SCG Table C 2017'!$H$15</f>
        <v>1500</v>
      </c>
      <c r="N14" s="256">
        <f>'SCG Table C 2019'!$H$15</f>
        <v>4000</v>
      </c>
      <c r="O14" s="256"/>
      <c r="P14" s="187"/>
      <c r="Q14" s="190"/>
      <c r="R14" s="190"/>
      <c r="S14" s="190"/>
    </row>
    <row r="15" spans="1:19" s="245" customFormat="1" x14ac:dyDescent="0.2">
      <c r="A15" s="244" t="s">
        <v>47</v>
      </c>
      <c r="B15" s="252">
        <f t="shared" ref="B15:L15" si="0">SUM(B9:B14)</f>
        <v>250842</v>
      </c>
      <c r="C15" s="257">
        <f t="shared" si="0"/>
        <v>343943</v>
      </c>
      <c r="D15" s="252">
        <f t="shared" si="0"/>
        <v>492052</v>
      </c>
      <c r="E15" s="252">
        <f t="shared" si="0"/>
        <v>1349874.32</v>
      </c>
      <c r="F15" s="252">
        <f t="shared" si="0"/>
        <v>947533.14</v>
      </c>
      <c r="G15" s="252">
        <f t="shared" si="0"/>
        <v>2055686.1500000001</v>
      </c>
      <c r="H15" s="252">
        <f t="shared" si="0"/>
        <v>1765780</v>
      </c>
      <c r="I15" s="504">
        <f t="shared" si="0"/>
        <v>3815862.3599999989</v>
      </c>
      <c r="J15" s="252">
        <f>SUM(J9:J14)</f>
        <v>3541077.3399999985</v>
      </c>
      <c r="K15" s="504">
        <f t="shared" si="0"/>
        <v>1745752</v>
      </c>
      <c r="L15" s="504">
        <f t="shared" si="0"/>
        <v>2510927</v>
      </c>
      <c r="M15" s="504">
        <f>SUM(M9:M14)</f>
        <v>2123695</v>
      </c>
      <c r="N15" s="504">
        <f>SUM(N9:N14)</f>
        <v>3321827.41</v>
      </c>
      <c r="O15" s="246" t="s">
        <v>201</v>
      </c>
      <c r="P15" s="191"/>
      <c r="Q15" s="191"/>
      <c r="R15" s="191"/>
    </row>
    <row r="16" spans="1:19" s="245" customFormat="1" x14ac:dyDescent="0.2">
      <c r="A16" s="244"/>
      <c r="B16" s="253"/>
      <c r="C16" s="259"/>
      <c r="D16" s="260"/>
      <c r="I16" s="186"/>
      <c r="J16" s="255"/>
      <c r="K16" s="186"/>
      <c r="L16" s="186"/>
      <c r="M16" s="186"/>
      <c r="N16" s="186"/>
      <c r="O16" s="246"/>
      <c r="P16" s="192"/>
      <c r="Q16" s="192"/>
      <c r="R16" s="192"/>
    </row>
    <row r="17" spans="1:19" s="245" customFormat="1" ht="15" x14ac:dyDescent="0.35">
      <c r="A17" s="262"/>
      <c r="C17" s="258"/>
      <c r="D17" s="258"/>
      <c r="E17" s="263"/>
      <c r="F17" s="263"/>
      <c r="G17" s="263"/>
      <c r="H17" s="263"/>
      <c r="I17" s="180"/>
      <c r="K17" s="180"/>
      <c r="L17" s="180"/>
      <c r="M17" s="180"/>
      <c r="N17" s="180"/>
      <c r="O17" s="246"/>
      <c r="P17" s="182"/>
      <c r="Q17" s="182"/>
      <c r="R17" s="182"/>
    </row>
    <row r="18" spans="1:19" s="245" customFormat="1" ht="25.5" x14ac:dyDescent="0.2">
      <c r="A18" s="247" t="s">
        <v>83</v>
      </c>
      <c r="B18" s="264" t="s">
        <v>192</v>
      </c>
      <c r="C18" s="264" t="s">
        <v>176</v>
      </c>
      <c r="D18" s="264" t="s">
        <v>209</v>
      </c>
      <c r="E18" s="264" t="s">
        <v>218</v>
      </c>
      <c r="F18" s="264" t="s">
        <v>257</v>
      </c>
      <c r="G18" s="264" t="s">
        <v>321</v>
      </c>
      <c r="H18" s="264" t="s">
        <v>479</v>
      </c>
      <c r="I18" s="264" t="s">
        <v>567</v>
      </c>
      <c r="J18" s="264" t="s">
        <v>568</v>
      </c>
      <c r="K18" s="264" t="s">
        <v>334</v>
      </c>
      <c r="L18" s="264" t="s">
        <v>564</v>
      </c>
      <c r="M18" s="264" t="s">
        <v>565</v>
      </c>
      <c r="N18" s="264" t="s">
        <v>566</v>
      </c>
      <c r="O18" s="246"/>
      <c r="P18" s="185"/>
      <c r="Q18" s="185"/>
      <c r="R18" s="185"/>
    </row>
    <row r="19" spans="1:19" s="245" customFormat="1" x14ac:dyDescent="0.2">
      <c r="I19" s="180"/>
      <c r="K19" s="180"/>
      <c r="L19" s="180"/>
      <c r="M19" s="180"/>
      <c r="N19" s="180"/>
      <c r="O19" s="246"/>
      <c r="P19" s="185"/>
      <c r="Q19" s="185"/>
      <c r="R19" s="185"/>
    </row>
    <row r="20" spans="1:19" s="245" customFormat="1" x14ac:dyDescent="0.2">
      <c r="A20" s="245" t="s">
        <v>49</v>
      </c>
      <c r="B20" s="266">
        <v>34052</v>
      </c>
      <c r="C20" s="266">
        <v>71551</v>
      </c>
      <c r="D20" s="267">
        <v>87541</v>
      </c>
      <c r="E20" s="267">
        <v>462617</v>
      </c>
      <c r="F20" s="267">
        <v>214440</v>
      </c>
      <c r="G20" s="267">
        <v>360787</v>
      </c>
      <c r="H20" s="267">
        <v>264359</v>
      </c>
      <c r="I20" s="506">
        <v>635324</v>
      </c>
      <c r="J20" s="531">
        <v>459456</v>
      </c>
      <c r="K20" s="506">
        <v>161184</v>
      </c>
      <c r="L20" s="506">
        <f>'2016 Summary Table B'!$M$8</f>
        <v>215941.59695829652</v>
      </c>
      <c r="M20" s="506">
        <f>'2017 Summary Table B'!$M$8</f>
        <v>178481.71849476462</v>
      </c>
      <c r="N20" s="506" t="e">
        <f>'2019 Summary Table B'!$M$8</f>
        <v>#REF!</v>
      </c>
      <c r="O20" s="246" t="s">
        <v>64</v>
      </c>
      <c r="P20" s="183"/>
      <c r="Q20" s="183"/>
      <c r="R20" s="183"/>
    </row>
    <row r="21" spans="1:19" s="245" customFormat="1" x14ac:dyDescent="0.2">
      <c r="A21" s="245" t="s">
        <v>50</v>
      </c>
      <c r="B21" s="266">
        <v>579135</v>
      </c>
      <c r="C21" s="266">
        <v>975607</v>
      </c>
      <c r="D21" s="267">
        <v>956898</v>
      </c>
      <c r="E21" s="267">
        <v>7964615</v>
      </c>
      <c r="F21" s="267">
        <v>3551448</v>
      </c>
      <c r="G21" s="267">
        <v>5637187</v>
      </c>
      <c r="H21" s="267">
        <v>4941850</v>
      </c>
      <c r="I21" s="506">
        <v>13533448</v>
      </c>
      <c r="J21" s="531">
        <v>9680378</v>
      </c>
      <c r="K21" s="506">
        <v>3169589</v>
      </c>
      <c r="L21" s="506">
        <f>'2016 Summary Table B'!$N$8</f>
        <v>4597301.9157452565</v>
      </c>
      <c r="M21" s="506">
        <f>'2017 Summary Table B'!$N$8</f>
        <v>3901346.6427920158</v>
      </c>
      <c r="N21" s="506" t="e">
        <f>'2019 Summary Table B'!$N$8</f>
        <v>#REF!</v>
      </c>
      <c r="O21" s="246" t="s">
        <v>10</v>
      </c>
      <c r="P21" s="182"/>
      <c r="Q21" s="182"/>
      <c r="R21" s="182"/>
    </row>
    <row r="22" spans="1:19" s="245" customFormat="1" x14ac:dyDescent="0.2">
      <c r="C22" s="268" t="s">
        <v>3</v>
      </c>
      <c r="I22" s="180"/>
      <c r="J22" s="527"/>
      <c r="K22" s="180"/>
      <c r="L22" s="180"/>
      <c r="M22" s="180"/>
      <c r="N22" s="180"/>
      <c r="O22" s="246"/>
      <c r="P22" s="182"/>
      <c r="Q22" s="182"/>
      <c r="R22" s="182"/>
    </row>
    <row r="23" spans="1:19" s="245" customFormat="1" x14ac:dyDescent="0.2">
      <c r="A23" s="245" t="s">
        <v>51</v>
      </c>
      <c r="B23" s="269">
        <f t="shared" ref="B23:G23" si="1">SUM(B15/B20)</f>
        <v>7.3664395630212613</v>
      </c>
      <c r="C23" s="269">
        <f t="shared" si="1"/>
        <v>4.8069628656482788</v>
      </c>
      <c r="D23" s="269">
        <f t="shared" si="1"/>
        <v>5.6208176740041811</v>
      </c>
      <c r="E23" s="269">
        <f t="shared" si="1"/>
        <v>2.9179090262571417</v>
      </c>
      <c r="F23" s="269">
        <f t="shared" si="1"/>
        <v>4.4186398992725238</v>
      </c>
      <c r="G23" s="269">
        <f t="shared" si="1"/>
        <v>5.6977833181350777</v>
      </c>
      <c r="H23" s="269">
        <f t="shared" ref="H23:N23" si="2">SUM(H15/H20)</f>
        <v>6.6794775286636732</v>
      </c>
      <c r="I23" s="269">
        <f t="shared" si="2"/>
        <v>6.0061674987880185</v>
      </c>
      <c r="J23" s="528">
        <f t="shared" si="2"/>
        <v>7.7071087111714691</v>
      </c>
      <c r="K23" s="269">
        <f t="shared" si="2"/>
        <v>10.830802064721064</v>
      </c>
      <c r="L23" s="269">
        <f t="shared" si="2"/>
        <v>11.627806014998212</v>
      </c>
      <c r="M23" s="269">
        <f t="shared" si="2"/>
        <v>11.898669611152886</v>
      </c>
      <c r="N23" s="269" t="e">
        <f t="shared" si="2"/>
        <v>#REF!</v>
      </c>
      <c r="O23" s="246" t="s">
        <v>65</v>
      </c>
      <c r="P23" s="244"/>
      <c r="Q23" s="244"/>
      <c r="R23" s="244"/>
    </row>
    <row r="24" spans="1:19" s="245" customFormat="1" x14ac:dyDescent="0.2">
      <c r="A24" s="245" t="s">
        <v>52</v>
      </c>
      <c r="B24" s="269">
        <f t="shared" ref="B24:G24" si="3">SUM(B15/B21)</f>
        <v>0.43313217125540676</v>
      </c>
      <c r="C24" s="269">
        <f t="shared" si="3"/>
        <v>0.35254257093276287</v>
      </c>
      <c r="D24" s="269">
        <f t="shared" si="3"/>
        <v>0.51421572623205403</v>
      </c>
      <c r="E24" s="269">
        <f t="shared" si="3"/>
        <v>0.16948393864612415</v>
      </c>
      <c r="F24" s="269">
        <f t="shared" si="3"/>
        <v>0.26680191854139496</v>
      </c>
      <c r="G24" s="269">
        <f t="shared" si="3"/>
        <v>0.36466523995035116</v>
      </c>
      <c r="H24" s="269">
        <f t="shared" ref="H24:N24" si="4">SUM(H15/H21)</f>
        <v>0.35731153313030545</v>
      </c>
      <c r="I24" s="269">
        <f t="shared" si="4"/>
        <v>0.28195788390364368</v>
      </c>
      <c r="J24" s="528">
        <f t="shared" si="4"/>
        <v>0.36579949047444205</v>
      </c>
      <c r="K24" s="269">
        <f t="shared" si="4"/>
        <v>0.55078182060828706</v>
      </c>
      <c r="L24" s="269">
        <f t="shared" si="4"/>
        <v>0.54617404860889152</v>
      </c>
      <c r="M24" s="269">
        <f t="shared" si="4"/>
        <v>0.54434921949928761</v>
      </c>
      <c r="N24" s="269" t="e">
        <f t="shared" si="4"/>
        <v>#REF!</v>
      </c>
      <c r="O24" s="246" t="s">
        <v>66</v>
      </c>
    </row>
    <row r="25" spans="1:19" s="245" customFormat="1" x14ac:dyDescent="0.2">
      <c r="C25" s="268"/>
      <c r="J25" s="249"/>
      <c r="O25" s="246"/>
    </row>
    <row r="26" spans="1:19" s="245" customFormat="1" x14ac:dyDescent="0.2">
      <c r="A26" s="245" t="s">
        <v>84</v>
      </c>
      <c r="B26" s="252">
        <v>438322</v>
      </c>
      <c r="C26" s="257">
        <f>727728/982670*975607</f>
        <v>722497.41102913488</v>
      </c>
      <c r="D26" s="252">
        <v>727728</v>
      </c>
      <c r="E26" s="257">
        <v>7715026.1163411438</v>
      </c>
      <c r="F26" s="257">
        <v>3969333.6900454913</v>
      </c>
      <c r="G26" s="309">
        <v>4916683.7922205813</v>
      </c>
      <c r="H26" s="257">
        <f>+H21/2287555*1185899</f>
        <v>2561920.9038252635</v>
      </c>
      <c r="I26" s="257">
        <v>7499300</v>
      </c>
      <c r="J26" s="257">
        <v>7862423</v>
      </c>
      <c r="K26" s="257">
        <v>2866818</v>
      </c>
      <c r="L26" s="257">
        <f>'2016 Summary Table B'!$F$8</f>
        <v>2959402.5935577713</v>
      </c>
      <c r="M26" s="257">
        <f>'2017 Summary Table B'!$F$8</f>
        <v>2366844.6790111652</v>
      </c>
      <c r="N26" s="257" t="e">
        <f>'2019 Summary Table B'!$F$8</f>
        <v>#REF!</v>
      </c>
      <c r="O26" s="246" t="s">
        <v>67</v>
      </c>
    </row>
    <row r="27" spans="1:19" s="245" customFormat="1" x14ac:dyDescent="0.2">
      <c r="A27" s="245" t="s">
        <v>85</v>
      </c>
      <c r="B27" s="271">
        <f t="shared" ref="B27:L27" si="5">SUM(B26/B15)</f>
        <v>1.7474027475462641</v>
      </c>
      <c r="C27" s="271">
        <f t="shared" si="5"/>
        <v>2.1006312413078181</v>
      </c>
      <c r="D27" s="271">
        <f t="shared" si="5"/>
        <v>1.4789656377781211</v>
      </c>
      <c r="E27" s="271">
        <f t="shared" si="5"/>
        <v>5.7153662396815905</v>
      </c>
      <c r="F27" s="271">
        <f t="shared" si="5"/>
        <v>4.1891238654148726</v>
      </c>
      <c r="G27" s="271">
        <f t="shared" si="5"/>
        <v>2.3917482696571075</v>
      </c>
      <c r="H27" s="271">
        <f t="shared" si="5"/>
        <v>1.4508720813607945</v>
      </c>
      <c r="I27" s="271">
        <f t="shared" si="5"/>
        <v>1.9652962535053287</v>
      </c>
      <c r="J27" s="529">
        <f t="shared" si="5"/>
        <v>2.2203477205047442</v>
      </c>
      <c r="K27" s="271">
        <f t="shared" si="5"/>
        <v>1.6421679597101995</v>
      </c>
      <c r="L27" s="271">
        <f t="shared" si="5"/>
        <v>1.178609570711443</v>
      </c>
      <c r="M27" s="271">
        <f>SUM(M26/M15)</f>
        <v>1.1144936909542873</v>
      </c>
      <c r="N27" s="271" t="e">
        <f>SUM(N26/N15)</f>
        <v>#REF!</v>
      </c>
      <c r="O27" s="246" t="s">
        <v>68</v>
      </c>
      <c r="P27" s="182"/>
      <c r="Q27" s="182"/>
      <c r="R27" s="182"/>
      <c r="S27" s="244"/>
    </row>
    <row r="28" spans="1:19" s="245" customFormat="1" x14ac:dyDescent="0.2">
      <c r="A28" s="245" t="s">
        <v>63</v>
      </c>
      <c r="B28" s="245">
        <v>253</v>
      </c>
      <c r="C28" s="267">
        <v>545</v>
      </c>
      <c r="D28" s="267">
        <v>1910</v>
      </c>
      <c r="E28" s="267">
        <v>3511</v>
      </c>
      <c r="F28" s="267">
        <v>2034</v>
      </c>
      <c r="G28" s="267">
        <v>3268</v>
      </c>
      <c r="H28" s="267">
        <v>2479</v>
      </c>
      <c r="I28" s="267">
        <v>3647</v>
      </c>
      <c r="J28" s="534">
        <v>2395</v>
      </c>
      <c r="K28" s="506">
        <v>2574</v>
      </c>
      <c r="L28" s="506">
        <f>'2016 Summary Table B'!$K$8</f>
        <v>2454.7863063828459</v>
      </c>
      <c r="M28" s="506">
        <f>'2017 Summary Table B'!$K$8</f>
        <v>1685.5472674238695</v>
      </c>
      <c r="N28" s="506" t="e">
        <f>'2019 Summary Table B'!$K$8</f>
        <v>#REF!</v>
      </c>
      <c r="O28" s="246" t="s">
        <v>69</v>
      </c>
      <c r="P28" s="183"/>
      <c r="Q28" s="183"/>
      <c r="R28" s="183"/>
      <c r="S28" s="244"/>
    </row>
    <row r="29" spans="1:19" s="245" customFormat="1" x14ac:dyDescent="0.2">
      <c r="A29" s="245" t="s">
        <v>74</v>
      </c>
      <c r="B29" s="266">
        <f>SUM(B21/B28)</f>
        <v>2289.0711462450595</v>
      </c>
      <c r="C29" s="266">
        <f>SUM(C21/C28)</f>
        <v>1790.1045871559634</v>
      </c>
      <c r="D29" s="266">
        <f>SUM(D21/D28)</f>
        <v>500.99371727748689</v>
      </c>
      <c r="E29" s="266">
        <f>SUM(E20/E28)</f>
        <v>131.76217601822842</v>
      </c>
      <c r="F29" s="266">
        <f>SUM(F20/F28)</f>
        <v>105.42772861356931</v>
      </c>
      <c r="G29" s="266">
        <f>SUM(G20/G28)</f>
        <v>110.39993880048959</v>
      </c>
      <c r="H29" s="266">
        <f t="shared" ref="H29:N29" si="6">SUM(H21/H28)</f>
        <v>1993.4852763210972</v>
      </c>
      <c r="I29" s="266">
        <f t="shared" si="6"/>
        <v>3710.8439813545378</v>
      </c>
      <c r="J29" s="282">
        <f t="shared" si="6"/>
        <v>4041.9114822546971</v>
      </c>
      <c r="K29" s="266">
        <f t="shared" si="6"/>
        <v>1231.386557886558</v>
      </c>
      <c r="L29" s="266">
        <f t="shared" si="6"/>
        <v>1872.7910872696004</v>
      </c>
      <c r="M29" s="266">
        <f t="shared" si="6"/>
        <v>2314.587504125408</v>
      </c>
      <c r="N29" s="266" t="e">
        <f t="shared" si="6"/>
        <v>#REF!</v>
      </c>
      <c r="O29" s="246" t="s">
        <v>70</v>
      </c>
      <c r="P29" s="183"/>
      <c r="Q29" s="183"/>
      <c r="R29" s="183"/>
      <c r="S29" s="244"/>
    </row>
    <row r="30" spans="1:19" s="245" customFormat="1" x14ac:dyDescent="0.2">
      <c r="A30" s="245" t="s">
        <v>71</v>
      </c>
      <c r="B30" s="257">
        <f t="shared" ref="B30:L30" si="7">SUM(B15/B28)</f>
        <v>991.47035573122525</v>
      </c>
      <c r="C30" s="257">
        <f t="shared" si="7"/>
        <v>631.08807339449538</v>
      </c>
      <c r="D30" s="257">
        <f t="shared" si="7"/>
        <v>257.61884816753928</v>
      </c>
      <c r="E30" s="257">
        <f t="shared" si="7"/>
        <v>384.47004272287097</v>
      </c>
      <c r="F30" s="257">
        <f t="shared" si="7"/>
        <v>465.84716814159293</v>
      </c>
      <c r="G30" s="257">
        <f t="shared" si="7"/>
        <v>629.03492962056305</v>
      </c>
      <c r="H30" s="257">
        <f t="shared" si="7"/>
        <v>712.29528035498186</v>
      </c>
      <c r="I30" s="257">
        <f t="shared" si="7"/>
        <v>1046.3017164792977</v>
      </c>
      <c r="J30" s="530">
        <f t="shared" si="7"/>
        <v>1478.5291607515651</v>
      </c>
      <c r="K30" s="257">
        <f t="shared" si="7"/>
        <v>678.22533022533025</v>
      </c>
      <c r="L30" s="257">
        <f t="shared" si="7"/>
        <v>1022.8698903326856</v>
      </c>
      <c r="M30" s="257">
        <f>SUM(M15/M28)</f>
        <v>1259.9439013334702</v>
      </c>
      <c r="N30" s="257" t="e">
        <f>SUM(N15/N28)</f>
        <v>#REF!</v>
      </c>
      <c r="O30" s="246" t="s">
        <v>72</v>
      </c>
      <c r="P30" s="184"/>
      <c r="Q30" s="184"/>
      <c r="R30" s="184"/>
      <c r="S30" s="244"/>
    </row>
    <row r="31" spans="1:19" s="245" customFormat="1" x14ac:dyDescent="0.2">
      <c r="A31" s="245" t="s">
        <v>62</v>
      </c>
      <c r="B31" s="257">
        <f t="shared" ref="B31:L31" si="8">SUM(B26/B28)</f>
        <v>1732.498023715415</v>
      </c>
      <c r="C31" s="257">
        <f t="shared" si="8"/>
        <v>1325.6833229892384</v>
      </c>
      <c r="D31" s="257">
        <f t="shared" si="8"/>
        <v>381.00942408376966</v>
      </c>
      <c r="E31" s="257">
        <f t="shared" si="8"/>
        <v>2197.3871023472357</v>
      </c>
      <c r="F31" s="257">
        <f t="shared" si="8"/>
        <v>1951.4914896978817</v>
      </c>
      <c r="G31" s="257">
        <f t="shared" si="8"/>
        <v>1504.4932044738621</v>
      </c>
      <c r="H31" s="257">
        <f t="shared" si="8"/>
        <v>1033.449335952103</v>
      </c>
      <c r="I31" s="257">
        <f t="shared" si="8"/>
        <v>2056.2928434329588</v>
      </c>
      <c r="J31" s="530">
        <f t="shared" si="8"/>
        <v>3282.8488517745304</v>
      </c>
      <c r="K31" s="257">
        <f t="shared" si="8"/>
        <v>1113.7599067599067</v>
      </c>
      <c r="L31" s="257">
        <f t="shared" si="8"/>
        <v>1205.5642423386673</v>
      </c>
      <c r="M31" s="257">
        <f>SUM(M26/M28)</f>
        <v>1404.1995289924835</v>
      </c>
      <c r="N31" s="257" t="e">
        <f>SUM(N26/N28)</f>
        <v>#REF!</v>
      </c>
      <c r="O31" s="246" t="s">
        <v>73</v>
      </c>
      <c r="P31" s="182"/>
      <c r="Q31" s="182"/>
      <c r="R31" s="182"/>
      <c r="S31" s="244"/>
    </row>
    <row r="32" spans="1:19" s="245" customFormat="1" ht="14.25" x14ac:dyDescent="0.2">
      <c r="A32" s="704" t="s">
        <v>324</v>
      </c>
      <c r="B32" s="945">
        <f t="shared" ref="B32:L32" si="9">B12/B21</f>
        <v>0.24449049012751775</v>
      </c>
      <c r="C32" s="945">
        <f t="shared" si="9"/>
        <v>0.20250367207287362</v>
      </c>
      <c r="D32" s="945">
        <f t="shared" si="9"/>
        <v>0.50017661234530741</v>
      </c>
      <c r="E32" s="945">
        <f t="shared" si="9"/>
        <v>0.16764786747382013</v>
      </c>
      <c r="F32" s="945">
        <f t="shared" si="9"/>
        <v>0.26373677722438849</v>
      </c>
      <c r="G32" s="945">
        <f t="shared" si="9"/>
        <v>0.36130211575383253</v>
      </c>
      <c r="H32" s="945">
        <f t="shared" si="9"/>
        <v>0.34807187591691369</v>
      </c>
      <c r="I32" s="945">
        <f t="shared" si="9"/>
        <v>0.27181689027068334</v>
      </c>
      <c r="J32" s="945">
        <f t="shared" si="9"/>
        <v>0.34685911231978733</v>
      </c>
      <c r="K32" s="945">
        <f t="shared" si="9"/>
        <v>0.47851062077764656</v>
      </c>
      <c r="L32" s="945">
        <f t="shared" si="9"/>
        <v>0.49417180808141797</v>
      </c>
      <c r="M32" s="945">
        <f>M12/M21</f>
        <v>0.49199729625315625</v>
      </c>
      <c r="N32" s="945" t="e">
        <f>N12/N21</f>
        <v>#REF!</v>
      </c>
      <c r="O32" s="557" t="s">
        <v>328</v>
      </c>
      <c r="P32" s="185"/>
      <c r="Q32" s="185"/>
      <c r="R32" s="185"/>
      <c r="S32" s="244"/>
    </row>
    <row r="33" spans="1:20" s="245" customFormat="1" ht="14.25" x14ac:dyDescent="0.2">
      <c r="A33" s="704" t="s">
        <v>325</v>
      </c>
      <c r="B33" s="946">
        <f t="shared" ref="B33:L33" si="10">B13/B21</f>
        <v>3.7124331977863539E-3</v>
      </c>
      <c r="C33" s="946">
        <f t="shared" si="10"/>
        <v>8.1590230492401136E-4</v>
      </c>
      <c r="D33" s="946">
        <f t="shared" si="10"/>
        <v>7.0435929430305003E-4</v>
      </c>
      <c r="E33" s="946">
        <f t="shared" si="10"/>
        <v>2.9706269543474479E-4</v>
      </c>
      <c r="F33" s="946">
        <f t="shared" si="10"/>
        <v>2.3485068625529642E-4</v>
      </c>
      <c r="G33" s="946">
        <f t="shared" si="10"/>
        <v>9.5434833011571205E-4</v>
      </c>
      <c r="H33" s="946">
        <f t="shared" si="10"/>
        <v>8.1872173376367147E-4</v>
      </c>
      <c r="I33" s="2231">
        <f t="shared" si="10"/>
        <v>2.9439725929415771E-4</v>
      </c>
      <c r="J33" s="2233">
        <f t="shared" si="10"/>
        <v>1.0256830879951169E-5</v>
      </c>
      <c r="K33" s="946">
        <f t="shared" si="10"/>
        <v>6.3099663710342252E-4</v>
      </c>
      <c r="L33" s="946">
        <f t="shared" si="10"/>
        <v>4.3503777577674822E-4</v>
      </c>
      <c r="M33" s="946">
        <f>M13/M21</f>
        <v>5.1264350059616621E-4</v>
      </c>
      <c r="N33" s="946" t="e">
        <f>N13/N21</f>
        <v>#REF!</v>
      </c>
      <c r="O33" s="557" t="s">
        <v>329</v>
      </c>
      <c r="P33" s="185"/>
      <c r="Q33" s="185"/>
      <c r="R33" s="185"/>
      <c r="S33" s="244"/>
    </row>
    <row r="34" spans="1:20" s="245" customFormat="1" x14ac:dyDescent="0.2">
      <c r="A34" s="247"/>
      <c r="B34" s="265"/>
      <c r="C34" s="250"/>
      <c r="D34" s="250"/>
      <c r="I34" s="246"/>
      <c r="K34" s="246"/>
      <c r="L34" s="246"/>
      <c r="M34" s="246"/>
      <c r="N34" s="246"/>
      <c r="O34" s="180"/>
      <c r="P34" s="185"/>
      <c r="Q34" s="182"/>
      <c r="R34" s="182"/>
      <c r="S34" s="182"/>
      <c r="T34" s="244"/>
    </row>
    <row r="35" spans="1:20" s="245" customFormat="1" x14ac:dyDescent="0.2">
      <c r="A35" s="248" t="s">
        <v>194</v>
      </c>
      <c r="B35" s="270"/>
      <c r="C35" s="244"/>
      <c r="G35" s="276" t="s">
        <v>191</v>
      </c>
      <c r="H35" s="276"/>
      <c r="I35" s="276"/>
      <c r="K35" s="246"/>
      <c r="L35" s="246"/>
      <c r="M35" s="246"/>
      <c r="N35" s="246"/>
      <c r="O35" s="180"/>
      <c r="P35" s="185"/>
      <c r="Q35" s="182"/>
      <c r="R35" s="182"/>
      <c r="S35" s="182"/>
      <c r="T35" s="244"/>
    </row>
    <row r="36" spans="1:20" s="245" customFormat="1" x14ac:dyDescent="0.2">
      <c r="A36" s="273" t="s">
        <v>185</v>
      </c>
      <c r="B36" s="250" t="s">
        <v>1</v>
      </c>
      <c r="C36" s="250" t="s">
        <v>186</v>
      </c>
      <c r="D36" s="250" t="s">
        <v>18</v>
      </c>
      <c r="G36" s="273" t="s">
        <v>185</v>
      </c>
      <c r="H36" s="250" t="s">
        <v>188</v>
      </c>
      <c r="I36" s="250" t="s">
        <v>186</v>
      </c>
      <c r="J36" s="250" t="s">
        <v>189</v>
      </c>
      <c r="K36" s="246"/>
      <c r="L36" s="246"/>
      <c r="M36" s="246"/>
      <c r="N36" s="246"/>
    </row>
    <row r="37" spans="1:20" s="245" customFormat="1" x14ac:dyDescent="0.2">
      <c r="A37" s="273">
        <v>2006</v>
      </c>
      <c r="B37" s="274">
        <v>251934</v>
      </c>
      <c r="C37" s="274">
        <v>250843</v>
      </c>
      <c r="D37" s="275">
        <f t="shared" ref="D37:D45" si="11">IF(ISERROR(C37/B37),"-",(C37/B37))</f>
        <v>0.99566950074225791</v>
      </c>
      <c r="G37" s="273">
        <v>2006</v>
      </c>
      <c r="H37" s="278">
        <v>36503</v>
      </c>
      <c r="I37" s="278">
        <v>34052</v>
      </c>
      <c r="J37" s="275">
        <f t="shared" ref="J37:J45" si="12">IF(ISERROR(I37/H37),"-",(I37/H37))</f>
        <v>0.9328548338492727</v>
      </c>
      <c r="K37" s="246"/>
      <c r="L37" s="246"/>
      <c r="M37" s="246"/>
      <c r="N37" s="246"/>
    </row>
    <row r="38" spans="1:20" s="245" customFormat="1" x14ac:dyDescent="0.2">
      <c r="A38" s="273">
        <v>2007</v>
      </c>
      <c r="B38" s="274">
        <v>350000</v>
      </c>
      <c r="C38" s="274">
        <f>C15</f>
        <v>343943</v>
      </c>
      <c r="D38" s="275">
        <f t="shared" si="11"/>
        <v>0.98269428571428574</v>
      </c>
      <c r="G38" s="273">
        <v>2007</v>
      </c>
      <c r="H38" s="278">
        <v>49134</v>
      </c>
      <c r="I38" s="278">
        <f>C20</f>
        <v>71551</v>
      </c>
      <c r="J38" s="275">
        <f t="shared" si="12"/>
        <v>1.4562421134041601</v>
      </c>
      <c r="K38" s="246"/>
      <c r="L38" s="246"/>
      <c r="M38" s="246"/>
      <c r="N38" s="246"/>
    </row>
    <row r="39" spans="1:20" s="245" customFormat="1" x14ac:dyDescent="0.2">
      <c r="A39" s="273">
        <v>2008</v>
      </c>
      <c r="B39" s="274">
        <v>365000</v>
      </c>
      <c r="C39" s="274">
        <f>D15</f>
        <v>492052</v>
      </c>
      <c r="D39" s="275">
        <f t="shared" si="11"/>
        <v>1.3480876712328766</v>
      </c>
      <c r="G39" s="273">
        <v>2008</v>
      </c>
      <c r="H39" s="278">
        <v>65017</v>
      </c>
      <c r="I39" s="278">
        <v>87541</v>
      </c>
      <c r="J39" s="275">
        <f t="shared" si="12"/>
        <v>1.3464324715074518</v>
      </c>
      <c r="K39" s="246"/>
      <c r="L39" s="246"/>
      <c r="M39" s="246"/>
      <c r="N39" s="246"/>
    </row>
    <row r="40" spans="1:20" s="245" customFormat="1" x14ac:dyDescent="0.2">
      <c r="A40" s="273">
        <v>2009</v>
      </c>
      <c r="B40" s="274">
        <v>570000</v>
      </c>
      <c r="C40" s="274">
        <f>+E15</f>
        <v>1349874.32</v>
      </c>
      <c r="D40" s="275">
        <f t="shared" si="11"/>
        <v>2.3682005614035089</v>
      </c>
      <c r="G40" s="273">
        <v>2009</v>
      </c>
      <c r="H40" s="278">
        <v>74514.195079770449</v>
      </c>
      <c r="I40" s="278">
        <f>E20</f>
        <v>462617</v>
      </c>
      <c r="J40" s="275">
        <f t="shared" si="12"/>
        <v>6.2084412172036467</v>
      </c>
      <c r="K40" s="246"/>
      <c r="L40" s="246"/>
      <c r="M40" s="246"/>
      <c r="N40" s="246"/>
    </row>
    <row r="41" spans="1:20" s="245" customFormat="1" x14ac:dyDescent="0.2">
      <c r="A41" s="273">
        <v>2010</v>
      </c>
      <c r="B41" s="274">
        <v>700569</v>
      </c>
      <c r="C41" s="274">
        <v>947533.14</v>
      </c>
      <c r="D41" s="275">
        <f t="shared" si="11"/>
        <v>1.35251936640074</v>
      </c>
      <c r="G41" s="273">
        <v>2010</v>
      </c>
      <c r="H41" s="278">
        <v>105631</v>
      </c>
      <c r="I41" s="278">
        <v>214440</v>
      </c>
      <c r="J41" s="275">
        <f t="shared" si="12"/>
        <v>2.03008586494495</v>
      </c>
      <c r="K41" s="246"/>
      <c r="L41" s="246"/>
      <c r="M41" s="246"/>
      <c r="N41" s="246"/>
    </row>
    <row r="42" spans="1:20" s="245" customFormat="1" x14ac:dyDescent="0.2">
      <c r="A42" s="273">
        <v>2011</v>
      </c>
      <c r="B42" s="274">
        <v>925803</v>
      </c>
      <c r="C42" s="274">
        <v>2055686.1500000001</v>
      </c>
      <c r="D42" s="275">
        <f t="shared" si="11"/>
        <v>2.2204358270604008</v>
      </c>
      <c r="G42" s="273">
        <v>2011</v>
      </c>
      <c r="H42" s="278">
        <v>168213</v>
      </c>
      <c r="I42" s="278">
        <v>360787</v>
      </c>
      <c r="J42" s="275">
        <f t="shared" si="12"/>
        <v>2.1448223383448366</v>
      </c>
      <c r="K42" s="246"/>
      <c r="L42" s="246"/>
      <c r="M42" s="246"/>
      <c r="N42" s="246"/>
    </row>
    <row r="43" spans="1:20" s="245" customFormat="1" x14ac:dyDescent="0.2">
      <c r="A43" s="273">
        <v>2012</v>
      </c>
      <c r="B43" s="274">
        <v>1125803</v>
      </c>
      <c r="C43" s="274">
        <f>+H15</f>
        <v>1765780</v>
      </c>
      <c r="D43" s="275">
        <f t="shared" si="11"/>
        <v>1.5684626884099615</v>
      </c>
      <c r="G43" s="273">
        <v>2012</v>
      </c>
      <c r="H43" s="536">
        <v>127667</v>
      </c>
      <c r="I43" s="278">
        <f>+H20</f>
        <v>264359</v>
      </c>
      <c r="J43" s="275">
        <f t="shared" si="12"/>
        <v>2.0706917214315368</v>
      </c>
      <c r="K43" s="246"/>
      <c r="L43" s="246"/>
      <c r="M43" s="246"/>
      <c r="N43" s="246"/>
    </row>
    <row r="44" spans="1:20" s="245" customFormat="1" x14ac:dyDescent="0.2">
      <c r="A44" s="273">
        <v>2013</v>
      </c>
      <c r="B44" s="274">
        <v>1560176</v>
      </c>
      <c r="C44" s="274">
        <f>I15</f>
        <v>3815862.3599999989</v>
      </c>
      <c r="D44" s="275">
        <f t="shared" si="11"/>
        <v>2.4457896801386503</v>
      </c>
      <c r="G44" s="273">
        <v>2013</v>
      </c>
      <c r="H44" s="278">
        <v>197476</v>
      </c>
      <c r="I44" s="278">
        <f>I20</f>
        <v>635324</v>
      </c>
      <c r="J44" s="275">
        <f t="shared" si="12"/>
        <v>3.2172213332253032</v>
      </c>
      <c r="K44" s="246"/>
      <c r="L44" s="246"/>
      <c r="M44" s="246"/>
      <c r="N44" s="246"/>
    </row>
    <row r="45" spans="1:20" s="245" customFormat="1" x14ac:dyDescent="0.2">
      <c r="A45" s="273">
        <v>2014</v>
      </c>
      <c r="B45" s="274">
        <v>2680076</v>
      </c>
      <c r="C45" s="274">
        <f>J15</f>
        <v>3541077.3399999985</v>
      </c>
      <c r="D45" s="275">
        <f t="shared" si="11"/>
        <v>1.3212600463568938</v>
      </c>
      <c r="G45" s="273">
        <v>2014</v>
      </c>
      <c r="H45" s="278">
        <v>337721</v>
      </c>
      <c r="I45" s="278">
        <f>J20</f>
        <v>459456</v>
      </c>
      <c r="J45" s="275">
        <f t="shared" si="12"/>
        <v>1.3604602615768637</v>
      </c>
      <c r="K45" s="246"/>
      <c r="L45" s="246"/>
      <c r="M45" s="246"/>
      <c r="N45" s="246"/>
    </row>
    <row r="46" spans="1:20" s="245" customFormat="1" x14ac:dyDescent="0.2">
      <c r="A46" s="273">
        <v>2015</v>
      </c>
      <c r="B46" s="274">
        <f>K15</f>
        <v>1745752</v>
      </c>
      <c r="C46" s="274"/>
      <c r="D46" s="275"/>
      <c r="G46" s="273">
        <v>2015</v>
      </c>
      <c r="H46" s="278">
        <f>K20</f>
        <v>161184</v>
      </c>
      <c r="I46" s="278"/>
      <c r="J46" s="275"/>
      <c r="K46" s="246"/>
      <c r="L46" s="246"/>
      <c r="M46" s="246"/>
      <c r="N46" s="246"/>
    </row>
    <row r="47" spans="1:20" s="245" customFormat="1" x14ac:dyDescent="0.2">
      <c r="A47" s="273">
        <v>2016</v>
      </c>
      <c r="B47" s="274">
        <f>L15</f>
        <v>2510927</v>
      </c>
      <c r="C47" s="274"/>
      <c r="D47" s="275"/>
      <c r="G47" s="273">
        <v>2016</v>
      </c>
      <c r="H47" s="278">
        <f>L20</f>
        <v>215941.59695829652</v>
      </c>
      <c r="I47" s="278"/>
      <c r="J47" s="275"/>
      <c r="K47" s="246"/>
      <c r="L47" s="246"/>
      <c r="M47" s="246"/>
      <c r="N47" s="246"/>
    </row>
    <row r="48" spans="1:20" s="245" customFormat="1" x14ac:dyDescent="0.2">
      <c r="A48" s="273">
        <v>2017</v>
      </c>
      <c r="B48" s="274">
        <f>M15</f>
        <v>2123695</v>
      </c>
      <c r="C48" s="274"/>
      <c r="D48" s="275"/>
      <c r="G48" s="273">
        <v>2017</v>
      </c>
      <c r="H48" s="278">
        <f>M20</f>
        <v>178481.71849476462</v>
      </c>
      <c r="I48" s="278"/>
      <c r="J48" s="275"/>
      <c r="K48" s="246"/>
      <c r="L48" s="246"/>
      <c r="M48" s="246"/>
      <c r="N48" s="246"/>
    </row>
    <row r="49" spans="1:14" s="245" customFormat="1" x14ac:dyDescent="0.2">
      <c r="A49" s="273">
        <v>2018</v>
      </c>
      <c r="B49" s="274">
        <f>N15</f>
        <v>3321827.41</v>
      </c>
      <c r="C49" s="274"/>
      <c r="D49" s="275"/>
      <c r="G49" s="273">
        <v>2018</v>
      </c>
      <c r="H49" s="278" t="e">
        <f>N20</f>
        <v>#REF!</v>
      </c>
      <c r="I49" s="278"/>
      <c r="J49" s="275"/>
      <c r="K49" s="246"/>
      <c r="L49" s="246"/>
      <c r="M49" s="246"/>
      <c r="N49" s="246"/>
    </row>
    <row r="50" spans="1:14" s="245" customFormat="1" x14ac:dyDescent="0.2">
      <c r="A50" s="273"/>
      <c r="B50" s="274"/>
      <c r="C50" s="274"/>
      <c r="D50" s="275"/>
      <c r="G50" s="273"/>
      <c r="H50" s="278"/>
      <c r="I50" s="278"/>
      <c r="J50" s="275"/>
      <c r="K50" s="246"/>
      <c r="L50" s="246"/>
      <c r="M50" s="246"/>
      <c r="N50" s="246"/>
    </row>
    <row r="51" spans="1:14" s="245" customFormat="1" x14ac:dyDescent="0.2">
      <c r="A51" s="276" t="s">
        <v>193</v>
      </c>
      <c r="B51" s="277"/>
      <c r="C51" s="277"/>
      <c r="D51" s="244"/>
      <c r="G51" s="276" t="s">
        <v>190</v>
      </c>
      <c r="H51" s="276"/>
      <c r="I51" s="276"/>
      <c r="J51" s="276"/>
      <c r="K51" s="246"/>
      <c r="L51" s="246"/>
      <c r="M51" s="246"/>
      <c r="N51" s="246"/>
    </row>
    <row r="52" spans="1:14" s="245" customFormat="1" x14ac:dyDescent="0.2">
      <c r="A52" s="273" t="s">
        <v>185</v>
      </c>
      <c r="B52" s="250" t="s">
        <v>188</v>
      </c>
      <c r="C52" s="250" t="s">
        <v>186</v>
      </c>
      <c r="D52" s="250" t="s">
        <v>189</v>
      </c>
      <c r="G52" s="273" t="s">
        <v>185</v>
      </c>
      <c r="H52" s="250" t="s">
        <v>188</v>
      </c>
      <c r="I52" s="250" t="s">
        <v>186</v>
      </c>
      <c r="J52" s="250" t="s">
        <v>189</v>
      </c>
      <c r="K52" s="246"/>
      <c r="L52" s="246"/>
      <c r="M52" s="246"/>
      <c r="N52" s="246"/>
    </row>
    <row r="53" spans="1:14" s="245" customFormat="1" x14ac:dyDescent="0.2">
      <c r="A53" s="273">
        <v>2006</v>
      </c>
      <c r="B53" s="278">
        <v>313</v>
      </c>
      <c r="C53" s="278">
        <v>253</v>
      </c>
      <c r="D53" s="275">
        <f t="shared" ref="D53:D61" si="13">IF(ISERROR(C53/B53),"-",(C53/B53))</f>
        <v>0.80830670926517567</v>
      </c>
      <c r="G53" s="273">
        <v>2006</v>
      </c>
      <c r="H53" s="278">
        <v>594411</v>
      </c>
      <c r="I53" s="278">
        <v>579135</v>
      </c>
      <c r="J53" s="275">
        <f t="shared" ref="J53:J61" si="14">IF(ISERROR(I53/H53),"-",(I53/H53))</f>
        <v>0.97430061018386271</v>
      </c>
      <c r="K53" s="246"/>
      <c r="L53" s="246"/>
      <c r="M53" s="246"/>
      <c r="N53" s="246"/>
    </row>
    <row r="54" spans="1:14" s="245" customFormat="1" x14ac:dyDescent="0.2">
      <c r="A54" s="273">
        <v>2007</v>
      </c>
      <c r="B54" s="278">
        <v>574</v>
      </c>
      <c r="C54" s="278">
        <f>C28</f>
        <v>545</v>
      </c>
      <c r="D54" s="275">
        <f t="shared" si="13"/>
        <v>0.94947735191637628</v>
      </c>
      <c r="G54" s="273">
        <v>2007</v>
      </c>
      <c r="H54" s="278">
        <v>982670</v>
      </c>
      <c r="I54" s="278">
        <f>C21</f>
        <v>975607</v>
      </c>
      <c r="J54" s="275">
        <f t="shared" si="14"/>
        <v>0.99281243957788479</v>
      </c>
      <c r="K54" s="246"/>
      <c r="L54" s="246"/>
      <c r="M54" s="246"/>
      <c r="N54" s="246"/>
    </row>
    <row r="55" spans="1:14" s="245" customFormat="1" x14ac:dyDescent="0.2">
      <c r="A55" s="273">
        <v>2008</v>
      </c>
      <c r="B55" s="278">
        <v>1067</v>
      </c>
      <c r="C55" s="278">
        <v>1910</v>
      </c>
      <c r="D55" s="275">
        <f t="shared" si="13"/>
        <v>1.7900656044985941</v>
      </c>
      <c r="G55" s="273">
        <v>2008</v>
      </c>
      <c r="H55" s="278">
        <v>845218</v>
      </c>
      <c r="I55" s="278">
        <v>956898</v>
      </c>
      <c r="J55" s="275">
        <f t="shared" si="14"/>
        <v>1.132131592086302</v>
      </c>
      <c r="K55" s="246"/>
      <c r="L55" s="246"/>
      <c r="M55" s="246"/>
      <c r="N55" s="246"/>
    </row>
    <row r="56" spans="1:14" s="245" customFormat="1" x14ac:dyDescent="0.2">
      <c r="A56" s="273">
        <v>2009</v>
      </c>
      <c r="B56" s="278">
        <v>1185</v>
      </c>
      <c r="C56" s="278">
        <f>+E28</f>
        <v>3511</v>
      </c>
      <c r="D56" s="275">
        <f t="shared" si="13"/>
        <v>2.9628691983122364</v>
      </c>
      <c r="G56" s="273">
        <v>2009</v>
      </c>
      <c r="H56" s="681">
        <v>1142514.5010102813</v>
      </c>
      <c r="I56" s="278">
        <f>E21</f>
        <v>7964615</v>
      </c>
      <c r="J56" s="275">
        <f t="shared" si="14"/>
        <v>6.9711281501960807</v>
      </c>
      <c r="K56" s="246"/>
      <c r="L56" s="246"/>
      <c r="M56" s="246"/>
      <c r="N56" s="246"/>
    </row>
    <row r="57" spans="1:14" s="245" customFormat="1" x14ac:dyDescent="0.2">
      <c r="A57" s="273">
        <v>2010</v>
      </c>
      <c r="B57" s="278">
        <v>852</v>
      </c>
      <c r="C57" s="278">
        <v>2034</v>
      </c>
      <c r="D57" s="275">
        <f t="shared" si="13"/>
        <v>2.387323943661972</v>
      </c>
      <c r="G57" s="273">
        <v>2010</v>
      </c>
      <c r="H57" s="681">
        <v>1884754</v>
      </c>
      <c r="I57" s="278">
        <v>3551448</v>
      </c>
      <c r="J57" s="275">
        <f t="shared" si="14"/>
        <v>1.884303203494992</v>
      </c>
      <c r="K57" s="246"/>
      <c r="L57" s="246"/>
      <c r="M57" s="246"/>
      <c r="N57" s="246"/>
    </row>
    <row r="58" spans="1:14" s="245" customFormat="1" x14ac:dyDescent="0.2">
      <c r="A58" s="273">
        <v>2011</v>
      </c>
      <c r="B58" s="278">
        <v>1483</v>
      </c>
      <c r="C58" s="278">
        <v>3268</v>
      </c>
      <c r="D58" s="275">
        <f t="shared" si="13"/>
        <v>2.2036412677006068</v>
      </c>
      <c r="G58" s="273">
        <v>2011</v>
      </c>
      <c r="H58" s="681">
        <v>2765352</v>
      </c>
      <c r="I58" s="278">
        <v>5637187</v>
      </c>
      <c r="J58" s="275">
        <f t="shared" si="14"/>
        <v>2.0385061286953703</v>
      </c>
      <c r="K58" s="246"/>
      <c r="L58" s="246"/>
      <c r="M58" s="246"/>
      <c r="N58" s="246"/>
    </row>
    <row r="59" spans="1:14" s="245" customFormat="1" x14ac:dyDescent="0.2">
      <c r="A59" s="273">
        <v>2012</v>
      </c>
      <c r="B59" s="536">
        <v>1875</v>
      </c>
      <c r="C59" s="278">
        <f>+H28</f>
        <v>2479</v>
      </c>
      <c r="D59" s="275">
        <f t="shared" si="13"/>
        <v>1.3221333333333334</v>
      </c>
      <c r="G59" s="273">
        <v>2012</v>
      </c>
      <c r="H59" s="314">
        <v>2287555</v>
      </c>
      <c r="I59" s="278">
        <f>+H21</f>
        <v>4941850</v>
      </c>
      <c r="J59" s="275">
        <f t="shared" si="14"/>
        <v>2.1603196425878286</v>
      </c>
      <c r="K59" s="246"/>
      <c r="L59" s="246"/>
      <c r="M59" s="246"/>
      <c r="N59" s="246"/>
    </row>
    <row r="60" spans="1:14" s="245" customFormat="1" x14ac:dyDescent="0.2">
      <c r="A60" s="273">
        <v>2013</v>
      </c>
      <c r="B60" s="278">
        <v>2460</v>
      </c>
      <c r="C60" s="278">
        <f>I28</f>
        <v>3647</v>
      </c>
      <c r="D60" s="275">
        <f t="shared" si="13"/>
        <v>1.4825203252032519</v>
      </c>
      <c r="G60" s="273">
        <v>2013</v>
      </c>
      <c r="H60" s="278">
        <v>3902032</v>
      </c>
      <c r="I60" s="278">
        <f>I21</f>
        <v>13533448</v>
      </c>
      <c r="J60" s="275">
        <f t="shared" si="14"/>
        <v>3.4683077945029668</v>
      </c>
      <c r="K60" s="246"/>
      <c r="L60" s="246"/>
      <c r="M60" s="246"/>
      <c r="N60" s="246"/>
    </row>
    <row r="61" spans="1:14" s="245" customFormat="1" x14ac:dyDescent="0.2">
      <c r="A61" s="273">
        <v>2014</v>
      </c>
      <c r="B61" s="278">
        <v>4080</v>
      </c>
      <c r="C61" s="278">
        <f>J28</f>
        <v>2395</v>
      </c>
      <c r="D61" s="275">
        <f t="shared" si="13"/>
        <v>0.58700980392156865</v>
      </c>
      <c r="G61" s="273">
        <v>2014</v>
      </c>
      <c r="H61" s="278">
        <v>6633849</v>
      </c>
      <c r="I61" s="278">
        <f>J21</f>
        <v>9680378</v>
      </c>
      <c r="J61" s="275">
        <f t="shared" si="14"/>
        <v>1.4592400279234574</v>
      </c>
      <c r="K61" s="246"/>
      <c r="L61" s="246"/>
      <c r="M61" s="246"/>
      <c r="N61" s="246"/>
    </row>
    <row r="62" spans="1:14" s="245" customFormat="1" x14ac:dyDescent="0.2">
      <c r="A62" s="273">
        <v>2015</v>
      </c>
      <c r="B62" s="278">
        <f>K28</f>
        <v>2574</v>
      </c>
      <c r="C62" s="278"/>
      <c r="D62" s="275"/>
      <c r="G62" s="273">
        <v>2015</v>
      </c>
      <c r="H62" s="278">
        <f>K21</f>
        <v>3169589</v>
      </c>
      <c r="I62" s="278"/>
      <c r="J62" s="275"/>
      <c r="K62" s="246"/>
      <c r="L62" s="246"/>
      <c r="M62" s="246"/>
      <c r="N62" s="246"/>
    </row>
    <row r="63" spans="1:14" s="245" customFormat="1" x14ac:dyDescent="0.2">
      <c r="A63" s="273">
        <v>2016</v>
      </c>
      <c r="B63" s="278">
        <f>L28</f>
        <v>2454.7863063828459</v>
      </c>
      <c r="G63" s="273">
        <v>2016</v>
      </c>
      <c r="H63" s="2234">
        <f>L21</f>
        <v>4597301.9157452565</v>
      </c>
      <c r="I63" s="246"/>
      <c r="K63" s="246"/>
      <c r="L63" s="246"/>
      <c r="M63" s="246"/>
      <c r="N63" s="246"/>
    </row>
    <row r="64" spans="1:14" s="245" customFormat="1" x14ac:dyDescent="0.2">
      <c r="A64" s="273">
        <v>2017</v>
      </c>
      <c r="B64" s="278">
        <f>M28</f>
        <v>1685.5472674238695</v>
      </c>
      <c r="G64" s="273">
        <v>2017</v>
      </c>
      <c r="H64" s="2234">
        <f>M21</f>
        <v>3901346.6427920158</v>
      </c>
      <c r="I64" s="246"/>
      <c r="K64" s="246"/>
      <c r="L64" s="246"/>
      <c r="M64" s="246"/>
      <c r="N64" s="246"/>
    </row>
    <row r="65" spans="1:14" s="245" customFormat="1" x14ac:dyDescent="0.2">
      <c r="A65" s="273">
        <v>2018</v>
      </c>
      <c r="B65" s="278" t="e">
        <f>N28</f>
        <v>#REF!</v>
      </c>
      <c r="G65" s="273">
        <v>2018</v>
      </c>
      <c r="H65" s="2234" t="e">
        <f>N21</f>
        <v>#REF!</v>
      </c>
      <c r="I65" s="246"/>
      <c r="K65" s="246"/>
      <c r="L65" s="246"/>
      <c r="M65" s="246"/>
      <c r="N65" s="246"/>
    </row>
    <row r="66" spans="1:14" s="245" customFormat="1" x14ac:dyDescent="0.2">
      <c r="I66" s="246"/>
      <c r="K66" s="246"/>
      <c r="L66" s="246"/>
      <c r="M66" s="246"/>
      <c r="N66" s="246"/>
    </row>
    <row r="67" spans="1:14" s="245" customFormat="1" x14ac:dyDescent="0.2">
      <c r="I67" s="246"/>
      <c r="K67" s="246"/>
      <c r="L67" s="246"/>
      <c r="M67" s="246"/>
      <c r="N67" s="246"/>
    </row>
    <row r="68" spans="1:14" s="245" customFormat="1" x14ac:dyDescent="0.2">
      <c r="I68" s="246"/>
      <c r="K68" s="246"/>
      <c r="L68" s="246"/>
      <c r="M68" s="246"/>
      <c r="N68" s="246"/>
    </row>
    <row r="69" spans="1:14" s="245" customFormat="1" x14ac:dyDescent="0.2">
      <c r="I69" s="246"/>
      <c r="K69" s="246"/>
      <c r="L69" s="246"/>
      <c r="M69" s="246"/>
      <c r="N69" s="246"/>
    </row>
    <row r="70" spans="1:14" s="245" customFormat="1" x14ac:dyDescent="0.2">
      <c r="I70" s="246"/>
      <c r="K70" s="246"/>
      <c r="L70" s="246"/>
      <c r="M70" s="246"/>
      <c r="N70" s="246"/>
    </row>
    <row r="71" spans="1:14" s="245" customFormat="1" x14ac:dyDescent="0.2">
      <c r="I71" s="246"/>
      <c r="K71" s="246"/>
      <c r="L71" s="246"/>
      <c r="M71" s="246"/>
      <c r="N71" s="246"/>
    </row>
    <row r="72" spans="1:14" s="245" customFormat="1" x14ac:dyDescent="0.2">
      <c r="I72" s="246"/>
      <c r="K72" s="246"/>
      <c r="L72" s="246"/>
      <c r="M72" s="246"/>
      <c r="N72" s="246"/>
    </row>
    <row r="73" spans="1:14" s="245" customFormat="1" x14ac:dyDescent="0.2">
      <c r="I73" s="246"/>
      <c r="K73" s="246"/>
      <c r="L73" s="246"/>
      <c r="M73" s="246"/>
      <c r="N73" s="246"/>
    </row>
    <row r="74" spans="1:14" s="245" customFormat="1" x14ac:dyDescent="0.2">
      <c r="I74" s="246"/>
      <c r="K74" s="246"/>
      <c r="L74" s="246"/>
      <c r="M74" s="246"/>
      <c r="N74" s="246"/>
    </row>
    <row r="75" spans="1:14" s="245" customFormat="1" x14ac:dyDescent="0.2">
      <c r="I75" s="246"/>
      <c r="K75" s="246"/>
      <c r="L75" s="246"/>
      <c r="M75" s="246"/>
      <c r="N75" s="246"/>
    </row>
    <row r="76" spans="1:14" s="245" customFormat="1" x14ac:dyDescent="0.2">
      <c r="I76" s="246"/>
      <c r="K76" s="246"/>
      <c r="L76" s="246"/>
      <c r="M76" s="246"/>
      <c r="N76" s="246"/>
    </row>
    <row r="77" spans="1:14" s="245" customFormat="1" x14ac:dyDescent="0.2">
      <c r="I77" s="246"/>
      <c r="K77" s="246"/>
      <c r="L77" s="246"/>
      <c r="M77" s="246"/>
      <c r="N77" s="246"/>
    </row>
    <row r="78" spans="1:14" s="245" customFormat="1" x14ac:dyDescent="0.2">
      <c r="I78" s="246"/>
      <c r="K78" s="246"/>
      <c r="L78" s="246"/>
      <c r="M78" s="246"/>
      <c r="N78" s="246"/>
    </row>
    <row r="79" spans="1:14" s="245" customFormat="1" x14ac:dyDescent="0.2">
      <c r="I79" s="246"/>
      <c r="K79" s="246"/>
      <c r="L79" s="246"/>
      <c r="M79" s="246"/>
      <c r="N79" s="246"/>
    </row>
    <row r="80" spans="1:14" s="245" customFormat="1" x14ac:dyDescent="0.2">
      <c r="I80" s="246"/>
      <c r="K80" s="246"/>
      <c r="L80" s="246"/>
      <c r="M80" s="246"/>
      <c r="N80" s="246"/>
    </row>
    <row r="81" spans="5:14" s="245" customFormat="1" x14ac:dyDescent="0.2">
      <c r="I81" s="246"/>
      <c r="K81" s="246"/>
      <c r="L81" s="246"/>
      <c r="M81" s="246"/>
      <c r="N81" s="246"/>
    </row>
    <row r="82" spans="5:14" s="245" customFormat="1" x14ac:dyDescent="0.2">
      <c r="I82" s="246"/>
      <c r="K82" s="246"/>
      <c r="L82" s="246"/>
      <c r="M82" s="246"/>
      <c r="N82" s="246"/>
    </row>
    <row r="83" spans="5:14" s="245" customFormat="1" x14ac:dyDescent="0.2">
      <c r="I83" s="246"/>
      <c r="K83" s="246"/>
      <c r="L83" s="246"/>
      <c r="M83" s="246"/>
      <c r="N83" s="246"/>
    </row>
    <row r="84" spans="5:14" s="245" customFormat="1" x14ac:dyDescent="0.2">
      <c r="I84" s="246"/>
      <c r="K84" s="246"/>
      <c r="L84" s="246"/>
      <c r="M84" s="246"/>
      <c r="N84" s="246"/>
    </row>
    <row r="85" spans="5:14" s="245" customFormat="1" x14ac:dyDescent="0.2">
      <c r="I85" s="246"/>
      <c r="K85" s="246"/>
      <c r="L85" s="246"/>
      <c r="M85" s="246"/>
      <c r="N85" s="246"/>
    </row>
    <row r="86" spans="5:14" x14ac:dyDescent="0.2">
      <c r="E86" s="3"/>
      <c r="F86" s="3"/>
      <c r="G86" s="3"/>
      <c r="H86" s="3"/>
      <c r="I86" s="181"/>
      <c r="K86" s="181"/>
      <c r="L86" s="181"/>
      <c r="M86" s="181"/>
      <c r="N86" s="181"/>
    </row>
    <row r="87" spans="5:14" x14ac:dyDescent="0.2">
      <c r="E87" s="3"/>
      <c r="F87" s="3"/>
      <c r="G87" s="3"/>
      <c r="H87" s="3"/>
      <c r="I87" s="181"/>
      <c r="K87" s="181"/>
      <c r="L87" s="181"/>
      <c r="M87" s="181"/>
      <c r="N87" s="181"/>
    </row>
  </sheetData>
  <mergeCells count="1">
    <mergeCell ref="A1:O1"/>
  </mergeCells>
  <phoneticPr fontId="10" type="noConversion"/>
  <pageMargins left="0.98" right="0.75" top="1.1499999999999999" bottom="1" header="0.5" footer="0.5"/>
  <pageSetup scale="61" fitToHeight="0" orientation="landscape" r:id="rId1"/>
  <headerFooter alignWithMargins="0">
    <oddFooter>&amp;C&amp;1#&amp;"Calibri"&amp;12&amp;K008000Internal Use</oddFooter>
  </headerFooter>
  <rowBreaks count="1" manualBreakCount="1">
    <brk id="34" max="14"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20">
    <tabColor indexed="11"/>
    <pageSetUpPr fitToPage="1"/>
  </sheetPr>
  <dimension ref="A1:S90"/>
  <sheetViews>
    <sheetView topLeftCell="A4" workbookViewId="0">
      <selection sqref="A1:N89"/>
    </sheetView>
  </sheetViews>
  <sheetFormatPr defaultRowHeight="12.75" x14ac:dyDescent="0.2"/>
  <cols>
    <col min="1" max="1" width="40.5703125" style="168" customWidth="1"/>
    <col min="2" max="2" width="9.7109375" style="571" bestFit="1" customWidth="1"/>
    <col min="3" max="3" width="12.140625" style="571" bestFit="1" customWidth="1"/>
    <col min="4" max="4" width="11.7109375" style="168" customWidth="1"/>
    <col min="5" max="6" width="9.7109375" style="168" bestFit="1" customWidth="1"/>
    <col min="7" max="7" width="7.5703125" style="168" bestFit="1" customWidth="1"/>
    <col min="8" max="8" width="9.85546875" style="168" bestFit="1" customWidth="1"/>
    <col min="9" max="9" width="10" style="3" bestFit="1" customWidth="1"/>
    <col min="10" max="10" width="13.28515625" style="3" bestFit="1" customWidth="1"/>
    <col min="11" max="11" width="9.85546875" style="168" bestFit="1" customWidth="1"/>
    <col min="12" max="13" width="9.85546875" style="168" customWidth="1"/>
    <col min="14" max="14" width="6.85546875" style="168" bestFit="1" customWidth="1"/>
    <col min="15" max="15" width="11.42578125" style="168" customWidth="1"/>
    <col min="16" max="16" width="10.7109375" style="168" customWidth="1"/>
    <col min="17" max="17" width="12.28515625" style="168" customWidth="1"/>
    <col min="18" max="16384" width="9.140625" style="168"/>
  </cols>
  <sheetData>
    <row r="1" spans="1:14" ht="15.75" x14ac:dyDescent="0.25">
      <c r="A1" s="3055" t="s">
        <v>48</v>
      </c>
      <c r="B1" s="3055"/>
      <c r="C1" s="3055"/>
      <c r="D1" s="3055"/>
      <c r="E1" s="3055"/>
      <c r="F1" s="3055"/>
      <c r="G1" s="3055"/>
      <c r="H1" s="3055"/>
      <c r="I1" s="3055"/>
      <c r="J1" s="3055"/>
      <c r="K1" s="3055"/>
      <c r="L1" s="3055"/>
      <c r="M1" s="3055"/>
      <c r="N1" s="3055"/>
    </row>
    <row r="2" spans="1:14" x14ac:dyDescent="0.2">
      <c r="A2" s="169"/>
    </row>
    <row r="3" spans="1:14" ht="15.75" x14ac:dyDescent="0.25">
      <c r="A3" s="172" t="s">
        <v>197</v>
      </c>
    </row>
    <row r="4" spans="1:14" x14ac:dyDescent="0.2">
      <c r="A4" s="169"/>
    </row>
    <row r="5" spans="1:14" ht="11.25" x14ac:dyDescent="0.2">
      <c r="A5" s="173"/>
      <c r="I5" s="171"/>
      <c r="J5" s="171"/>
    </row>
    <row r="6" spans="1:14" s="245" customFormat="1" x14ac:dyDescent="0.2">
      <c r="A6" s="242"/>
      <c r="B6" s="243">
        <v>2006</v>
      </c>
      <c r="C6" s="243">
        <v>2007</v>
      </c>
      <c r="D6" s="243">
        <v>2008</v>
      </c>
      <c r="E6" s="243">
        <v>2009</v>
      </c>
      <c r="F6" s="243">
        <v>2010</v>
      </c>
      <c r="G6" s="243">
        <v>2011</v>
      </c>
      <c r="H6" s="243">
        <v>2012</v>
      </c>
      <c r="I6" s="243">
        <v>2012</v>
      </c>
      <c r="J6" s="243">
        <v>2012</v>
      </c>
      <c r="K6" s="243">
        <v>2013</v>
      </c>
      <c r="L6" s="243">
        <v>2014</v>
      </c>
      <c r="M6" s="243">
        <v>2015</v>
      </c>
    </row>
    <row r="7" spans="1:14" s="245" customFormat="1" x14ac:dyDescent="0.2">
      <c r="A7" s="247" t="s">
        <v>44</v>
      </c>
      <c r="B7" s="248" t="s">
        <v>148</v>
      </c>
      <c r="C7" s="248" t="s">
        <v>148</v>
      </c>
      <c r="D7" s="248" t="s">
        <v>148</v>
      </c>
      <c r="E7" s="248" t="s">
        <v>148</v>
      </c>
      <c r="F7" s="248" t="s">
        <v>148</v>
      </c>
      <c r="G7" s="248" t="s">
        <v>148</v>
      </c>
      <c r="H7" s="248" t="s">
        <v>1</v>
      </c>
      <c r="I7" s="248" t="s">
        <v>316</v>
      </c>
      <c r="J7" s="248" t="s">
        <v>212</v>
      </c>
      <c r="K7" s="248" t="s">
        <v>1</v>
      </c>
      <c r="L7" s="248" t="s">
        <v>1</v>
      </c>
      <c r="M7" s="248" t="s">
        <v>1</v>
      </c>
    </row>
    <row r="8" spans="1:14" s="245" customFormat="1" x14ac:dyDescent="0.2">
      <c r="A8" s="244"/>
      <c r="I8" s="251"/>
      <c r="J8" s="251"/>
      <c r="K8" s="284"/>
      <c r="L8" s="575"/>
      <c r="M8" s="575"/>
    </row>
    <row r="9" spans="1:14" s="245" customFormat="1" x14ac:dyDescent="0.2">
      <c r="A9" s="244" t="s">
        <v>53</v>
      </c>
      <c r="B9" s="246" t="s">
        <v>187</v>
      </c>
      <c r="C9" s="246" t="s">
        <v>187</v>
      </c>
      <c r="D9" s="252">
        <v>3346</v>
      </c>
      <c r="E9" s="252">
        <v>4059</v>
      </c>
      <c r="F9" s="252">
        <v>2972.02</v>
      </c>
      <c r="G9" s="252"/>
      <c r="H9" s="252">
        <v>3500</v>
      </c>
      <c r="I9" s="252"/>
      <c r="J9" s="252"/>
      <c r="K9" s="287" t="e">
        <f>#REF!</f>
        <v>#REF!</v>
      </c>
      <c r="L9" s="252" t="e">
        <f>K9</f>
        <v>#REF!</v>
      </c>
      <c r="M9" s="252" t="e">
        <f>L9</f>
        <v>#REF!</v>
      </c>
    </row>
    <row r="10" spans="1:14" s="245" customFormat="1" x14ac:dyDescent="0.2">
      <c r="A10" s="244" t="s">
        <v>45</v>
      </c>
      <c r="B10" s="246" t="s">
        <v>187</v>
      </c>
      <c r="C10" s="246" t="s">
        <v>187</v>
      </c>
      <c r="D10" s="252">
        <v>8322</v>
      </c>
      <c r="E10" s="252">
        <v>6568</v>
      </c>
      <c r="F10" s="252">
        <v>2843.86</v>
      </c>
      <c r="G10" s="252"/>
      <c r="H10" s="252">
        <v>4099.585</v>
      </c>
      <c r="I10" s="252"/>
      <c r="J10" s="252"/>
      <c r="K10" s="287" t="e">
        <f>#REF!</f>
        <v>#REF!</v>
      </c>
      <c r="L10" s="252" t="e">
        <f t="shared" ref="L10:M14" si="0">K10</f>
        <v>#REF!</v>
      </c>
      <c r="M10" s="252" t="e">
        <f t="shared" si="0"/>
        <v>#REF!</v>
      </c>
    </row>
    <row r="11" spans="1:14" s="245" customFormat="1" x14ac:dyDescent="0.2">
      <c r="A11" s="285" t="s">
        <v>202</v>
      </c>
      <c r="B11" s="246" t="s">
        <v>187</v>
      </c>
      <c r="C11" s="246" t="s">
        <v>187</v>
      </c>
      <c r="D11" s="252">
        <v>0</v>
      </c>
      <c r="E11" s="252">
        <v>0</v>
      </c>
      <c r="F11" s="252">
        <v>0</v>
      </c>
      <c r="G11" s="252"/>
      <c r="H11" s="252">
        <v>256.13</v>
      </c>
      <c r="I11" s="252"/>
      <c r="J11" s="252"/>
      <c r="K11" s="287" t="e">
        <f>#REF!</f>
        <v>#REF!</v>
      </c>
      <c r="L11" s="252" t="e">
        <f t="shared" si="0"/>
        <v>#REF!</v>
      </c>
      <c r="M11" s="252" t="e">
        <f t="shared" si="0"/>
        <v>#REF!</v>
      </c>
    </row>
    <row r="12" spans="1:14" s="245" customFormat="1" ht="14.25" x14ac:dyDescent="0.2">
      <c r="A12" s="244" t="s">
        <v>2</v>
      </c>
      <c r="B12" s="246" t="s">
        <v>187</v>
      </c>
      <c r="C12" s="246" t="s">
        <v>187</v>
      </c>
      <c r="D12" s="252">
        <v>49728</v>
      </c>
      <c r="E12" s="252">
        <v>92196</v>
      </c>
      <c r="F12" s="252">
        <v>50786.400000000001</v>
      </c>
      <c r="G12" s="252"/>
      <c r="H12" s="252">
        <v>56917.455000000002</v>
      </c>
      <c r="I12" s="252"/>
      <c r="J12" s="252"/>
      <c r="K12" s="287" t="e">
        <f>#REF!</f>
        <v>#REF!</v>
      </c>
      <c r="L12" s="257" t="e">
        <f t="shared" si="0"/>
        <v>#REF!</v>
      </c>
      <c r="M12" s="257" t="e">
        <f t="shared" si="0"/>
        <v>#REF!</v>
      </c>
      <c r="N12" s="947" t="s">
        <v>326</v>
      </c>
    </row>
    <row r="13" spans="1:14" s="245" customFormat="1" ht="14.25" x14ac:dyDescent="0.2">
      <c r="A13" s="244" t="s">
        <v>14</v>
      </c>
      <c r="B13" s="246" t="s">
        <v>187</v>
      </c>
      <c r="C13" s="246" t="s">
        <v>187</v>
      </c>
      <c r="D13" s="252">
        <v>1349</v>
      </c>
      <c r="E13" s="252">
        <v>912</v>
      </c>
      <c r="F13" s="252">
        <v>2967</v>
      </c>
      <c r="G13" s="252"/>
      <c r="H13" s="252">
        <v>4206.93</v>
      </c>
      <c r="I13" s="252"/>
      <c r="J13" s="252"/>
      <c r="K13" s="287" t="e">
        <f>#REF!</f>
        <v>#REF!</v>
      </c>
      <c r="L13" s="252" t="e">
        <f t="shared" si="0"/>
        <v>#REF!</v>
      </c>
      <c r="M13" s="252" t="e">
        <f t="shared" si="0"/>
        <v>#REF!</v>
      </c>
      <c r="N13" s="947" t="s">
        <v>327</v>
      </c>
    </row>
    <row r="14" spans="1:14" s="245" customFormat="1" ht="15" x14ac:dyDescent="0.35">
      <c r="A14" s="244" t="s">
        <v>46</v>
      </c>
      <c r="B14" s="246" t="s">
        <v>187</v>
      </c>
      <c r="C14" s="246" t="s">
        <v>187</v>
      </c>
      <c r="D14" s="256">
        <v>114</v>
      </c>
      <c r="E14" s="256">
        <v>355</v>
      </c>
      <c r="F14" s="256">
        <v>1277.29</v>
      </c>
      <c r="G14" s="256"/>
      <c r="H14" s="256">
        <v>1019.9</v>
      </c>
      <c r="I14" s="256"/>
      <c r="J14" s="256"/>
      <c r="K14" s="292" t="e">
        <f>#REF!</f>
        <v>#REF!</v>
      </c>
      <c r="L14" s="256" t="e">
        <f t="shared" si="0"/>
        <v>#REF!</v>
      </c>
      <c r="M14" s="256" t="e">
        <f t="shared" si="0"/>
        <v>#REF!</v>
      </c>
    </row>
    <row r="15" spans="1:14" s="245" customFormat="1" x14ac:dyDescent="0.2">
      <c r="A15" s="244" t="s">
        <v>86</v>
      </c>
      <c r="C15" s="257"/>
      <c r="D15" s="252">
        <f t="shared" ref="D15:M15" si="1">SUM(D9:D14)</f>
        <v>62859</v>
      </c>
      <c r="E15" s="252">
        <f t="shared" si="1"/>
        <v>104090</v>
      </c>
      <c r="F15" s="252">
        <f t="shared" si="1"/>
        <v>60846.57</v>
      </c>
      <c r="G15" s="252">
        <f t="shared" si="1"/>
        <v>0</v>
      </c>
      <c r="H15" s="252">
        <f t="shared" si="1"/>
        <v>70000</v>
      </c>
      <c r="I15" s="252">
        <f t="shared" si="1"/>
        <v>0</v>
      </c>
      <c r="J15" s="252">
        <f t="shared" si="1"/>
        <v>0</v>
      </c>
      <c r="K15" s="287" t="e">
        <f t="shared" si="1"/>
        <v>#REF!</v>
      </c>
      <c r="L15" s="504" t="e">
        <f t="shared" si="1"/>
        <v>#REF!</v>
      </c>
      <c r="M15" s="504" t="e">
        <f t="shared" si="1"/>
        <v>#REF!</v>
      </c>
      <c r="N15" s="246" t="s">
        <v>201</v>
      </c>
    </row>
    <row r="16" spans="1:14" s="245" customFormat="1" x14ac:dyDescent="0.2">
      <c r="A16" s="244"/>
      <c r="B16" s="253"/>
      <c r="C16" s="259"/>
      <c r="D16" s="260"/>
      <c r="I16" s="255"/>
      <c r="J16" s="255"/>
      <c r="K16" s="284"/>
      <c r="L16" s="186"/>
      <c r="M16" s="186"/>
    </row>
    <row r="17" spans="1:19" s="245" customFormat="1" ht="15" x14ac:dyDescent="0.35">
      <c r="A17" s="262"/>
      <c r="C17" s="258"/>
      <c r="D17" s="258"/>
      <c r="K17" s="294"/>
      <c r="L17" s="180"/>
      <c r="M17" s="180"/>
      <c r="N17" s="263"/>
    </row>
    <row r="18" spans="1:19" s="245" customFormat="1" ht="25.5" x14ac:dyDescent="0.2">
      <c r="A18" s="247" t="s">
        <v>83</v>
      </c>
      <c r="B18" s="264" t="s">
        <v>196</v>
      </c>
      <c r="C18" s="264" t="s">
        <v>177</v>
      </c>
      <c r="D18" s="264" t="s">
        <v>210</v>
      </c>
      <c r="E18" s="264" t="s">
        <v>219</v>
      </c>
      <c r="F18" s="264" t="s">
        <v>258</v>
      </c>
      <c r="G18" s="264" t="s">
        <v>321</v>
      </c>
      <c r="H18" s="264" t="s">
        <v>315</v>
      </c>
      <c r="I18" s="264" t="s">
        <v>317</v>
      </c>
      <c r="J18" s="264" t="s">
        <v>323</v>
      </c>
      <c r="K18" s="264" t="s">
        <v>320</v>
      </c>
      <c r="L18" s="264" t="s">
        <v>333</v>
      </c>
      <c r="M18" s="264" t="s">
        <v>334</v>
      </c>
      <c r="N18" s="246"/>
      <c r="O18" s="244"/>
      <c r="P18" s="244"/>
      <c r="Q18" s="244"/>
      <c r="R18" s="244"/>
      <c r="S18" s="244"/>
    </row>
    <row r="19" spans="1:19" s="245" customFormat="1" x14ac:dyDescent="0.2">
      <c r="K19" s="284"/>
      <c r="L19" s="180"/>
      <c r="M19" s="180"/>
      <c r="N19" s="246"/>
      <c r="O19" s="180"/>
      <c r="P19" s="180"/>
      <c r="Q19" s="180"/>
      <c r="R19" s="244"/>
      <c r="S19" s="244"/>
    </row>
    <row r="20" spans="1:19" s="245" customFormat="1" x14ac:dyDescent="0.2">
      <c r="A20" s="245" t="s">
        <v>49</v>
      </c>
      <c r="B20" s="246" t="s">
        <v>187</v>
      </c>
      <c r="C20" s="246" t="s">
        <v>187</v>
      </c>
      <c r="D20" s="266">
        <v>9728</v>
      </c>
      <c r="E20" s="267">
        <v>18422</v>
      </c>
      <c r="F20" s="267">
        <v>10883</v>
      </c>
      <c r="G20" s="267"/>
      <c r="H20" s="267">
        <v>24361</v>
      </c>
      <c r="I20" s="266"/>
      <c r="J20" s="266" t="e">
        <f>I20/I15*J15</f>
        <v>#DIV/0!</v>
      </c>
      <c r="K20" s="302">
        <f>'2013 Summary Table B '!M19</f>
        <v>6069</v>
      </c>
      <c r="L20" s="506">
        <f>K20</f>
        <v>6069</v>
      </c>
      <c r="M20" s="506">
        <f>L20</f>
        <v>6069</v>
      </c>
      <c r="N20" s="246" t="s">
        <v>64</v>
      </c>
      <c r="O20" s="187"/>
      <c r="P20" s="187"/>
      <c r="Q20" s="187"/>
      <c r="R20" s="244"/>
      <c r="S20" s="244"/>
    </row>
    <row r="21" spans="1:19" s="245" customFormat="1" x14ac:dyDescent="0.2">
      <c r="A21" s="245" t="s">
        <v>50</v>
      </c>
      <c r="B21" s="246" t="s">
        <v>187</v>
      </c>
      <c r="C21" s="246" t="s">
        <v>187</v>
      </c>
      <c r="D21" s="266">
        <v>194560</v>
      </c>
      <c r="E21" s="267">
        <v>368448</v>
      </c>
      <c r="F21" s="267">
        <v>217664</v>
      </c>
      <c r="G21" s="267"/>
      <c r="H21" s="267">
        <v>292328</v>
      </c>
      <c r="I21" s="266"/>
      <c r="J21" s="266" t="e">
        <f>I21/I15*J15</f>
        <v>#DIV/0!</v>
      </c>
      <c r="K21" s="302">
        <f>'2013 Summary Table B '!N19</f>
        <v>72828</v>
      </c>
      <c r="L21" s="506">
        <f>K21</f>
        <v>72828</v>
      </c>
      <c r="M21" s="506">
        <f>L21</f>
        <v>72828</v>
      </c>
      <c r="N21" s="246" t="s">
        <v>10</v>
      </c>
      <c r="O21" s="182"/>
      <c r="P21" s="182"/>
      <c r="Q21" s="182"/>
      <c r="R21" s="244"/>
      <c r="S21" s="244"/>
    </row>
    <row r="22" spans="1:19" s="245" customFormat="1" x14ac:dyDescent="0.2">
      <c r="B22" s="246"/>
      <c r="C22" s="246"/>
      <c r="K22" s="284"/>
      <c r="L22" s="180"/>
      <c r="M22" s="180"/>
      <c r="N22" s="246"/>
      <c r="O22" s="183"/>
      <c r="P22" s="183"/>
      <c r="Q22" s="183"/>
      <c r="R22" s="244"/>
      <c r="S22" s="244"/>
    </row>
    <row r="23" spans="1:19" s="245" customFormat="1" x14ac:dyDescent="0.2">
      <c r="A23" s="245" t="s">
        <v>51</v>
      </c>
      <c r="B23" s="246" t="s">
        <v>187</v>
      </c>
      <c r="C23" s="246" t="s">
        <v>187</v>
      </c>
      <c r="D23" s="269">
        <f>SUM(D15/D21)</f>
        <v>0.32308285361842104</v>
      </c>
      <c r="E23" s="269">
        <f>SUM(E15/E20)</f>
        <v>5.6503094126587774</v>
      </c>
      <c r="F23" s="269">
        <f>SUM(F15/F20)</f>
        <v>5.5909739961407698</v>
      </c>
      <c r="G23" s="269" t="e">
        <f>SUM(G12/G20)</f>
        <v>#DIV/0!</v>
      </c>
      <c r="H23" s="269">
        <f t="shared" ref="H23:M23" si="2">SUM(H15/H20)</f>
        <v>2.8734452608677805</v>
      </c>
      <c r="I23" s="269" t="e">
        <f t="shared" si="2"/>
        <v>#DIV/0!</v>
      </c>
      <c r="J23" s="535" t="e">
        <f t="shared" si="2"/>
        <v>#DIV/0!</v>
      </c>
      <c r="K23" s="305" t="e">
        <f t="shared" si="2"/>
        <v>#REF!</v>
      </c>
      <c r="L23" s="269" t="e">
        <f t="shared" si="2"/>
        <v>#REF!</v>
      </c>
      <c r="M23" s="269" t="e">
        <f t="shared" si="2"/>
        <v>#REF!</v>
      </c>
      <c r="N23" s="246" t="s">
        <v>65</v>
      </c>
      <c r="O23" s="183"/>
      <c r="P23" s="183"/>
      <c r="Q23" s="183"/>
      <c r="R23" s="244"/>
      <c r="S23" s="244"/>
    </row>
    <row r="24" spans="1:19" s="245" customFormat="1" x14ac:dyDescent="0.2">
      <c r="A24" s="245" t="s">
        <v>52</v>
      </c>
      <c r="B24" s="246" t="s">
        <v>187</v>
      </c>
      <c r="C24" s="246" t="s">
        <v>187</v>
      </c>
      <c r="D24" s="269">
        <f>SUM(D15/D21)</f>
        <v>0.32308285361842104</v>
      </c>
      <c r="E24" s="269">
        <f>SUM(E15/E21)</f>
        <v>0.28250933645996179</v>
      </c>
      <c r="F24" s="269">
        <f>SUM(F15/F21)</f>
        <v>0.27954356255513085</v>
      </c>
      <c r="G24" s="269" t="e">
        <f>SUM(G12/G21)</f>
        <v>#DIV/0!</v>
      </c>
      <c r="H24" s="269">
        <f t="shared" ref="H24:M24" si="3">SUM(H15/H21)</f>
        <v>0.2394570482471744</v>
      </c>
      <c r="I24" s="269" t="e">
        <f t="shared" si="3"/>
        <v>#DIV/0!</v>
      </c>
      <c r="J24" s="535" t="e">
        <f t="shared" si="3"/>
        <v>#DIV/0!</v>
      </c>
      <c r="K24" s="305" t="e">
        <f t="shared" si="3"/>
        <v>#REF!</v>
      </c>
      <c r="L24" s="269" t="e">
        <f t="shared" si="3"/>
        <v>#REF!</v>
      </c>
      <c r="M24" s="269" t="e">
        <f t="shared" si="3"/>
        <v>#REF!</v>
      </c>
      <c r="N24" s="246" t="s">
        <v>66</v>
      </c>
      <c r="O24" s="184"/>
      <c r="P24" s="184"/>
      <c r="Q24" s="184"/>
      <c r="R24" s="244"/>
      <c r="S24" s="244"/>
    </row>
    <row r="25" spans="1:19" s="245" customFormat="1" x14ac:dyDescent="0.2">
      <c r="B25" s="246"/>
      <c r="C25" s="246"/>
      <c r="I25" s="591"/>
      <c r="K25" s="284"/>
      <c r="N25" s="246"/>
      <c r="O25" s="182"/>
      <c r="P25" s="182"/>
      <c r="Q25" s="182"/>
      <c r="R25" s="244"/>
      <c r="S25" s="244"/>
    </row>
    <row r="26" spans="1:19" s="245" customFormat="1" x14ac:dyDescent="0.2">
      <c r="A26" s="245" t="s">
        <v>84</v>
      </c>
      <c r="B26" s="246" t="s">
        <v>187</v>
      </c>
      <c r="C26" s="246" t="s">
        <v>187</v>
      </c>
      <c r="D26" s="257">
        <v>326881</v>
      </c>
      <c r="E26" s="257">
        <v>308241.55666858796</v>
      </c>
      <c r="F26" s="257">
        <v>197046.66591311918</v>
      </c>
      <c r="G26" s="257"/>
      <c r="H26" s="257">
        <v>152765</v>
      </c>
      <c r="I26" s="257"/>
      <c r="J26" s="257" t="e">
        <f>H26/H21*J21</f>
        <v>#DIV/0!</v>
      </c>
      <c r="K26" s="295">
        <f>'2013 Summary Table B '!F19</f>
        <v>41796.22332068035</v>
      </c>
      <c r="L26" s="257">
        <f>K26</f>
        <v>41796.22332068035</v>
      </c>
      <c r="M26" s="257">
        <f>L26</f>
        <v>41796.22332068035</v>
      </c>
      <c r="N26" s="246" t="s">
        <v>67</v>
      </c>
      <c r="O26" s="185"/>
      <c r="P26" s="185"/>
      <c r="Q26" s="185"/>
      <c r="R26" s="244"/>
      <c r="S26" s="244"/>
    </row>
    <row r="27" spans="1:19" s="245" customFormat="1" x14ac:dyDescent="0.2">
      <c r="A27" s="245" t="s">
        <v>85</v>
      </c>
      <c r="B27" s="246" t="s">
        <v>187</v>
      </c>
      <c r="C27" s="246" t="s">
        <v>187</v>
      </c>
      <c r="D27" s="271">
        <f>SUM(D26/D15)</f>
        <v>5.2002259024165198</v>
      </c>
      <c r="E27" s="271">
        <f>SUM(E26/E15)</f>
        <v>2.9612984596847722</v>
      </c>
      <c r="F27" s="271">
        <f>SUM(F26/F15)</f>
        <v>3.238418630879591</v>
      </c>
      <c r="G27" s="271" t="e">
        <f>SUM(G26/G12)</f>
        <v>#DIV/0!</v>
      </c>
      <c r="H27" s="271">
        <f t="shared" ref="H27:M27" si="4">SUM(H26/H15)</f>
        <v>2.1823571428571427</v>
      </c>
      <c r="I27" s="271" t="e">
        <f t="shared" si="4"/>
        <v>#DIV/0!</v>
      </c>
      <c r="J27" s="510" t="e">
        <f t="shared" si="4"/>
        <v>#DIV/0!</v>
      </c>
      <c r="K27" s="306" t="e">
        <f t="shared" si="4"/>
        <v>#REF!</v>
      </c>
      <c r="L27" s="271" t="e">
        <f t="shared" si="4"/>
        <v>#REF!</v>
      </c>
      <c r="M27" s="271" t="e">
        <f t="shared" si="4"/>
        <v>#REF!</v>
      </c>
      <c r="N27" s="246" t="s">
        <v>68</v>
      </c>
      <c r="O27" s="183"/>
      <c r="P27" s="185"/>
      <c r="Q27" s="183"/>
      <c r="R27" s="244"/>
      <c r="S27" s="244"/>
    </row>
    <row r="28" spans="1:19" s="245" customFormat="1" x14ac:dyDescent="0.2">
      <c r="A28" s="245" t="s">
        <v>63</v>
      </c>
      <c r="B28" s="246" t="s">
        <v>187</v>
      </c>
      <c r="C28" s="246" t="s">
        <v>187</v>
      </c>
      <c r="D28" s="267">
        <v>160</v>
      </c>
      <c r="E28" s="281">
        <v>303</v>
      </c>
      <c r="F28" s="281">
        <v>179</v>
      </c>
      <c r="G28" s="267"/>
      <c r="H28" s="281">
        <v>569</v>
      </c>
      <c r="I28" s="281"/>
      <c r="J28" s="266" t="e">
        <f>I28/I15*J15</f>
        <v>#DIV/0!</v>
      </c>
      <c r="K28" s="307">
        <f>'2013 Summary Table B '!K19</f>
        <v>119</v>
      </c>
      <c r="L28" s="267">
        <f>K28</f>
        <v>119</v>
      </c>
      <c r="M28" s="267">
        <f>L28</f>
        <v>119</v>
      </c>
      <c r="N28" s="246" t="s">
        <v>69</v>
      </c>
      <c r="O28" s="183"/>
      <c r="P28" s="183"/>
      <c r="Q28" s="183"/>
      <c r="R28" s="244"/>
      <c r="S28" s="244"/>
    </row>
    <row r="29" spans="1:19" s="245" customFormat="1" x14ac:dyDescent="0.2">
      <c r="A29" s="245" t="s">
        <v>74</v>
      </c>
      <c r="B29" s="246" t="s">
        <v>187</v>
      </c>
      <c r="C29" s="246" t="s">
        <v>187</v>
      </c>
      <c r="D29" s="266">
        <f t="shared" ref="D29:J29" si="5">SUM(D21/D28)</f>
        <v>1216</v>
      </c>
      <c r="E29" s="266">
        <f t="shared" si="5"/>
        <v>1216</v>
      </c>
      <c r="F29" s="266">
        <f t="shared" si="5"/>
        <v>1216</v>
      </c>
      <c r="G29" s="266" t="e">
        <f t="shared" si="5"/>
        <v>#DIV/0!</v>
      </c>
      <c r="H29" s="282">
        <f t="shared" si="5"/>
        <v>513.75746924428825</v>
      </c>
      <c r="I29" s="282" t="e">
        <f t="shared" si="5"/>
        <v>#DIV/0!</v>
      </c>
      <c r="J29" s="511" t="e">
        <f t="shared" si="5"/>
        <v>#DIV/0!</v>
      </c>
      <c r="K29" s="308">
        <f>SUM(K21/K28)</f>
        <v>612</v>
      </c>
      <c r="L29" s="266">
        <f>SUM(L21/L28)</f>
        <v>612</v>
      </c>
      <c r="M29" s="266">
        <f>SUM(M21/M28)</f>
        <v>612</v>
      </c>
      <c r="N29" s="246" t="s">
        <v>70</v>
      </c>
      <c r="O29" s="182"/>
      <c r="P29" s="182"/>
      <c r="Q29" s="182"/>
      <c r="R29" s="244"/>
      <c r="S29" s="244"/>
    </row>
    <row r="30" spans="1:19" s="245" customFormat="1" x14ac:dyDescent="0.2">
      <c r="A30" s="245" t="s">
        <v>71</v>
      </c>
      <c r="B30" s="246" t="s">
        <v>187</v>
      </c>
      <c r="C30" s="246" t="s">
        <v>187</v>
      </c>
      <c r="D30" s="257">
        <f>SUM(D15/D28)</f>
        <v>392.86874999999998</v>
      </c>
      <c r="E30" s="257">
        <f>SUM(E15/E28)</f>
        <v>343.53135313531351</v>
      </c>
      <c r="F30" s="257">
        <f>SUM(F15/F28)</f>
        <v>339.92497206703911</v>
      </c>
      <c r="G30" s="257" t="e">
        <f>SUM(G12/G28)</f>
        <v>#DIV/0!</v>
      </c>
      <c r="H30" s="257">
        <f t="shared" ref="H30:M30" si="6">SUM(H15/H28)</f>
        <v>123.02284710017575</v>
      </c>
      <c r="I30" s="257" t="e">
        <f t="shared" si="6"/>
        <v>#DIV/0!</v>
      </c>
      <c r="J30" s="252" t="e">
        <f t="shared" si="6"/>
        <v>#DIV/0!</v>
      </c>
      <c r="K30" s="295" t="e">
        <f t="shared" si="6"/>
        <v>#REF!</v>
      </c>
      <c r="L30" s="257" t="e">
        <f t="shared" si="6"/>
        <v>#REF!</v>
      </c>
      <c r="M30" s="257" t="e">
        <f t="shared" si="6"/>
        <v>#REF!</v>
      </c>
      <c r="N30" s="246" t="s">
        <v>72</v>
      </c>
      <c r="O30" s="182"/>
      <c r="P30" s="182"/>
      <c r="Q30" s="182"/>
      <c r="R30" s="244"/>
      <c r="S30" s="244"/>
    </row>
    <row r="31" spans="1:19" s="245" customFormat="1" x14ac:dyDescent="0.2">
      <c r="A31" s="245" t="s">
        <v>62</v>
      </c>
      <c r="B31" s="246" t="s">
        <v>187</v>
      </c>
      <c r="C31" s="246" t="s">
        <v>187</v>
      </c>
      <c r="D31" s="257">
        <f t="shared" ref="D31:M31" si="7">SUM(D26/D28)</f>
        <v>2043.0062499999999</v>
      </c>
      <c r="E31" s="257">
        <f t="shared" si="7"/>
        <v>1017.2988668930295</v>
      </c>
      <c r="F31" s="257">
        <f t="shared" si="7"/>
        <v>1100.8193626431239</v>
      </c>
      <c r="G31" s="257" t="e">
        <f t="shared" si="7"/>
        <v>#DIV/0!</v>
      </c>
      <c r="H31" s="257">
        <f t="shared" si="7"/>
        <v>268.47978910369068</v>
      </c>
      <c r="I31" s="257" t="e">
        <f t="shared" si="7"/>
        <v>#DIV/0!</v>
      </c>
      <c r="J31" s="252" t="e">
        <f t="shared" si="7"/>
        <v>#DIV/0!</v>
      </c>
      <c r="K31" s="295">
        <f t="shared" si="7"/>
        <v>351.22876740067522</v>
      </c>
      <c r="L31" s="257">
        <f t="shared" si="7"/>
        <v>351.22876740067522</v>
      </c>
      <c r="M31" s="257">
        <f t="shared" si="7"/>
        <v>351.22876740067522</v>
      </c>
      <c r="N31" s="246" t="s">
        <v>73</v>
      </c>
      <c r="O31" s="244"/>
      <c r="P31" s="244"/>
      <c r="Q31" s="244"/>
      <c r="R31" s="244"/>
      <c r="S31" s="244"/>
    </row>
    <row r="32" spans="1:19" s="245" customFormat="1" ht="14.25" x14ac:dyDescent="0.2">
      <c r="A32" s="704" t="s">
        <v>324</v>
      </c>
      <c r="B32" s="246" t="s">
        <v>187</v>
      </c>
      <c r="C32" s="246" t="s">
        <v>187</v>
      </c>
      <c r="D32" s="945">
        <f t="shared" ref="D32:M32" si="8">D12/D21</f>
        <v>0.2555921052631579</v>
      </c>
      <c r="E32" s="945">
        <f t="shared" si="8"/>
        <v>0.25022798332464824</v>
      </c>
      <c r="F32" s="945">
        <f t="shared" si="8"/>
        <v>0.23332475742428699</v>
      </c>
      <c r="G32" s="945" t="e">
        <f t="shared" si="8"/>
        <v>#DIV/0!</v>
      </c>
      <c r="H32" s="945">
        <f t="shared" si="8"/>
        <v>0.19470408240059112</v>
      </c>
      <c r="I32" s="945" t="e">
        <f t="shared" si="8"/>
        <v>#DIV/0!</v>
      </c>
      <c r="J32" s="945" t="e">
        <f t="shared" si="8"/>
        <v>#DIV/0!</v>
      </c>
      <c r="K32" s="945" t="e">
        <f t="shared" si="8"/>
        <v>#REF!</v>
      </c>
      <c r="L32" s="945" t="e">
        <f t="shared" si="8"/>
        <v>#REF!</v>
      </c>
      <c r="M32" s="945" t="e">
        <f t="shared" si="8"/>
        <v>#REF!</v>
      </c>
      <c r="N32" s="557" t="s">
        <v>328</v>
      </c>
      <c r="O32" s="244"/>
      <c r="P32" s="244"/>
      <c r="Q32" s="244"/>
      <c r="R32" s="244"/>
      <c r="S32" s="244"/>
    </row>
    <row r="33" spans="1:19" s="245" customFormat="1" ht="14.25" x14ac:dyDescent="0.2">
      <c r="A33" s="704" t="s">
        <v>325</v>
      </c>
      <c r="B33" s="246" t="s">
        <v>187</v>
      </c>
      <c r="C33" s="246" t="s">
        <v>187</v>
      </c>
      <c r="D33" s="946">
        <f t="shared" ref="D33:M33" si="9">D13/D21</f>
        <v>6.9335937499999997E-3</v>
      </c>
      <c r="E33" s="946">
        <f t="shared" si="9"/>
        <v>2.4752475247524753E-3</v>
      </c>
      <c r="F33" s="946">
        <f t="shared" si="9"/>
        <v>1.3631101146721553E-2</v>
      </c>
      <c r="G33" s="946" t="e">
        <f t="shared" si="9"/>
        <v>#DIV/0!</v>
      </c>
      <c r="H33" s="946">
        <f t="shared" si="9"/>
        <v>1.4391129142606936E-2</v>
      </c>
      <c r="I33" s="946" t="e">
        <f t="shared" si="9"/>
        <v>#DIV/0!</v>
      </c>
      <c r="J33" s="946" t="e">
        <f t="shared" si="9"/>
        <v>#DIV/0!</v>
      </c>
      <c r="K33" s="946" t="e">
        <f t="shared" si="9"/>
        <v>#REF!</v>
      </c>
      <c r="L33" s="946" t="e">
        <f t="shared" si="9"/>
        <v>#REF!</v>
      </c>
      <c r="M33" s="946" t="e">
        <f t="shared" si="9"/>
        <v>#REF!</v>
      </c>
      <c r="N33" s="557" t="s">
        <v>329</v>
      </c>
      <c r="O33" s="244"/>
      <c r="P33" s="244"/>
      <c r="Q33" s="244"/>
      <c r="R33" s="244"/>
      <c r="S33" s="244"/>
    </row>
    <row r="34" spans="1:19" s="245" customFormat="1" x14ac:dyDescent="0.2">
      <c r="A34" s="247"/>
      <c r="B34" s="265"/>
      <c r="C34" s="250"/>
      <c r="D34" s="250"/>
      <c r="I34" s="272"/>
      <c r="J34" s="272"/>
      <c r="K34" s="296"/>
      <c r="L34" s="296"/>
      <c r="M34" s="296"/>
      <c r="N34" s="185"/>
      <c r="O34" s="182"/>
      <c r="P34" s="182"/>
      <c r="Q34" s="244"/>
    </row>
    <row r="35" spans="1:19" s="245" customFormat="1" x14ac:dyDescent="0.2">
      <c r="A35" s="248" t="s">
        <v>194</v>
      </c>
      <c r="B35" s="270"/>
      <c r="C35" s="244"/>
      <c r="K35" s="296"/>
      <c r="L35" s="296"/>
      <c r="M35" s="296"/>
      <c r="N35" s="185"/>
      <c r="O35" s="182"/>
      <c r="P35" s="182"/>
      <c r="Q35" s="244"/>
    </row>
    <row r="36" spans="1:19" s="245" customFormat="1" x14ac:dyDescent="0.2">
      <c r="A36" s="273" t="s">
        <v>185</v>
      </c>
      <c r="B36" s="250" t="s">
        <v>1</v>
      </c>
      <c r="C36" s="250" t="s">
        <v>186</v>
      </c>
      <c r="D36" s="250" t="s">
        <v>18</v>
      </c>
      <c r="K36" s="296"/>
      <c r="L36" s="296"/>
      <c r="M36" s="296"/>
    </row>
    <row r="37" spans="1:19" s="245" customFormat="1" x14ac:dyDescent="0.2">
      <c r="A37" s="273">
        <v>2006</v>
      </c>
      <c r="B37" s="246" t="s">
        <v>187</v>
      </c>
      <c r="C37" s="246" t="s">
        <v>187</v>
      </c>
      <c r="D37" s="275" t="str">
        <f t="shared" ref="D37:D45" si="10">IF(ISERROR(C37/B37),"-",(C37/B37))</f>
        <v>-</v>
      </c>
      <c r="K37" s="296"/>
      <c r="L37" s="296"/>
      <c r="M37" s="296"/>
    </row>
    <row r="38" spans="1:19" s="245" customFormat="1" x14ac:dyDescent="0.2">
      <c r="A38" s="273">
        <v>2007</v>
      </c>
      <c r="B38" s="246" t="s">
        <v>187</v>
      </c>
      <c r="C38" s="246" t="s">
        <v>187</v>
      </c>
      <c r="D38" s="275" t="str">
        <f t="shared" si="10"/>
        <v>-</v>
      </c>
      <c r="K38" s="296"/>
      <c r="L38" s="296"/>
      <c r="M38" s="296"/>
    </row>
    <row r="39" spans="1:19" s="245" customFormat="1" x14ac:dyDescent="0.2">
      <c r="A39" s="273">
        <v>2008</v>
      </c>
      <c r="B39" s="283">
        <v>136600</v>
      </c>
      <c r="C39" s="283">
        <v>62859</v>
      </c>
      <c r="D39" s="507">
        <f t="shared" si="10"/>
        <v>0.46016837481698392</v>
      </c>
      <c r="K39" s="296"/>
      <c r="L39" s="296"/>
      <c r="M39" s="296"/>
    </row>
    <row r="40" spans="1:19" s="245" customFormat="1" x14ac:dyDescent="0.2">
      <c r="A40" s="273">
        <v>2009</v>
      </c>
      <c r="B40" s="274">
        <v>136600</v>
      </c>
      <c r="C40" s="283">
        <f>E15</f>
        <v>104090</v>
      </c>
      <c r="D40" s="507">
        <f t="shared" si="10"/>
        <v>0.76200585651537334</v>
      </c>
      <c r="K40" s="296"/>
      <c r="L40" s="296"/>
      <c r="M40" s="296"/>
    </row>
    <row r="41" spans="1:19" s="245" customFormat="1" x14ac:dyDescent="0.2">
      <c r="A41" s="273">
        <v>2010</v>
      </c>
      <c r="B41" s="274">
        <v>136600</v>
      </c>
      <c r="C41" s="283">
        <v>60846.57</v>
      </c>
      <c r="D41" s="507">
        <f t="shared" si="10"/>
        <v>0.44543609077598828</v>
      </c>
      <c r="K41" s="296"/>
      <c r="L41" s="296"/>
      <c r="M41" s="296"/>
    </row>
    <row r="42" spans="1:19" s="245" customFormat="1" x14ac:dyDescent="0.2">
      <c r="A42" s="273">
        <v>2011</v>
      </c>
      <c r="B42" s="274">
        <v>136600</v>
      </c>
      <c r="C42" s="274">
        <f>G15</f>
        <v>0</v>
      </c>
      <c r="D42" s="275">
        <f t="shared" si="10"/>
        <v>0</v>
      </c>
      <c r="K42" s="296"/>
      <c r="L42" s="296"/>
      <c r="M42" s="296"/>
    </row>
    <row r="43" spans="1:19" s="245" customFormat="1" x14ac:dyDescent="0.2">
      <c r="A43" s="273" t="s">
        <v>319</v>
      </c>
      <c r="B43" s="274">
        <f>B44</f>
        <v>70000</v>
      </c>
      <c r="C43" s="274">
        <f>I15</f>
        <v>0</v>
      </c>
      <c r="D43" s="275">
        <f t="shared" si="10"/>
        <v>0</v>
      </c>
      <c r="K43" s="296"/>
      <c r="L43" s="296"/>
      <c r="M43" s="296"/>
    </row>
    <row r="44" spans="1:19" s="245" customFormat="1" x14ac:dyDescent="0.2">
      <c r="A44" s="273" t="s">
        <v>318</v>
      </c>
      <c r="B44" s="274">
        <f>H15</f>
        <v>70000</v>
      </c>
      <c r="C44" s="274">
        <f>J15</f>
        <v>0</v>
      </c>
      <c r="D44" s="275">
        <f t="shared" si="10"/>
        <v>0</v>
      </c>
      <c r="K44" s="296"/>
      <c r="L44" s="296"/>
      <c r="M44" s="296"/>
    </row>
    <row r="45" spans="1:19" s="245" customFormat="1" x14ac:dyDescent="0.2">
      <c r="A45" s="273">
        <v>2013</v>
      </c>
      <c r="B45" s="274" t="e">
        <f>#REF!</f>
        <v>#REF!</v>
      </c>
      <c r="C45" s="274" t="s">
        <v>195</v>
      </c>
      <c r="D45" s="275" t="str">
        <f t="shared" si="10"/>
        <v>-</v>
      </c>
      <c r="K45" s="296"/>
      <c r="L45" s="296"/>
      <c r="M45" s="296"/>
    </row>
    <row r="46" spans="1:19" s="245" customFormat="1" x14ac:dyDescent="0.2">
      <c r="A46" s="273"/>
      <c r="B46" s="274"/>
      <c r="C46" s="274"/>
      <c r="D46" s="275"/>
      <c r="K46" s="296"/>
      <c r="L46" s="296"/>
      <c r="M46" s="296"/>
    </row>
    <row r="47" spans="1:19" s="245" customFormat="1" x14ac:dyDescent="0.2">
      <c r="A47" s="276" t="s">
        <v>193</v>
      </c>
      <c r="B47" s="277"/>
      <c r="C47" s="277"/>
      <c r="D47" s="244"/>
      <c r="K47" s="296"/>
      <c r="L47" s="296"/>
      <c r="M47" s="296"/>
    </row>
    <row r="48" spans="1:19" s="245" customFormat="1" x14ac:dyDescent="0.2">
      <c r="A48" s="273" t="s">
        <v>185</v>
      </c>
      <c r="B48" s="250" t="s">
        <v>188</v>
      </c>
      <c r="C48" s="250" t="s">
        <v>186</v>
      </c>
      <c r="D48" s="250" t="s">
        <v>189</v>
      </c>
      <c r="K48" s="296"/>
      <c r="L48" s="296"/>
      <c r="M48" s="296"/>
    </row>
    <row r="49" spans="1:13" s="245" customFormat="1" x14ac:dyDescent="0.2">
      <c r="A49" s="273">
        <v>2006</v>
      </c>
      <c r="B49" s="246" t="s">
        <v>187</v>
      </c>
      <c r="C49" s="246" t="s">
        <v>187</v>
      </c>
      <c r="D49" s="275" t="str">
        <f t="shared" ref="D49:D57" si="11">IF(ISERROR(C49/B49),"-",(C49/B49))</f>
        <v>-</v>
      </c>
      <c r="K49" s="296"/>
      <c r="L49" s="296"/>
      <c r="M49" s="296"/>
    </row>
    <row r="50" spans="1:13" s="245" customFormat="1" x14ac:dyDescent="0.2">
      <c r="A50" s="273">
        <v>2007</v>
      </c>
      <c r="B50" s="246" t="s">
        <v>187</v>
      </c>
      <c r="C50" s="246" t="s">
        <v>187</v>
      </c>
      <c r="D50" s="275" t="str">
        <f t="shared" si="11"/>
        <v>-</v>
      </c>
      <c r="K50" s="296"/>
      <c r="L50" s="296"/>
      <c r="M50" s="296"/>
    </row>
    <row r="51" spans="1:13" s="245" customFormat="1" x14ac:dyDescent="0.2">
      <c r="A51" s="273">
        <v>2008</v>
      </c>
      <c r="B51" s="246">
        <v>290</v>
      </c>
      <c r="C51" s="246">
        <v>160</v>
      </c>
      <c r="D51" s="507">
        <f t="shared" si="11"/>
        <v>0.55172413793103448</v>
      </c>
      <c r="K51" s="296"/>
      <c r="L51" s="296"/>
      <c r="M51" s="296"/>
    </row>
    <row r="52" spans="1:13" s="245" customFormat="1" x14ac:dyDescent="0.2">
      <c r="A52" s="273">
        <v>2009</v>
      </c>
      <c r="B52" s="278">
        <v>358.66666666666669</v>
      </c>
      <c r="C52" s="246">
        <v>303</v>
      </c>
      <c r="D52" s="507">
        <f t="shared" si="11"/>
        <v>0.84479553903345717</v>
      </c>
      <c r="K52" s="296"/>
      <c r="L52" s="296"/>
      <c r="M52" s="296"/>
    </row>
    <row r="53" spans="1:13" s="245" customFormat="1" x14ac:dyDescent="0.2">
      <c r="A53" s="273">
        <v>2010</v>
      </c>
      <c r="B53" s="278">
        <v>342</v>
      </c>
      <c r="C53" s="246">
        <v>179</v>
      </c>
      <c r="D53" s="507">
        <f t="shared" si="11"/>
        <v>0.52339181286549707</v>
      </c>
      <c r="K53" s="296"/>
      <c r="L53" s="296"/>
      <c r="M53" s="296"/>
    </row>
    <row r="54" spans="1:13" s="245" customFormat="1" x14ac:dyDescent="0.2">
      <c r="A54" s="273">
        <v>2011</v>
      </c>
      <c r="B54" s="278">
        <v>304</v>
      </c>
      <c r="C54" s="536">
        <f>G28</f>
        <v>0</v>
      </c>
      <c r="D54" s="507">
        <f t="shared" si="11"/>
        <v>0</v>
      </c>
      <c r="K54" s="296"/>
      <c r="L54" s="296"/>
      <c r="M54" s="296"/>
    </row>
    <row r="55" spans="1:13" s="245" customFormat="1" x14ac:dyDescent="0.2">
      <c r="A55" s="273" t="s">
        <v>319</v>
      </c>
      <c r="B55" s="509">
        <f>B56</f>
        <v>569</v>
      </c>
      <c r="C55" s="536">
        <f>I28</f>
        <v>0</v>
      </c>
      <c r="D55" s="507">
        <f t="shared" si="11"/>
        <v>0</v>
      </c>
      <c r="K55" s="296"/>
      <c r="L55" s="296"/>
      <c r="M55" s="296"/>
    </row>
    <row r="56" spans="1:13" s="245" customFormat="1" x14ac:dyDescent="0.2">
      <c r="A56" s="273" t="s">
        <v>318</v>
      </c>
      <c r="B56" s="509">
        <f>H28</f>
        <v>569</v>
      </c>
      <c r="C56" s="314" t="e">
        <f>J28</f>
        <v>#DIV/0!</v>
      </c>
      <c r="D56" s="507" t="str">
        <f t="shared" si="11"/>
        <v>-</v>
      </c>
      <c r="K56" s="296"/>
      <c r="L56" s="296"/>
      <c r="M56" s="296"/>
    </row>
    <row r="57" spans="1:13" s="245" customFormat="1" x14ac:dyDescent="0.2">
      <c r="A57" s="273">
        <v>2013</v>
      </c>
      <c r="B57" s="278" t="e">
        <f>#REF!</f>
        <v>#REF!</v>
      </c>
      <c r="C57" s="246" t="s">
        <v>187</v>
      </c>
      <c r="D57" s="507" t="str">
        <f t="shared" si="11"/>
        <v>-</v>
      </c>
      <c r="K57" s="296"/>
      <c r="L57" s="296"/>
      <c r="M57" s="296"/>
    </row>
    <row r="58" spans="1:13" s="245" customFormat="1" x14ac:dyDescent="0.2">
      <c r="A58" s="273"/>
      <c r="B58" s="244"/>
      <c r="K58" s="296"/>
      <c r="L58" s="296"/>
      <c r="M58" s="296"/>
    </row>
    <row r="59" spans="1:13" s="245" customFormat="1" x14ac:dyDescent="0.2">
      <c r="A59" s="276" t="s">
        <v>191</v>
      </c>
      <c r="B59" s="276"/>
      <c r="C59" s="276"/>
      <c r="K59" s="296"/>
      <c r="L59" s="296"/>
      <c r="M59" s="296"/>
    </row>
    <row r="60" spans="1:13" s="245" customFormat="1" x14ac:dyDescent="0.2">
      <c r="A60" s="273" t="s">
        <v>185</v>
      </c>
      <c r="B60" s="250" t="s">
        <v>188</v>
      </c>
      <c r="C60" s="250" t="s">
        <v>186</v>
      </c>
      <c r="D60" s="250" t="s">
        <v>189</v>
      </c>
      <c r="K60" s="296"/>
      <c r="L60" s="296"/>
      <c r="M60" s="296"/>
    </row>
    <row r="61" spans="1:13" s="245" customFormat="1" x14ac:dyDescent="0.2">
      <c r="A61" s="273">
        <v>2006</v>
      </c>
      <c r="B61" s="246" t="s">
        <v>187</v>
      </c>
      <c r="C61" s="508" t="s">
        <v>187</v>
      </c>
      <c r="D61" s="275" t="str">
        <f t="shared" ref="D61:D69" si="12">IF(ISERROR(C61/B61),"-",(C61/B61))</f>
        <v>-</v>
      </c>
      <c r="K61" s="296"/>
      <c r="L61" s="296"/>
      <c r="M61" s="296"/>
    </row>
    <row r="62" spans="1:13" s="245" customFormat="1" x14ac:dyDescent="0.2">
      <c r="A62" s="273">
        <v>2007</v>
      </c>
      <c r="B62" s="246" t="s">
        <v>187</v>
      </c>
      <c r="C62" s="508" t="s">
        <v>187</v>
      </c>
      <c r="D62" s="275" t="str">
        <f t="shared" si="12"/>
        <v>-</v>
      </c>
      <c r="K62" s="296"/>
      <c r="L62" s="296"/>
      <c r="M62" s="296"/>
    </row>
    <row r="63" spans="1:13" s="245" customFormat="1" x14ac:dyDescent="0.2">
      <c r="A63" s="273">
        <v>2008</v>
      </c>
      <c r="B63" s="278">
        <v>17630</v>
      </c>
      <c r="C63" s="508">
        <v>9728</v>
      </c>
      <c r="D63" s="507">
        <f t="shared" si="12"/>
        <v>0.55178672716959731</v>
      </c>
      <c r="K63" s="296"/>
      <c r="L63" s="296"/>
      <c r="M63" s="296"/>
    </row>
    <row r="64" spans="1:13" s="245" customFormat="1" x14ac:dyDescent="0.2">
      <c r="A64" s="273">
        <v>2009</v>
      </c>
      <c r="B64" s="278">
        <v>21807</v>
      </c>
      <c r="C64" s="508">
        <v>18422</v>
      </c>
      <c r="D64" s="507">
        <f t="shared" si="12"/>
        <v>0.84477461365616546</v>
      </c>
      <c r="K64" s="296"/>
      <c r="L64" s="296"/>
      <c r="M64" s="296"/>
    </row>
    <row r="65" spans="1:13" s="245" customFormat="1" x14ac:dyDescent="0.2">
      <c r="A65" s="273">
        <v>2010</v>
      </c>
      <c r="B65" s="278">
        <v>20791</v>
      </c>
      <c r="C65" s="508">
        <v>10883</v>
      </c>
      <c r="D65" s="507">
        <f t="shared" si="12"/>
        <v>0.52344764561589152</v>
      </c>
      <c r="K65" s="296"/>
      <c r="L65" s="296"/>
      <c r="M65" s="296"/>
    </row>
    <row r="66" spans="1:13" s="245" customFormat="1" x14ac:dyDescent="0.2">
      <c r="A66" s="273">
        <v>2011</v>
      </c>
      <c r="B66" s="278">
        <v>17043</v>
      </c>
      <c r="C66" s="508">
        <f>G20</f>
        <v>0</v>
      </c>
      <c r="D66" s="507">
        <f t="shared" si="12"/>
        <v>0</v>
      </c>
      <c r="K66" s="296"/>
      <c r="L66" s="296"/>
      <c r="M66" s="296"/>
    </row>
    <row r="67" spans="1:13" s="245" customFormat="1" x14ac:dyDescent="0.2">
      <c r="A67" s="273" t="s">
        <v>319</v>
      </c>
      <c r="B67" s="509">
        <f>B68</f>
        <v>24361</v>
      </c>
      <c r="C67" s="508">
        <f>I20</f>
        <v>0</v>
      </c>
      <c r="D67" s="507">
        <f t="shared" si="12"/>
        <v>0</v>
      </c>
      <c r="K67" s="296"/>
      <c r="L67" s="296"/>
      <c r="M67" s="296"/>
    </row>
    <row r="68" spans="1:13" s="245" customFormat="1" x14ac:dyDescent="0.2">
      <c r="A68" s="273" t="s">
        <v>318</v>
      </c>
      <c r="B68" s="509">
        <f>H20</f>
        <v>24361</v>
      </c>
      <c r="C68" s="508" t="e">
        <f>J20</f>
        <v>#DIV/0!</v>
      </c>
      <c r="D68" s="507" t="str">
        <f t="shared" si="12"/>
        <v>-</v>
      </c>
      <c r="K68" s="296"/>
      <c r="L68" s="296"/>
      <c r="M68" s="296"/>
    </row>
    <row r="69" spans="1:13" s="245" customFormat="1" x14ac:dyDescent="0.2">
      <c r="A69" s="273">
        <v>2013</v>
      </c>
      <c r="B69" s="278" t="e">
        <f>#REF!</f>
        <v>#REF!</v>
      </c>
      <c r="C69" s="508" t="s">
        <v>187</v>
      </c>
      <c r="D69" s="507" t="str">
        <f t="shared" si="12"/>
        <v>-</v>
      </c>
      <c r="K69" s="296"/>
      <c r="L69" s="296"/>
      <c r="M69" s="296"/>
    </row>
    <row r="70" spans="1:13" s="245" customFormat="1" x14ac:dyDescent="0.2">
      <c r="A70" s="273"/>
      <c r="B70" s="278"/>
      <c r="C70" s="278"/>
      <c r="D70" s="278"/>
      <c r="K70" s="296"/>
      <c r="L70" s="296"/>
      <c r="M70" s="296"/>
    </row>
    <row r="71" spans="1:13" s="245" customFormat="1" x14ac:dyDescent="0.2">
      <c r="A71" s="276" t="s">
        <v>190</v>
      </c>
      <c r="K71" s="296"/>
      <c r="L71" s="296"/>
      <c r="M71" s="296"/>
    </row>
    <row r="72" spans="1:13" s="245" customFormat="1" x14ac:dyDescent="0.2">
      <c r="A72" s="273" t="s">
        <v>185</v>
      </c>
      <c r="B72" s="250" t="s">
        <v>188</v>
      </c>
      <c r="C72" s="250" t="s">
        <v>186</v>
      </c>
      <c r="D72" s="250" t="s">
        <v>189</v>
      </c>
      <c r="K72" s="296"/>
      <c r="L72" s="296"/>
      <c r="M72" s="296"/>
    </row>
    <row r="73" spans="1:13" s="245" customFormat="1" x14ac:dyDescent="0.2">
      <c r="A73" s="273">
        <v>2006</v>
      </c>
      <c r="B73" s="246" t="s">
        <v>187</v>
      </c>
      <c r="C73" s="246" t="s">
        <v>187</v>
      </c>
      <c r="D73" s="275" t="str">
        <f t="shared" ref="D73:D81" si="13">IF(ISERROR(C73/B73),"-",(C73/B73))</f>
        <v>-</v>
      </c>
      <c r="K73" s="296"/>
      <c r="L73" s="296"/>
      <c r="M73" s="296"/>
    </row>
    <row r="74" spans="1:13" s="245" customFormat="1" x14ac:dyDescent="0.2">
      <c r="A74" s="273">
        <v>2007</v>
      </c>
      <c r="B74" s="246" t="s">
        <v>187</v>
      </c>
      <c r="C74" s="246" t="s">
        <v>187</v>
      </c>
      <c r="D74" s="275" t="str">
        <f t="shared" si="13"/>
        <v>-</v>
      </c>
      <c r="K74" s="296"/>
      <c r="L74" s="296"/>
      <c r="M74" s="296"/>
    </row>
    <row r="75" spans="1:13" s="245" customFormat="1" x14ac:dyDescent="0.2">
      <c r="A75" s="273">
        <v>2008</v>
      </c>
      <c r="B75" s="278">
        <v>352592</v>
      </c>
      <c r="C75" s="314">
        <v>194560</v>
      </c>
      <c r="D75" s="507">
        <f t="shared" si="13"/>
        <v>0.55179924672142311</v>
      </c>
      <c r="K75" s="296"/>
      <c r="L75" s="296"/>
      <c r="M75" s="296"/>
    </row>
    <row r="76" spans="1:13" s="245" customFormat="1" x14ac:dyDescent="0.2">
      <c r="A76" s="273">
        <v>2009</v>
      </c>
      <c r="B76" s="278">
        <v>436139</v>
      </c>
      <c r="C76" s="508">
        <v>368448</v>
      </c>
      <c r="D76" s="507">
        <f t="shared" si="13"/>
        <v>0.84479489337114999</v>
      </c>
      <c r="K76" s="296"/>
      <c r="L76" s="296"/>
      <c r="M76" s="296"/>
    </row>
    <row r="77" spans="1:13" s="245" customFormat="1" x14ac:dyDescent="0.2">
      <c r="A77" s="273">
        <v>2010</v>
      </c>
      <c r="B77" s="278">
        <v>415811</v>
      </c>
      <c r="C77" s="508">
        <v>217664</v>
      </c>
      <c r="D77" s="507">
        <f t="shared" si="13"/>
        <v>0.52346859510691157</v>
      </c>
      <c r="K77" s="296"/>
      <c r="L77" s="296"/>
      <c r="M77" s="296"/>
    </row>
    <row r="78" spans="1:13" s="245" customFormat="1" x14ac:dyDescent="0.2">
      <c r="A78" s="273">
        <v>2011</v>
      </c>
      <c r="B78" s="278">
        <v>340855</v>
      </c>
      <c r="C78" s="508">
        <f>G21</f>
        <v>0</v>
      </c>
      <c r="D78" s="507">
        <f t="shared" si="13"/>
        <v>0</v>
      </c>
      <c r="K78" s="296"/>
      <c r="L78" s="296"/>
      <c r="M78" s="296"/>
    </row>
    <row r="79" spans="1:13" s="245" customFormat="1" x14ac:dyDescent="0.2">
      <c r="A79" s="273" t="s">
        <v>319</v>
      </c>
      <c r="B79" s="509">
        <f>B80</f>
        <v>292328</v>
      </c>
      <c r="C79" s="314">
        <f>I21</f>
        <v>0</v>
      </c>
      <c r="D79" s="507">
        <f t="shared" si="13"/>
        <v>0</v>
      </c>
      <c r="K79" s="296"/>
      <c r="L79" s="296"/>
      <c r="M79" s="296"/>
    </row>
    <row r="80" spans="1:13" s="245" customFormat="1" x14ac:dyDescent="0.2">
      <c r="A80" s="273" t="s">
        <v>318</v>
      </c>
      <c r="B80" s="509">
        <f>H21</f>
        <v>292328</v>
      </c>
      <c r="C80" s="314" t="e">
        <f>J21</f>
        <v>#DIV/0!</v>
      </c>
      <c r="D80" s="507" t="str">
        <f t="shared" si="13"/>
        <v>-</v>
      </c>
      <c r="K80" s="296"/>
      <c r="L80" s="296"/>
      <c r="M80" s="296"/>
    </row>
    <row r="81" spans="1:13" s="245" customFormat="1" x14ac:dyDescent="0.2">
      <c r="A81" s="273">
        <v>2013</v>
      </c>
      <c r="B81" s="278" t="e">
        <f>#REF!</f>
        <v>#REF!</v>
      </c>
      <c r="C81" s="246" t="s">
        <v>187</v>
      </c>
      <c r="D81" s="507" t="str">
        <f t="shared" si="13"/>
        <v>-</v>
      </c>
      <c r="K81" s="296"/>
      <c r="L81" s="296"/>
      <c r="M81" s="296"/>
    </row>
    <row r="82" spans="1:13" x14ac:dyDescent="0.2">
      <c r="A82" s="273"/>
      <c r="E82" s="3"/>
      <c r="F82" s="3"/>
      <c r="G82" s="3"/>
      <c r="H82" s="3"/>
      <c r="I82" s="245"/>
      <c r="J82" s="245"/>
      <c r="K82" s="296"/>
      <c r="L82" s="296"/>
      <c r="M82" s="296"/>
    </row>
    <row r="83" spans="1:13" x14ac:dyDescent="0.2">
      <c r="B83" s="574"/>
      <c r="C83" s="574"/>
      <c r="E83" s="3"/>
      <c r="F83" s="3"/>
      <c r="G83" s="3"/>
      <c r="H83" s="3"/>
      <c r="I83" s="245"/>
      <c r="J83" s="245"/>
      <c r="K83" s="296"/>
      <c r="L83" s="296"/>
      <c r="M83" s="296"/>
    </row>
    <row r="84" spans="1:13" x14ac:dyDescent="0.2">
      <c r="I84" s="245"/>
      <c r="J84" s="245"/>
      <c r="K84" s="296"/>
      <c r="L84" s="296"/>
      <c r="M84" s="296"/>
    </row>
    <row r="85" spans="1:13" x14ac:dyDescent="0.2">
      <c r="I85" s="245"/>
      <c r="J85" s="245"/>
      <c r="K85" s="296"/>
      <c r="L85" s="296"/>
      <c r="M85" s="296"/>
    </row>
    <row r="86" spans="1:13" x14ac:dyDescent="0.2">
      <c r="I86" s="245"/>
      <c r="J86" s="245"/>
      <c r="K86" s="296"/>
      <c r="L86" s="296"/>
      <c r="M86" s="296"/>
    </row>
    <row r="87" spans="1:13" x14ac:dyDescent="0.2">
      <c r="I87" s="245"/>
      <c r="J87" s="245"/>
      <c r="K87" s="296"/>
      <c r="L87" s="296"/>
      <c r="M87" s="296"/>
    </row>
    <row r="88" spans="1:13" x14ac:dyDescent="0.2">
      <c r="I88" s="245"/>
      <c r="J88" s="245"/>
      <c r="K88" s="181"/>
      <c r="L88" s="181"/>
      <c r="M88" s="181"/>
    </row>
    <row r="89" spans="1:13" ht="11.25" x14ac:dyDescent="0.2">
      <c r="I89" s="168"/>
      <c r="J89" s="168"/>
    </row>
    <row r="90" spans="1:13" ht="11.25" x14ac:dyDescent="0.2">
      <c r="I90" s="168"/>
      <c r="J90" s="168"/>
    </row>
  </sheetData>
  <mergeCells count="1">
    <mergeCell ref="A1:N1"/>
  </mergeCells>
  <phoneticPr fontId="10" type="noConversion"/>
  <pageMargins left="0.98" right="0.75" top="1.1499999999999999" bottom="1" header="0.5" footer="0.5"/>
  <pageSetup scale="51" orientation="portrait" r:id="rId1"/>
  <headerFooter alignWithMargins="0">
    <oddFooter>&amp;C&amp;1#&amp;"Calibri"&amp;12&amp;K008000Internal Use</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21">
    <tabColor indexed="47"/>
    <pageSetUpPr fitToPage="1"/>
  </sheetPr>
  <dimension ref="A1:S79"/>
  <sheetViews>
    <sheetView view="pageBreakPreview" zoomScale="60" zoomScaleNormal="100" workbookViewId="0">
      <selection activeCell="W61" sqref="W61"/>
    </sheetView>
  </sheetViews>
  <sheetFormatPr defaultRowHeight="12.75" x14ac:dyDescent="0.2"/>
  <cols>
    <col min="1" max="1" width="39.28515625" style="168" bestFit="1" customWidth="1"/>
    <col min="2" max="9" width="13.28515625" style="168" customWidth="1"/>
    <col min="10" max="12" width="13.28515625" style="245" customWidth="1"/>
    <col min="13" max="13" width="6.85546875" style="168" bestFit="1" customWidth="1"/>
    <col min="14" max="14" width="9.85546875" style="168" customWidth="1"/>
    <col min="15" max="15" width="6.85546875" style="168" bestFit="1" customWidth="1"/>
    <col min="16" max="16" width="3.7109375" style="168" customWidth="1"/>
    <col min="17" max="17" width="11.42578125" style="168" customWidth="1"/>
    <col min="18" max="18" width="10.7109375" style="168" customWidth="1"/>
    <col min="19" max="19" width="12.28515625" style="168" customWidth="1"/>
    <col min="20" max="16384" width="9.140625" style="168"/>
  </cols>
  <sheetData>
    <row r="1" spans="1:19" ht="15.75" x14ac:dyDescent="0.25">
      <c r="A1" s="3055" t="s">
        <v>76</v>
      </c>
      <c r="B1" s="3055"/>
      <c r="C1" s="3055"/>
      <c r="D1" s="3055"/>
      <c r="E1" s="3055"/>
      <c r="F1" s="3055"/>
      <c r="G1" s="3055"/>
      <c r="H1" s="3055"/>
      <c r="I1" s="3055"/>
      <c r="J1" s="3055"/>
      <c r="K1" s="3055"/>
      <c r="L1" s="3055"/>
      <c r="M1" s="3055"/>
      <c r="N1" s="1914"/>
      <c r="O1" s="1914"/>
      <c r="P1" s="170"/>
      <c r="Q1" s="170"/>
      <c r="R1" s="170"/>
      <c r="S1" s="170"/>
    </row>
    <row r="2" spans="1:19" x14ac:dyDescent="0.2">
      <c r="A2" s="169"/>
      <c r="O2" s="170"/>
      <c r="P2" s="170"/>
      <c r="Q2" s="170"/>
      <c r="R2" s="170"/>
      <c r="S2" s="170"/>
    </row>
    <row r="3" spans="1:19" ht="15.75" x14ac:dyDescent="0.25">
      <c r="A3" s="172" t="s">
        <v>198</v>
      </c>
      <c r="O3" s="170"/>
      <c r="P3" s="170"/>
      <c r="Q3" s="170"/>
      <c r="R3" s="170"/>
      <c r="S3" s="170"/>
    </row>
    <row r="4" spans="1:19" x14ac:dyDescent="0.2">
      <c r="A4" s="169"/>
      <c r="O4" s="170"/>
      <c r="P4" s="170"/>
      <c r="Q4" s="170"/>
      <c r="R4" s="170"/>
      <c r="S4" s="170"/>
    </row>
    <row r="5" spans="1:19" ht="11.25" x14ac:dyDescent="0.2">
      <c r="A5" s="173"/>
      <c r="J5" s="794"/>
      <c r="K5" s="794"/>
      <c r="L5" s="794"/>
      <c r="O5" s="170"/>
      <c r="P5" s="170"/>
      <c r="Q5" s="170"/>
      <c r="R5" s="170"/>
      <c r="S5" s="170"/>
    </row>
    <row r="6" spans="1:19" s="284" customFormat="1" x14ac:dyDescent="0.2">
      <c r="A6" s="242"/>
      <c r="B6" s="243">
        <v>2008</v>
      </c>
      <c r="C6" s="243">
        <v>2009</v>
      </c>
      <c r="D6" s="243">
        <v>2010</v>
      </c>
      <c r="E6" s="243">
        <v>2011</v>
      </c>
      <c r="F6" s="243">
        <v>2012</v>
      </c>
      <c r="G6" s="243">
        <v>2013</v>
      </c>
      <c r="H6" s="243">
        <v>2014</v>
      </c>
      <c r="I6" s="243">
        <v>2015</v>
      </c>
      <c r="J6" s="243">
        <v>2016</v>
      </c>
      <c r="K6" s="243">
        <v>2017</v>
      </c>
      <c r="L6" s="243">
        <v>2018</v>
      </c>
      <c r="M6" s="285"/>
      <c r="N6" s="285"/>
      <c r="O6" s="285"/>
      <c r="P6" s="285"/>
      <c r="Q6" s="285"/>
    </row>
    <row r="7" spans="1:19" s="284"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c r="M7" s="575"/>
      <c r="N7" s="575"/>
      <c r="O7" s="575"/>
      <c r="P7" s="575"/>
      <c r="Q7" s="285"/>
    </row>
    <row r="8" spans="1:19" s="284" customFormat="1" x14ac:dyDescent="0.2">
      <c r="A8" s="244"/>
      <c r="H8" s="245"/>
      <c r="I8" s="575"/>
      <c r="J8" s="575"/>
      <c r="K8" s="575"/>
      <c r="L8" s="575"/>
      <c r="M8" s="180"/>
      <c r="N8" s="187"/>
      <c r="O8" s="187"/>
      <c r="P8" s="187"/>
      <c r="Q8" s="285"/>
    </row>
    <row r="9" spans="1:19" s="284" customFormat="1" x14ac:dyDescent="0.2">
      <c r="A9" s="285" t="s">
        <v>53</v>
      </c>
      <c r="B9" s="287">
        <v>5385</v>
      </c>
      <c r="C9" s="287">
        <v>3749.81</v>
      </c>
      <c r="D9" s="287">
        <v>2338.04</v>
      </c>
      <c r="E9" s="287">
        <v>912.32999999999981</v>
      </c>
      <c r="F9" s="287">
        <v>3097</v>
      </c>
      <c r="G9" s="287">
        <v>13723</v>
      </c>
      <c r="H9" s="252">
        <v>27306.79</v>
      </c>
      <c r="I9" s="252">
        <v>14053</v>
      </c>
      <c r="J9" s="252">
        <f>'CNG Table C 2016'!$C$17</f>
        <v>0</v>
      </c>
      <c r="K9" s="252">
        <f>'CNG Table C 2017'!$C$17</f>
        <v>0</v>
      </c>
      <c r="L9" s="252" t="e">
        <f>'CNG Table C 2019'!#REF!</f>
        <v>#REF!</v>
      </c>
      <c r="M9" s="187"/>
      <c r="N9" s="129"/>
      <c r="O9" s="129"/>
      <c r="P9" s="129"/>
      <c r="Q9" s="285"/>
    </row>
    <row r="10" spans="1:19" s="284" customFormat="1" x14ac:dyDescent="0.2">
      <c r="A10" s="285" t="s">
        <v>45</v>
      </c>
      <c r="B10" s="289">
        <v>5552</v>
      </c>
      <c r="C10" s="287">
        <v>5296.9</v>
      </c>
      <c r="D10" s="287">
        <v>2626.44</v>
      </c>
      <c r="E10" s="287">
        <v>1767.24</v>
      </c>
      <c r="F10" s="287">
        <v>703</v>
      </c>
      <c r="G10" s="287">
        <v>220.61</v>
      </c>
      <c r="H10" s="252">
        <v>1864.6200000000001</v>
      </c>
      <c r="I10" s="252">
        <v>18000</v>
      </c>
      <c r="J10" s="252">
        <f>'CNG Table C 2016'!$E$17</f>
        <v>0</v>
      </c>
      <c r="K10" s="252">
        <f>'CNG Table C 2017'!$E$17</f>
        <v>0</v>
      </c>
      <c r="L10" s="252" t="e">
        <f>'CNG Table C 2019'!#REF!</f>
        <v>#REF!</v>
      </c>
      <c r="M10" s="187"/>
      <c r="N10" s="190"/>
      <c r="O10" s="190"/>
      <c r="P10" s="190"/>
      <c r="Q10" s="285"/>
    </row>
    <row r="11" spans="1:19" s="284" customFormat="1" x14ac:dyDescent="0.2">
      <c r="A11" s="285" t="s">
        <v>202</v>
      </c>
      <c r="B11" s="290">
        <v>0</v>
      </c>
      <c r="C11" s="287">
        <v>0</v>
      </c>
      <c r="D11" s="287">
        <v>0</v>
      </c>
      <c r="E11" s="287">
        <v>0</v>
      </c>
      <c r="F11" s="287">
        <v>0</v>
      </c>
      <c r="G11" s="287">
        <v>0</v>
      </c>
      <c r="H11" s="252">
        <v>0</v>
      </c>
      <c r="I11" s="252">
        <v>300</v>
      </c>
      <c r="J11" s="252">
        <f>'CNG Table C 2016'!$D$17</f>
        <v>0</v>
      </c>
      <c r="K11" s="252">
        <f>'CNG Table C 2017'!$D$17</f>
        <v>0</v>
      </c>
      <c r="L11" s="252" t="e">
        <f>'CNG Table C 2019'!#REF!</f>
        <v>#REF!</v>
      </c>
      <c r="M11" s="187"/>
      <c r="N11" s="190"/>
      <c r="O11" s="190"/>
      <c r="P11" s="190"/>
      <c r="Q11" s="285"/>
    </row>
    <row r="12" spans="1:19" s="284" customFormat="1" ht="14.25" x14ac:dyDescent="0.2">
      <c r="A12" s="285" t="s">
        <v>2</v>
      </c>
      <c r="B12" s="289">
        <v>26107</v>
      </c>
      <c r="C12" s="287">
        <v>82461.600000000006</v>
      </c>
      <c r="D12" s="287">
        <v>54072</v>
      </c>
      <c r="E12" s="287">
        <v>40529.599999999977</v>
      </c>
      <c r="F12" s="287">
        <v>40774</v>
      </c>
      <c r="G12" s="287">
        <v>4190.24</v>
      </c>
      <c r="H12" s="252">
        <v>64089.61</v>
      </c>
      <c r="I12" s="257">
        <v>268332</v>
      </c>
      <c r="J12" s="257">
        <f>'CNG Table C 2016'!$F$17</f>
        <v>0</v>
      </c>
      <c r="K12" s="257">
        <f>'CNG Table C 2017'!$F$17</f>
        <v>0</v>
      </c>
      <c r="L12" s="257" t="e">
        <f>'CNG Table C 2019'!#REF!</f>
        <v>#REF!</v>
      </c>
      <c r="M12" s="947" t="s">
        <v>326</v>
      </c>
      <c r="N12" s="190"/>
      <c r="O12" s="190"/>
      <c r="P12" s="190"/>
      <c r="Q12" s="285"/>
    </row>
    <row r="13" spans="1:19" s="284" customFormat="1" ht="14.25" x14ac:dyDescent="0.2">
      <c r="A13" s="285" t="s">
        <v>14</v>
      </c>
      <c r="B13" s="289">
        <v>794</v>
      </c>
      <c r="C13" s="287">
        <v>252.68</v>
      </c>
      <c r="D13" s="287">
        <v>425.7</v>
      </c>
      <c r="E13" s="287">
        <v>1840.0100000000002</v>
      </c>
      <c r="F13" s="287">
        <v>10</v>
      </c>
      <c r="G13" s="287">
        <v>3679.37</v>
      </c>
      <c r="H13" s="252">
        <v>1452.2399999999998</v>
      </c>
      <c r="I13" s="252">
        <v>8003</v>
      </c>
      <c r="J13" s="252">
        <f>'CNG Table C 2016'!$G$17</f>
        <v>0</v>
      </c>
      <c r="K13" s="252">
        <f>'CNG Table C 2017'!$G$17</f>
        <v>0</v>
      </c>
      <c r="L13" s="252" t="e">
        <f>'CNG Table C 2019'!#REF!</f>
        <v>#REF!</v>
      </c>
      <c r="M13" s="947" t="s">
        <v>327</v>
      </c>
      <c r="N13" s="190"/>
      <c r="O13" s="190"/>
      <c r="P13" s="190"/>
      <c r="Q13" s="285"/>
    </row>
    <row r="14" spans="1:19" s="284" customFormat="1" ht="15" x14ac:dyDescent="0.35">
      <c r="A14" s="285" t="s">
        <v>46</v>
      </c>
      <c r="B14" s="293">
        <v>242</v>
      </c>
      <c r="C14" s="292">
        <v>355.18</v>
      </c>
      <c r="D14" s="292">
        <v>0</v>
      </c>
      <c r="E14" s="292">
        <v>0</v>
      </c>
      <c r="F14" s="292">
        <v>0</v>
      </c>
      <c r="G14" s="292">
        <v>48</v>
      </c>
      <c r="H14" s="256">
        <v>2569</v>
      </c>
      <c r="I14" s="256">
        <v>1000</v>
      </c>
      <c r="J14" s="256">
        <f>'CNG Table C 2016'!$H$17</f>
        <v>0</v>
      </c>
      <c r="K14" s="256">
        <f>'CNG Table C 2017'!$H$17</f>
        <v>0</v>
      </c>
      <c r="L14" s="256" t="e">
        <f>'CNG Table C 2019'!#REF!</f>
        <v>#REF!</v>
      </c>
      <c r="M14" s="187"/>
      <c r="N14" s="191"/>
      <c r="O14" s="191"/>
      <c r="P14" s="191"/>
      <c r="Q14" s="285"/>
    </row>
    <row r="15" spans="1:19" s="284" customFormat="1" x14ac:dyDescent="0.2">
      <c r="A15" s="285" t="s">
        <v>47</v>
      </c>
      <c r="B15" s="287">
        <f t="shared" ref="B15:J15" si="0">SUM(B9:B14)</f>
        <v>38080</v>
      </c>
      <c r="C15" s="287">
        <f t="shared" si="0"/>
        <v>92116.169999999984</v>
      </c>
      <c r="D15" s="287">
        <f t="shared" si="0"/>
        <v>59462.179999999993</v>
      </c>
      <c r="E15" s="287">
        <f t="shared" si="0"/>
        <v>45049.179999999978</v>
      </c>
      <c r="F15" s="287">
        <f t="shared" si="0"/>
        <v>44584</v>
      </c>
      <c r="G15" s="287">
        <f t="shared" si="0"/>
        <v>21861.219999999998</v>
      </c>
      <c r="H15" s="252">
        <f>SUM(H9:H14)</f>
        <v>97282.260000000009</v>
      </c>
      <c r="I15" s="504">
        <f t="shared" si="0"/>
        <v>309688</v>
      </c>
      <c r="J15" s="504">
        <f t="shared" si="0"/>
        <v>0</v>
      </c>
      <c r="K15" s="504">
        <f>SUM(K9:K14)</f>
        <v>0</v>
      </c>
      <c r="L15" s="504" t="e">
        <f>SUM(L9:L14)</f>
        <v>#REF!</v>
      </c>
      <c r="M15" s="296" t="s">
        <v>201</v>
      </c>
      <c r="N15" s="192"/>
      <c r="O15" s="192"/>
      <c r="P15" s="192"/>
      <c r="Q15" s="285"/>
    </row>
    <row r="16" spans="1:19" s="284" customFormat="1" x14ac:dyDescent="0.2">
      <c r="A16" s="285"/>
      <c r="B16" s="260"/>
      <c r="H16" s="255"/>
      <c r="I16" s="186"/>
      <c r="J16" s="186"/>
      <c r="K16" s="186"/>
      <c r="L16" s="186"/>
      <c r="N16" s="297"/>
      <c r="O16" s="297"/>
      <c r="P16" s="297"/>
      <c r="Q16" s="285"/>
    </row>
    <row r="17" spans="1:19" s="284" customFormat="1" ht="15" x14ac:dyDescent="0.35">
      <c r="A17" s="298"/>
      <c r="B17" s="289"/>
      <c r="G17" s="294"/>
      <c r="H17" s="245"/>
      <c r="I17" s="180"/>
      <c r="J17" s="180"/>
      <c r="K17" s="180"/>
      <c r="L17" s="180"/>
      <c r="M17" s="299"/>
      <c r="N17" s="184"/>
      <c r="O17" s="184"/>
      <c r="P17" s="184"/>
      <c r="Q17" s="285"/>
    </row>
    <row r="18" spans="1:19" s="284" customFormat="1" ht="25.5" x14ac:dyDescent="0.2">
      <c r="A18" s="247" t="s">
        <v>83</v>
      </c>
      <c r="B18" s="264" t="s">
        <v>211</v>
      </c>
      <c r="C18" s="264" t="s">
        <v>218</v>
      </c>
      <c r="D18" s="264" t="s">
        <v>257</v>
      </c>
      <c r="E18" s="264" t="s">
        <v>321</v>
      </c>
      <c r="F18" s="264" t="s">
        <v>479</v>
      </c>
      <c r="G18" s="264" t="s">
        <v>567</v>
      </c>
      <c r="H18" s="264" t="s">
        <v>568</v>
      </c>
      <c r="I18" s="264" t="s">
        <v>334</v>
      </c>
      <c r="J18" s="264" t="s">
        <v>564</v>
      </c>
      <c r="K18" s="264" t="s">
        <v>565</v>
      </c>
      <c r="L18" s="264" t="s">
        <v>566</v>
      </c>
      <c r="M18" s="296"/>
      <c r="N18" s="182"/>
      <c r="O18" s="182"/>
      <c r="P18" s="182"/>
      <c r="Q18" s="285"/>
      <c r="R18" s="285"/>
      <c r="S18" s="285"/>
    </row>
    <row r="19" spans="1:19" s="284" customFormat="1" x14ac:dyDescent="0.2">
      <c r="H19" s="245"/>
      <c r="I19" s="180"/>
      <c r="J19" s="180"/>
      <c r="K19" s="180"/>
      <c r="L19" s="180"/>
      <c r="M19" s="296"/>
      <c r="N19" s="185"/>
      <c r="O19" s="185"/>
      <c r="P19" s="185"/>
      <c r="Q19" s="180"/>
      <c r="R19" s="285"/>
      <c r="S19" s="285"/>
    </row>
    <row r="20" spans="1:19" s="284" customFormat="1" x14ac:dyDescent="0.2">
      <c r="A20" s="284" t="s">
        <v>49</v>
      </c>
      <c r="B20" s="302">
        <v>5107</v>
      </c>
      <c r="C20" s="302">
        <v>16355</v>
      </c>
      <c r="D20" s="302">
        <v>11734</v>
      </c>
      <c r="E20" s="302">
        <v>14000</v>
      </c>
      <c r="F20" s="302">
        <v>7557</v>
      </c>
      <c r="G20" s="302">
        <v>1271</v>
      </c>
      <c r="H20" s="531">
        <v>16178</v>
      </c>
      <c r="I20" s="506">
        <v>47494</v>
      </c>
      <c r="J20" s="506">
        <f>'2016 Summary Table B'!$M$25</f>
        <v>0</v>
      </c>
      <c r="K20" s="506">
        <f>'2017 Summary Table B'!$M$25</f>
        <v>0</v>
      </c>
      <c r="L20" s="506">
        <f>'2019 Summary Table B'!$M$25</f>
        <v>0</v>
      </c>
      <c r="M20" s="296" t="s">
        <v>64</v>
      </c>
      <c r="N20" s="183"/>
      <c r="O20" s="185"/>
      <c r="P20" s="183"/>
      <c r="Q20" s="187"/>
      <c r="R20" s="285"/>
      <c r="S20" s="285"/>
    </row>
    <row r="21" spans="1:19" s="284" customFormat="1" x14ac:dyDescent="0.2">
      <c r="A21" s="284" t="s">
        <v>50</v>
      </c>
      <c r="B21" s="302">
        <v>102144</v>
      </c>
      <c r="C21" s="302">
        <v>327104</v>
      </c>
      <c r="D21" s="302">
        <v>234688</v>
      </c>
      <c r="E21" s="302">
        <v>280000</v>
      </c>
      <c r="F21" s="302">
        <v>145527</v>
      </c>
      <c r="G21" s="302">
        <v>25415</v>
      </c>
      <c r="H21" s="531">
        <v>285403</v>
      </c>
      <c r="I21" s="506">
        <v>874914</v>
      </c>
      <c r="J21" s="506">
        <f>'2016 Summary Table B'!$N$25</f>
        <v>0</v>
      </c>
      <c r="K21" s="506">
        <f>'2017 Summary Table B'!$N$25</f>
        <v>0</v>
      </c>
      <c r="L21" s="506">
        <f>'2019 Summary Table B'!$N$25</f>
        <v>0</v>
      </c>
      <c r="M21" s="296" t="s">
        <v>10</v>
      </c>
      <c r="N21" s="183"/>
      <c r="O21" s="183"/>
      <c r="P21" s="183"/>
      <c r="Q21" s="182"/>
      <c r="R21" s="285"/>
      <c r="S21" s="285"/>
    </row>
    <row r="22" spans="1:19" s="284" customFormat="1" x14ac:dyDescent="0.2">
      <c r="H22" s="527"/>
      <c r="I22" s="180"/>
      <c r="J22" s="180"/>
      <c r="K22" s="180"/>
      <c r="L22" s="180"/>
      <c r="M22" s="296"/>
      <c r="N22" s="182"/>
      <c r="O22" s="182"/>
      <c r="P22" s="182"/>
      <c r="Q22" s="183"/>
      <c r="R22" s="285"/>
      <c r="S22" s="285"/>
    </row>
    <row r="23" spans="1:19" s="284" customFormat="1" x14ac:dyDescent="0.2">
      <c r="A23" s="284" t="s">
        <v>51</v>
      </c>
      <c r="B23" s="305">
        <f t="shared" ref="B23:J23" si="1">SUM(B15/B20)</f>
        <v>7.4564323477579793</v>
      </c>
      <c r="C23" s="305">
        <f t="shared" si="1"/>
        <v>5.6322940996637101</v>
      </c>
      <c r="D23" s="305">
        <f t="shared" si="1"/>
        <v>5.067511505028123</v>
      </c>
      <c r="E23" s="305">
        <f t="shared" si="1"/>
        <v>3.21779857142857</v>
      </c>
      <c r="F23" s="305">
        <f t="shared" si="1"/>
        <v>5.899695646420537</v>
      </c>
      <c r="G23" s="305">
        <f t="shared" si="1"/>
        <v>17.200015735641227</v>
      </c>
      <c r="H23" s="528">
        <f t="shared" si="1"/>
        <v>6.0132439114847331</v>
      </c>
      <c r="I23" s="269">
        <f t="shared" si="1"/>
        <v>6.5205710194971997</v>
      </c>
      <c r="J23" s="269" t="e">
        <f t="shared" si="1"/>
        <v>#DIV/0!</v>
      </c>
      <c r="K23" s="269" t="e">
        <f>SUM(K15/K20)</f>
        <v>#DIV/0!</v>
      </c>
      <c r="L23" s="269" t="e">
        <f>SUM(L15/L20)</f>
        <v>#REF!</v>
      </c>
      <c r="M23" s="296" t="s">
        <v>65</v>
      </c>
      <c r="N23" s="182"/>
      <c r="O23" s="182"/>
      <c r="P23" s="182"/>
      <c r="Q23" s="183"/>
      <c r="R23" s="285"/>
      <c r="S23" s="285"/>
    </row>
    <row r="24" spans="1:19" s="284" customFormat="1" x14ac:dyDescent="0.2">
      <c r="A24" s="284" t="s">
        <v>52</v>
      </c>
      <c r="B24" s="305">
        <f t="shared" ref="B24:J24" si="2">SUM(B15/B21)</f>
        <v>0.37280701754385964</v>
      </c>
      <c r="C24" s="305">
        <f t="shared" si="2"/>
        <v>0.28161126125024449</v>
      </c>
      <c r="D24" s="305">
        <f t="shared" si="2"/>
        <v>0.25336693823288792</v>
      </c>
      <c r="E24" s="305">
        <f t="shared" si="2"/>
        <v>0.1608899285714285</v>
      </c>
      <c r="F24" s="305">
        <f t="shared" si="2"/>
        <v>0.3063623932328709</v>
      </c>
      <c r="G24" s="305">
        <f t="shared" si="2"/>
        <v>0.86016997835923659</v>
      </c>
      <c r="H24" s="528">
        <f t="shared" si="2"/>
        <v>0.34085927618139966</v>
      </c>
      <c r="I24" s="269">
        <f t="shared" si="2"/>
        <v>0.35396393245507557</v>
      </c>
      <c r="J24" s="269" t="e">
        <f t="shared" si="2"/>
        <v>#DIV/0!</v>
      </c>
      <c r="K24" s="269" t="e">
        <f>SUM(K15/K21)</f>
        <v>#DIV/0!</v>
      </c>
      <c r="L24" s="269" t="e">
        <f>SUM(L15/L21)</f>
        <v>#REF!</v>
      </c>
      <c r="M24" s="296" t="s">
        <v>66</v>
      </c>
      <c r="N24" s="185"/>
      <c r="O24" s="184"/>
      <c r="P24" s="184"/>
      <c r="Q24" s="184"/>
      <c r="R24" s="285"/>
      <c r="S24" s="285"/>
    </row>
    <row r="25" spans="1:19" s="284" customFormat="1" x14ac:dyDescent="0.2">
      <c r="H25" s="249"/>
      <c r="I25" s="245"/>
      <c r="J25" s="245"/>
      <c r="K25" s="245"/>
      <c r="L25" s="245"/>
      <c r="M25" s="296"/>
      <c r="N25" s="185"/>
      <c r="O25" s="182"/>
      <c r="P25" s="182"/>
      <c r="Q25" s="182"/>
      <c r="R25" s="285"/>
      <c r="S25" s="285"/>
    </row>
    <row r="26" spans="1:19" s="284" customFormat="1" x14ac:dyDescent="0.2">
      <c r="A26" s="284" t="s">
        <v>84</v>
      </c>
      <c r="B26" s="295">
        <v>236707</v>
      </c>
      <c r="C26" s="295">
        <v>273653.39519422554</v>
      </c>
      <c r="D26" s="295">
        <v>212457.81912151145</v>
      </c>
      <c r="E26" s="513">
        <v>194472.63577269868</v>
      </c>
      <c r="F26" s="295">
        <f>+F21/122237*65790</f>
        <v>78325.067941785223</v>
      </c>
      <c r="G26" s="747">
        <v>13885</v>
      </c>
      <c r="H26" s="257">
        <v>228859</v>
      </c>
      <c r="I26" s="747">
        <v>779947</v>
      </c>
      <c r="J26" s="747">
        <f>'2016 Summary Table B'!$F$25</f>
        <v>0</v>
      </c>
      <c r="K26" s="747">
        <f>'2017 Summary Table B'!$F$25</f>
        <v>0</v>
      </c>
      <c r="L26" s="747">
        <f>'2019 Summary Table B'!$F$25</f>
        <v>0</v>
      </c>
      <c r="M26" s="296" t="s">
        <v>67</v>
      </c>
      <c r="N26" s="185"/>
      <c r="O26" s="185"/>
      <c r="P26" s="185"/>
      <c r="Q26" s="185"/>
      <c r="R26" s="285"/>
      <c r="S26" s="285"/>
    </row>
    <row r="27" spans="1:19" s="284" customFormat="1" x14ac:dyDescent="0.2">
      <c r="A27" s="284" t="s">
        <v>85</v>
      </c>
      <c r="B27" s="306">
        <f t="shared" ref="B27:J27" si="3">SUM(B26/B15)</f>
        <v>6.2160451680672271</v>
      </c>
      <c r="C27" s="306">
        <f t="shared" si="3"/>
        <v>2.9707422181602383</v>
      </c>
      <c r="D27" s="306">
        <f t="shared" si="3"/>
        <v>3.5729907501122811</v>
      </c>
      <c r="E27" s="306">
        <f t="shared" si="3"/>
        <v>4.316896240346634</v>
      </c>
      <c r="F27" s="306">
        <f t="shared" si="3"/>
        <v>1.7567976839625252</v>
      </c>
      <c r="G27" s="306">
        <f t="shared" si="3"/>
        <v>0.63514296091434974</v>
      </c>
      <c r="H27" s="529">
        <f>SUM(H26/H15)</f>
        <v>2.352525527264683</v>
      </c>
      <c r="I27" s="271">
        <f t="shared" si="3"/>
        <v>2.5184928056624734</v>
      </c>
      <c r="J27" s="271" t="e">
        <f t="shared" si="3"/>
        <v>#DIV/0!</v>
      </c>
      <c r="K27" s="271" t="e">
        <f>SUM(K26/K15)</f>
        <v>#DIV/0!</v>
      </c>
      <c r="L27" s="271" t="e">
        <f>SUM(L26/L15)</f>
        <v>#REF!</v>
      </c>
      <c r="M27" s="296" t="s">
        <v>68</v>
      </c>
      <c r="N27" s="185"/>
      <c r="O27" s="183"/>
      <c r="P27" s="185"/>
      <c r="Q27" s="183"/>
      <c r="R27" s="285"/>
      <c r="S27" s="285"/>
    </row>
    <row r="28" spans="1:19" s="284" customFormat="1" x14ac:dyDescent="0.2">
      <c r="A28" s="284" t="s">
        <v>63</v>
      </c>
      <c r="B28" s="302">
        <v>84</v>
      </c>
      <c r="C28" s="307">
        <v>269</v>
      </c>
      <c r="D28" s="307">
        <v>193</v>
      </c>
      <c r="E28" s="307">
        <v>250</v>
      </c>
      <c r="F28" s="307">
        <v>88</v>
      </c>
      <c r="G28" s="307">
        <v>26</v>
      </c>
      <c r="H28" s="534">
        <v>288</v>
      </c>
      <c r="I28" s="506">
        <v>1061</v>
      </c>
      <c r="J28" s="506">
        <f>'2016 Summary Table B'!$K$25</f>
        <v>0</v>
      </c>
      <c r="K28" s="506">
        <f>'2017 Summary Table B'!$K$25</f>
        <v>0</v>
      </c>
      <c r="L28" s="506">
        <f>'2019 Summary Table B'!$K$25</f>
        <v>0</v>
      </c>
      <c r="M28" s="296" t="s">
        <v>69</v>
      </c>
      <c r="N28" s="185"/>
      <c r="O28" s="183"/>
      <c r="P28" s="183"/>
      <c r="Q28" s="183"/>
      <c r="R28" s="285"/>
      <c r="S28" s="285"/>
    </row>
    <row r="29" spans="1:19" s="284" customFormat="1" x14ac:dyDescent="0.2">
      <c r="A29" s="284" t="s">
        <v>74</v>
      </c>
      <c r="B29" s="301">
        <f t="shared" ref="B29:J29" si="4">SUM(B21/B28)</f>
        <v>1216</v>
      </c>
      <c r="C29" s="308">
        <f t="shared" si="4"/>
        <v>1216</v>
      </c>
      <c r="D29" s="308">
        <f t="shared" si="4"/>
        <v>1216</v>
      </c>
      <c r="E29" s="308">
        <f t="shared" si="4"/>
        <v>1120</v>
      </c>
      <c r="F29" s="308">
        <f t="shared" si="4"/>
        <v>1653.715909090909</v>
      </c>
      <c r="G29" s="308">
        <f t="shared" si="4"/>
        <v>977.5</v>
      </c>
      <c r="H29" s="282">
        <f t="shared" si="4"/>
        <v>990.98263888888891</v>
      </c>
      <c r="I29" s="266">
        <f t="shared" si="4"/>
        <v>824.61262959472197</v>
      </c>
      <c r="J29" s="266" t="e">
        <f t="shared" si="4"/>
        <v>#DIV/0!</v>
      </c>
      <c r="K29" s="266" t="e">
        <f>SUM(K21/K28)</f>
        <v>#DIV/0!</v>
      </c>
      <c r="L29" s="266" t="e">
        <f>SUM(L21/L28)</f>
        <v>#DIV/0!</v>
      </c>
      <c r="M29" s="296" t="s">
        <v>70</v>
      </c>
      <c r="N29" s="185"/>
      <c r="O29" s="182"/>
      <c r="P29" s="182"/>
      <c r="Q29" s="182"/>
      <c r="R29" s="285"/>
      <c r="S29" s="285"/>
    </row>
    <row r="30" spans="1:19" s="284" customFormat="1" x14ac:dyDescent="0.2">
      <c r="A30" s="284" t="s">
        <v>71</v>
      </c>
      <c r="B30" s="295">
        <f t="shared" ref="B30:J30" si="5">SUM(B15/B28)</f>
        <v>453.33333333333331</v>
      </c>
      <c r="C30" s="295">
        <f t="shared" si="5"/>
        <v>342.43929368029734</v>
      </c>
      <c r="D30" s="295">
        <f t="shared" si="5"/>
        <v>308.0941968911917</v>
      </c>
      <c r="E30" s="295">
        <f t="shared" si="5"/>
        <v>180.19671999999991</v>
      </c>
      <c r="F30" s="295">
        <f t="shared" si="5"/>
        <v>506.63636363636363</v>
      </c>
      <c r="G30" s="295">
        <f t="shared" si="5"/>
        <v>840.81615384615372</v>
      </c>
      <c r="H30" s="530">
        <f>SUM(H15/H28)</f>
        <v>337.78562500000004</v>
      </c>
      <c r="I30" s="257">
        <f t="shared" si="5"/>
        <v>291.88312912346845</v>
      </c>
      <c r="J30" s="257" t="e">
        <f t="shared" si="5"/>
        <v>#DIV/0!</v>
      </c>
      <c r="K30" s="257" t="e">
        <f>SUM(K15/K28)</f>
        <v>#DIV/0!</v>
      </c>
      <c r="L30" s="257" t="e">
        <f>SUM(L15/L28)</f>
        <v>#REF!</v>
      </c>
      <c r="M30" s="296" t="s">
        <v>72</v>
      </c>
      <c r="N30" s="185"/>
      <c r="O30" s="182"/>
      <c r="P30" s="182"/>
      <c r="Q30" s="182"/>
      <c r="R30" s="285"/>
      <c r="S30" s="285"/>
    </row>
    <row r="31" spans="1:19" s="284" customFormat="1" x14ac:dyDescent="0.2">
      <c r="A31" s="284" t="s">
        <v>62</v>
      </c>
      <c r="B31" s="295">
        <f t="shared" ref="B31:J31" si="6">SUM(B26/B28)</f>
        <v>2817.9404761904761</v>
      </c>
      <c r="C31" s="295">
        <f t="shared" si="6"/>
        <v>1017.2988668930317</v>
      </c>
      <c r="D31" s="295">
        <f t="shared" si="6"/>
        <v>1100.8177156554998</v>
      </c>
      <c r="E31" s="295">
        <f t="shared" si="6"/>
        <v>777.89054309079472</v>
      </c>
      <c r="F31" s="295">
        <f t="shared" si="6"/>
        <v>890.05759024755935</v>
      </c>
      <c r="G31" s="295">
        <f t="shared" si="6"/>
        <v>534.03846153846155</v>
      </c>
      <c r="H31" s="530">
        <f>SUM(H26/H28)</f>
        <v>794.64930555555554</v>
      </c>
      <c r="I31" s="257">
        <f t="shared" si="6"/>
        <v>735.1055607917059</v>
      </c>
      <c r="J31" s="257" t="e">
        <f t="shared" si="6"/>
        <v>#DIV/0!</v>
      </c>
      <c r="K31" s="257" t="e">
        <f>SUM(K26/K28)</f>
        <v>#DIV/0!</v>
      </c>
      <c r="L31" s="257" t="e">
        <f>SUM(L26/L28)</f>
        <v>#DIV/0!</v>
      </c>
      <c r="M31" s="296" t="s">
        <v>73</v>
      </c>
      <c r="N31" s="285"/>
      <c r="O31" s="285"/>
      <c r="P31" s="285"/>
      <c r="Q31" s="285"/>
      <c r="R31" s="285"/>
      <c r="S31" s="285"/>
    </row>
    <row r="32" spans="1:19" s="284" customFormat="1" ht="14.25" x14ac:dyDescent="0.2">
      <c r="A32" s="704" t="s">
        <v>324</v>
      </c>
      <c r="B32" s="945">
        <f t="shared" ref="B32:J32" si="7">B12/B21</f>
        <v>0.25559014724310775</v>
      </c>
      <c r="C32" s="945">
        <f t="shared" si="7"/>
        <v>0.25209596947759738</v>
      </c>
      <c r="D32" s="945">
        <f t="shared" si="7"/>
        <v>0.23039950913553314</v>
      </c>
      <c r="E32" s="945">
        <f t="shared" si="7"/>
        <v>0.14474857142857134</v>
      </c>
      <c r="F32" s="945">
        <f t="shared" si="7"/>
        <v>0.28018168449840924</v>
      </c>
      <c r="G32" s="945">
        <f t="shared" si="7"/>
        <v>0.16487271296478456</v>
      </c>
      <c r="H32" s="945">
        <f t="shared" si="7"/>
        <v>0.22455829125832594</v>
      </c>
      <c r="I32" s="945">
        <f t="shared" si="7"/>
        <v>0.3066952866224566</v>
      </c>
      <c r="J32" s="945" t="e">
        <f t="shared" si="7"/>
        <v>#DIV/0!</v>
      </c>
      <c r="K32" s="945" t="e">
        <f>K12/K21</f>
        <v>#DIV/0!</v>
      </c>
      <c r="L32" s="945" t="e">
        <f>L12/L21</f>
        <v>#REF!</v>
      </c>
      <c r="M32" s="557" t="s">
        <v>328</v>
      </c>
      <c r="N32" s="285"/>
      <c r="O32" s="285"/>
      <c r="P32" s="285"/>
      <c r="Q32" s="285"/>
      <c r="R32" s="285"/>
      <c r="S32" s="285"/>
    </row>
    <row r="33" spans="1:19" s="284" customFormat="1" ht="14.25" x14ac:dyDescent="0.2">
      <c r="A33" s="704" t="s">
        <v>325</v>
      </c>
      <c r="B33" s="946">
        <f t="shared" ref="B33:J33" si="8">B13/B21</f>
        <v>7.7733395989974937E-3</v>
      </c>
      <c r="C33" s="946">
        <f t="shared" si="8"/>
        <v>7.7247603208765406E-4</v>
      </c>
      <c r="D33" s="946">
        <f t="shared" si="8"/>
        <v>1.8138976002181619E-3</v>
      </c>
      <c r="E33" s="946">
        <f t="shared" si="8"/>
        <v>6.5714642857142864E-3</v>
      </c>
      <c r="F33" s="946">
        <f t="shared" si="8"/>
        <v>6.8715770956592249E-5</v>
      </c>
      <c r="G33" s="946">
        <f t="shared" si="8"/>
        <v>0.14477159157977573</v>
      </c>
      <c r="H33" s="946">
        <f t="shared" si="8"/>
        <v>5.0883837941437188E-3</v>
      </c>
      <c r="I33" s="946">
        <f t="shared" si="8"/>
        <v>9.1471847518727559E-3</v>
      </c>
      <c r="J33" s="946" t="e">
        <f t="shared" si="8"/>
        <v>#DIV/0!</v>
      </c>
      <c r="K33" s="946" t="e">
        <f>K13/K21</f>
        <v>#DIV/0!</v>
      </c>
      <c r="L33" s="946" t="e">
        <f>L13/L21</f>
        <v>#REF!</v>
      </c>
      <c r="M33" s="557" t="s">
        <v>329</v>
      </c>
      <c r="N33" s="285"/>
      <c r="O33" s="285"/>
      <c r="P33" s="285"/>
      <c r="Q33" s="285"/>
      <c r="R33" s="285"/>
      <c r="S33" s="285"/>
    </row>
    <row r="34" spans="1:19" s="284" customFormat="1" x14ac:dyDescent="0.2">
      <c r="A34" s="247"/>
      <c r="B34" s="300"/>
      <c r="C34" s="250"/>
      <c r="D34" s="250"/>
      <c r="I34" s="296"/>
      <c r="J34" s="245"/>
      <c r="K34" s="245"/>
      <c r="L34" s="245"/>
      <c r="M34" s="296"/>
      <c r="N34" s="296"/>
      <c r="O34" s="180"/>
      <c r="P34" s="182"/>
      <c r="Q34" s="182"/>
      <c r="R34" s="182"/>
      <c r="S34" s="285"/>
    </row>
    <row r="35" spans="1:19" s="284" customFormat="1" x14ac:dyDescent="0.2">
      <c r="A35" s="248" t="s">
        <v>194</v>
      </c>
      <c r="B35" s="304"/>
      <c r="C35" s="285"/>
      <c r="G35" s="276" t="s">
        <v>191</v>
      </c>
      <c r="H35" s="276"/>
      <c r="I35" s="276"/>
      <c r="K35" s="245"/>
      <c r="L35" s="245"/>
      <c r="M35" s="296"/>
      <c r="N35" s="296"/>
      <c r="O35" s="180"/>
      <c r="P35" s="182"/>
      <c r="Q35" s="182"/>
      <c r="R35" s="182"/>
      <c r="S35" s="285"/>
    </row>
    <row r="36" spans="1:19" s="284" customFormat="1" x14ac:dyDescent="0.2">
      <c r="A36" s="273" t="s">
        <v>185</v>
      </c>
      <c r="B36" s="250" t="s">
        <v>1</v>
      </c>
      <c r="C36" s="250" t="s">
        <v>186</v>
      </c>
      <c r="D36" s="250" t="s">
        <v>18</v>
      </c>
      <c r="G36" s="273" t="s">
        <v>185</v>
      </c>
      <c r="H36" s="250" t="s">
        <v>188</v>
      </c>
      <c r="I36" s="250" t="s">
        <v>186</v>
      </c>
      <c r="J36" s="250" t="s">
        <v>189</v>
      </c>
      <c r="K36" s="245"/>
      <c r="L36" s="245"/>
      <c r="M36" s="296"/>
      <c r="N36" s="296"/>
    </row>
    <row r="37" spans="1:19" s="284" customFormat="1" x14ac:dyDescent="0.2">
      <c r="A37" s="273">
        <v>2008</v>
      </c>
      <c r="B37" s="541">
        <v>105400</v>
      </c>
      <c r="C37" s="310">
        <v>38080</v>
      </c>
      <c r="D37" s="275">
        <f t="shared" ref="D37:D43" si="9">IF(ISERROR(C37/B37),"-",(C37/B37))</f>
        <v>0.36129032258064514</v>
      </c>
      <c r="G37" s="273">
        <v>2008</v>
      </c>
      <c r="H37" s="509">
        <v>12766</v>
      </c>
      <c r="I37" s="539">
        <v>5107</v>
      </c>
      <c r="J37" s="275">
        <f t="shared" ref="J37:J43" si="10">IF(ISERROR(I37/H37),"-",(I37/H37))</f>
        <v>0.40004699984333386</v>
      </c>
      <c r="K37" s="245"/>
      <c r="L37" s="245"/>
      <c r="M37" s="296"/>
      <c r="N37" s="296"/>
    </row>
    <row r="38" spans="1:19" s="284" customFormat="1" x14ac:dyDescent="0.2">
      <c r="A38" s="273">
        <v>2009</v>
      </c>
      <c r="B38" s="274">
        <v>105400</v>
      </c>
      <c r="C38" s="310">
        <v>92116</v>
      </c>
      <c r="D38" s="275">
        <f t="shared" si="9"/>
        <v>0.87396584440227709</v>
      </c>
      <c r="G38" s="273">
        <v>2009</v>
      </c>
      <c r="H38" s="278">
        <v>16648</v>
      </c>
      <c r="I38" s="463">
        <v>16355</v>
      </c>
      <c r="J38" s="275">
        <f t="shared" si="10"/>
        <v>0.9824002883229217</v>
      </c>
      <c r="K38" s="245"/>
      <c r="L38" s="245"/>
      <c r="M38" s="296"/>
      <c r="N38" s="296"/>
    </row>
    <row r="39" spans="1:19" s="284" customFormat="1" x14ac:dyDescent="0.2">
      <c r="A39" s="273">
        <v>2010</v>
      </c>
      <c r="B39" s="274">
        <v>105400</v>
      </c>
      <c r="C39" s="310">
        <v>59462.18</v>
      </c>
      <c r="D39" s="275">
        <f t="shared" si="9"/>
        <v>0.56415730550284626</v>
      </c>
      <c r="G39" s="273">
        <v>2010</v>
      </c>
      <c r="H39" s="278">
        <v>16040</v>
      </c>
      <c r="I39" s="463">
        <v>11734</v>
      </c>
      <c r="J39" s="275">
        <f t="shared" si="10"/>
        <v>0.73154613466334162</v>
      </c>
      <c r="K39" s="245"/>
      <c r="L39" s="245"/>
      <c r="M39" s="296"/>
      <c r="N39" s="296"/>
    </row>
    <row r="40" spans="1:19" s="284" customFormat="1" x14ac:dyDescent="0.2">
      <c r="A40" s="273">
        <v>2011</v>
      </c>
      <c r="B40" s="274">
        <v>105400</v>
      </c>
      <c r="C40" s="310">
        <v>45049.179999999978</v>
      </c>
      <c r="D40" s="275">
        <f t="shared" si="9"/>
        <v>0.42741157495256149</v>
      </c>
      <c r="G40" s="273">
        <v>2011</v>
      </c>
      <c r="H40" s="278">
        <v>13353</v>
      </c>
      <c r="I40" s="463">
        <v>14000</v>
      </c>
      <c r="J40" s="275">
        <f t="shared" si="10"/>
        <v>1.0484535310417136</v>
      </c>
      <c r="K40" s="245"/>
      <c r="L40" s="245"/>
      <c r="M40" s="296"/>
      <c r="N40" s="296"/>
    </row>
    <row r="41" spans="1:19" s="284" customFormat="1" x14ac:dyDescent="0.2">
      <c r="A41" s="273">
        <v>2012</v>
      </c>
      <c r="B41" s="274">
        <v>40055</v>
      </c>
      <c r="C41" s="895">
        <f>+F15</f>
        <v>44584</v>
      </c>
      <c r="D41" s="275">
        <f t="shared" si="9"/>
        <v>1.1130695293970789</v>
      </c>
      <c r="G41" s="273">
        <v>2012</v>
      </c>
      <c r="H41" s="570">
        <v>10186</v>
      </c>
      <c r="I41" s="463">
        <f>+F20</f>
        <v>7557</v>
      </c>
      <c r="J41" s="275">
        <f t="shared" si="10"/>
        <v>0.74190064794816413</v>
      </c>
      <c r="K41" s="245"/>
      <c r="L41" s="245"/>
      <c r="M41" s="296"/>
      <c r="N41" s="296"/>
    </row>
    <row r="42" spans="1:19" s="284" customFormat="1" x14ac:dyDescent="0.2">
      <c r="A42" s="273">
        <v>2013</v>
      </c>
      <c r="B42" s="274">
        <v>40055</v>
      </c>
      <c r="C42" s="541">
        <f>G15</f>
        <v>21861.219999999998</v>
      </c>
      <c r="D42" s="275">
        <f t="shared" si="9"/>
        <v>0.54578005242791161</v>
      </c>
      <c r="G42" s="273">
        <v>2013</v>
      </c>
      <c r="H42" s="278">
        <v>6069</v>
      </c>
      <c r="I42" s="463">
        <f>G20</f>
        <v>1271</v>
      </c>
      <c r="J42" s="275">
        <f t="shared" si="10"/>
        <v>0.2094249464491679</v>
      </c>
      <c r="K42" s="245"/>
      <c r="L42" s="245"/>
      <c r="M42" s="296"/>
      <c r="N42" s="296"/>
    </row>
    <row r="43" spans="1:19" s="284" customFormat="1" x14ac:dyDescent="0.2">
      <c r="A43" s="273">
        <v>2014</v>
      </c>
      <c r="B43" s="274">
        <v>300238</v>
      </c>
      <c r="C43" s="274">
        <f>H15</f>
        <v>97282.260000000009</v>
      </c>
      <c r="D43" s="275">
        <f t="shared" si="9"/>
        <v>0.32401714639719159</v>
      </c>
      <c r="G43" s="273">
        <v>2014</v>
      </c>
      <c r="H43" s="278">
        <v>73902</v>
      </c>
      <c r="I43" s="278">
        <f>H20</f>
        <v>16178</v>
      </c>
      <c r="J43" s="275">
        <f t="shared" si="10"/>
        <v>0.21891153148764581</v>
      </c>
      <c r="K43" s="245"/>
      <c r="L43" s="245"/>
      <c r="M43" s="296"/>
      <c r="N43" s="296"/>
    </row>
    <row r="44" spans="1:19" s="284" customFormat="1" x14ac:dyDescent="0.2">
      <c r="A44" s="273">
        <v>2015</v>
      </c>
      <c r="B44" s="274">
        <f>I15</f>
        <v>309688</v>
      </c>
      <c r="C44" s="274"/>
      <c r="D44" s="275"/>
      <c r="G44" s="273">
        <v>2015</v>
      </c>
      <c r="H44" s="278">
        <f>I20</f>
        <v>47494</v>
      </c>
      <c r="I44" s="278"/>
      <c r="J44" s="275"/>
      <c r="K44" s="245"/>
      <c r="L44" s="245"/>
      <c r="M44" s="296"/>
      <c r="N44" s="296"/>
    </row>
    <row r="45" spans="1:19" s="284" customFormat="1" x14ac:dyDescent="0.2">
      <c r="A45" s="273">
        <v>2016</v>
      </c>
      <c r="B45" s="274">
        <f>J15</f>
        <v>0</v>
      </c>
      <c r="C45" s="274"/>
      <c r="D45" s="275"/>
      <c r="G45" s="273">
        <v>2016</v>
      </c>
      <c r="H45" s="278">
        <f>J20</f>
        <v>0</v>
      </c>
      <c r="I45" s="278"/>
      <c r="J45" s="275"/>
      <c r="K45" s="245"/>
      <c r="L45" s="245"/>
      <c r="M45" s="296"/>
      <c r="N45" s="296"/>
    </row>
    <row r="46" spans="1:19" s="284" customFormat="1" x14ac:dyDescent="0.2">
      <c r="A46" s="273">
        <v>2017</v>
      </c>
      <c r="B46" s="274">
        <f>K15</f>
        <v>0</v>
      </c>
      <c r="C46" s="274"/>
      <c r="D46" s="275"/>
      <c r="G46" s="273">
        <v>2017</v>
      </c>
      <c r="H46" s="278">
        <f>K20</f>
        <v>0</v>
      </c>
      <c r="I46" s="278"/>
      <c r="J46" s="275"/>
      <c r="K46" s="245"/>
      <c r="L46" s="245"/>
      <c r="M46" s="296"/>
      <c r="N46" s="296"/>
    </row>
    <row r="47" spans="1:19" s="284" customFormat="1" x14ac:dyDescent="0.2">
      <c r="A47" s="273">
        <v>2018</v>
      </c>
      <c r="B47" s="274" t="e">
        <f>L15</f>
        <v>#REF!</v>
      </c>
      <c r="C47" s="274"/>
      <c r="D47" s="275"/>
      <c r="G47" s="273">
        <v>2018</v>
      </c>
      <c r="H47" s="278">
        <f>L20</f>
        <v>0</v>
      </c>
      <c r="I47" s="278"/>
      <c r="J47" s="275"/>
      <c r="K47" s="245"/>
      <c r="L47" s="245"/>
      <c r="M47" s="296"/>
      <c r="N47" s="296"/>
    </row>
    <row r="48" spans="1:19" s="284" customFormat="1" x14ac:dyDescent="0.2">
      <c r="A48" s="273"/>
      <c r="B48" s="274"/>
      <c r="C48" s="274"/>
      <c r="D48" s="275"/>
      <c r="G48" s="273"/>
      <c r="H48" s="279"/>
      <c r="I48" s="279"/>
      <c r="J48" s="279"/>
      <c r="K48" s="245"/>
      <c r="L48" s="245"/>
      <c r="M48" s="296"/>
      <c r="N48" s="296"/>
    </row>
    <row r="49" spans="1:14" s="284" customFormat="1" x14ac:dyDescent="0.2">
      <c r="A49" s="276" t="s">
        <v>193</v>
      </c>
      <c r="B49" s="277"/>
      <c r="C49" s="277"/>
      <c r="D49" s="285"/>
      <c r="G49" s="276" t="s">
        <v>190</v>
      </c>
      <c r="H49" s="276"/>
      <c r="I49" s="276"/>
      <c r="J49" s="276"/>
      <c r="K49" s="245"/>
      <c r="L49" s="245"/>
      <c r="M49" s="296"/>
      <c r="N49" s="296"/>
    </row>
    <row r="50" spans="1:14" s="284" customFormat="1" x14ac:dyDescent="0.2">
      <c r="A50" s="273" t="s">
        <v>185</v>
      </c>
      <c r="B50" s="250" t="s">
        <v>188</v>
      </c>
      <c r="C50" s="250" t="s">
        <v>186</v>
      </c>
      <c r="D50" s="250" t="s">
        <v>189</v>
      </c>
      <c r="G50" s="273" t="s">
        <v>185</v>
      </c>
      <c r="H50" s="250" t="s">
        <v>188</v>
      </c>
      <c r="I50" s="250" t="s">
        <v>186</v>
      </c>
      <c r="J50" s="250" t="s">
        <v>189</v>
      </c>
      <c r="K50" s="245"/>
      <c r="L50" s="245"/>
      <c r="M50" s="296"/>
      <c r="N50" s="296"/>
    </row>
    <row r="51" spans="1:14" s="284" customFormat="1" x14ac:dyDescent="0.2">
      <c r="A51" s="273">
        <v>2008</v>
      </c>
      <c r="B51" s="296">
        <v>210</v>
      </c>
      <c r="C51" s="296">
        <v>84</v>
      </c>
      <c r="D51" s="275">
        <f t="shared" ref="D51:D57" si="11">IF(ISERROR(C51/B51),"-",(C51/B51))</f>
        <v>0.4</v>
      </c>
      <c r="G51" s="273">
        <v>2008</v>
      </c>
      <c r="H51" s="278">
        <v>255325</v>
      </c>
      <c r="I51" s="545">
        <v>102144</v>
      </c>
      <c r="J51" s="275">
        <f t="shared" ref="J51:J57" si="12">IF(ISERROR(I51/H51),"-",(I51/H51))</f>
        <v>0.4000548320767649</v>
      </c>
      <c r="K51" s="245"/>
      <c r="L51" s="245"/>
      <c r="M51" s="296"/>
      <c r="N51" s="296"/>
    </row>
    <row r="52" spans="1:14" s="284" customFormat="1" x14ac:dyDescent="0.2">
      <c r="A52" s="273">
        <v>2009</v>
      </c>
      <c r="B52" s="278">
        <v>274</v>
      </c>
      <c r="C52" s="296">
        <v>269</v>
      </c>
      <c r="D52" s="275">
        <f t="shared" si="11"/>
        <v>0.98175182481751821</v>
      </c>
      <c r="G52" s="273">
        <v>2009</v>
      </c>
      <c r="H52" s="278">
        <v>332961</v>
      </c>
      <c r="I52" s="544">
        <v>327104</v>
      </c>
      <c r="J52" s="275">
        <f t="shared" si="12"/>
        <v>0.98240935124534101</v>
      </c>
      <c r="K52" s="245"/>
      <c r="L52" s="245"/>
      <c r="M52" s="296"/>
      <c r="N52" s="296"/>
    </row>
    <row r="53" spans="1:14" s="284" customFormat="1" x14ac:dyDescent="0.2">
      <c r="A53" s="273">
        <v>2010</v>
      </c>
      <c r="B53" s="278">
        <v>264</v>
      </c>
      <c r="C53" s="296">
        <v>193</v>
      </c>
      <c r="D53" s="275">
        <f t="shared" si="11"/>
        <v>0.73106060606060608</v>
      </c>
      <c r="G53" s="273">
        <v>2010</v>
      </c>
      <c r="H53" s="278">
        <v>320801</v>
      </c>
      <c r="I53" s="544">
        <v>234688</v>
      </c>
      <c r="J53" s="275">
        <f t="shared" si="12"/>
        <v>0.73156879186785573</v>
      </c>
      <c r="K53" s="245"/>
      <c r="L53" s="245"/>
      <c r="M53" s="296"/>
      <c r="N53" s="296"/>
    </row>
    <row r="54" spans="1:14" s="284" customFormat="1" x14ac:dyDescent="0.2">
      <c r="A54" s="273">
        <v>2011</v>
      </c>
      <c r="B54" s="278">
        <v>238</v>
      </c>
      <c r="C54" s="296">
        <v>250</v>
      </c>
      <c r="D54" s="275">
        <f t="shared" si="11"/>
        <v>1.0504201680672269</v>
      </c>
      <c r="G54" s="273">
        <v>2011</v>
      </c>
      <c r="H54" s="278">
        <v>267064</v>
      </c>
      <c r="I54" s="544">
        <v>280000</v>
      </c>
      <c r="J54" s="275">
        <f t="shared" si="12"/>
        <v>1.0484378276368211</v>
      </c>
      <c r="K54" s="245"/>
      <c r="L54" s="245"/>
      <c r="M54" s="296"/>
      <c r="N54" s="296"/>
    </row>
    <row r="55" spans="1:14" s="284" customFormat="1" x14ac:dyDescent="0.2">
      <c r="A55" s="273">
        <v>2012</v>
      </c>
      <c r="B55" s="509">
        <v>238</v>
      </c>
      <c r="C55" s="540">
        <f>+F28</f>
        <v>88</v>
      </c>
      <c r="D55" s="275">
        <f t="shared" si="11"/>
        <v>0.36974789915966388</v>
      </c>
      <c r="G55" s="273">
        <v>2012</v>
      </c>
      <c r="H55" s="278">
        <v>122237</v>
      </c>
      <c r="I55" s="544">
        <f>+F21</f>
        <v>145527</v>
      </c>
      <c r="J55" s="275">
        <f t="shared" si="12"/>
        <v>1.1905315084630677</v>
      </c>
      <c r="K55" s="245"/>
      <c r="L55" s="245"/>
      <c r="M55" s="296"/>
      <c r="N55" s="296"/>
    </row>
    <row r="56" spans="1:14" s="284" customFormat="1" x14ac:dyDescent="0.2">
      <c r="A56" s="273">
        <v>2013</v>
      </c>
      <c r="B56" s="278">
        <v>119</v>
      </c>
      <c r="C56" s="540">
        <f>G28</f>
        <v>26</v>
      </c>
      <c r="D56" s="275">
        <f t="shared" si="11"/>
        <v>0.21848739495798319</v>
      </c>
      <c r="G56" s="273">
        <v>2013</v>
      </c>
      <c r="H56" s="278">
        <v>72828</v>
      </c>
      <c r="I56" s="544">
        <f>G21</f>
        <v>25415</v>
      </c>
      <c r="J56" s="275">
        <f t="shared" si="12"/>
        <v>0.34897292250233425</v>
      </c>
      <c r="K56" s="245"/>
      <c r="L56" s="245"/>
      <c r="M56" s="296"/>
      <c r="N56" s="296"/>
    </row>
    <row r="57" spans="1:14" s="284" customFormat="1" x14ac:dyDescent="0.2">
      <c r="A57" s="273">
        <v>2014</v>
      </c>
      <c r="B57" s="278">
        <v>2280</v>
      </c>
      <c r="C57" s="278">
        <f>H28</f>
        <v>288</v>
      </c>
      <c r="D57" s="275">
        <f t="shared" si="11"/>
        <v>0.12631578947368421</v>
      </c>
      <c r="G57" s="273">
        <v>2014</v>
      </c>
      <c r="H57" s="278">
        <v>936671</v>
      </c>
      <c r="I57" s="278">
        <f>H21</f>
        <v>285403</v>
      </c>
      <c r="J57" s="275">
        <f t="shared" si="12"/>
        <v>0.30469930210287283</v>
      </c>
      <c r="K57" s="245"/>
      <c r="L57" s="245"/>
      <c r="M57" s="296"/>
      <c r="N57" s="296"/>
    </row>
    <row r="58" spans="1:14" s="284" customFormat="1" x14ac:dyDescent="0.2">
      <c r="A58" s="273">
        <v>2015</v>
      </c>
      <c r="B58" s="278">
        <f>I28</f>
        <v>1061</v>
      </c>
      <c r="C58" s="278"/>
      <c r="D58" s="275"/>
      <c r="G58" s="273">
        <v>2015</v>
      </c>
      <c r="H58" s="278">
        <f>I21</f>
        <v>874914</v>
      </c>
      <c r="I58" s="278"/>
      <c r="J58" s="275"/>
      <c r="K58" s="245"/>
      <c r="L58" s="245"/>
      <c r="M58" s="296"/>
      <c r="N58" s="296"/>
    </row>
    <row r="59" spans="1:14" s="284" customFormat="1" x14ac:dyDescent="0.2">
      <c r="A59" s="273">
        <v>2016</v>
      </c>
      <c r="B59" s="278">
        <f>J28</f>
        <v>0</v>
      </c>
      <c r="G59" s="273">
        <v>2016</v>
      </c>
      <c r="H59" s="278">
        <f>J21</f>
        <v>0</v>
      </c>
      <c r="I59" s="296"/>
      <c r="J59" s="245"/>
      <c r="K59" s="245"/>
      <c r="L59" s="245"/>
      <c r="M59" s="296"/>
      <c r="N59" s="296"/>
    </row>
    <row r="60" spans="1:14" s="284" customFormat="1" x14ac:dyDescent="0.2">
      <c r="A60" s="273">
        <v>2017</v>
      </c>
      <c r="B60" s="278">
        <f>K28</f>
        <v>0</v>
      </c>
      <c r="G60" s="273">
        <v>2017</v>
      </c>
      <c r="H60" s="278">
        <f>K21</f>
        <v>0</v>
      </c>
      <c r="I60" s="296"/>
      <c r="J60" s="245"/>
      <c r="K60" s="245"/>
      <c r="L60" s="245"/>
      <c r="M60" s="296"/>
      <c r="N60" s="296"/>
    </row>
    <row r="61" spans="1:14" s="284" customFormat="1" x14ac:dyDescent="0.2">
      <c r="A61" s="273">
        <v>2018</v>
      </c>
      <c r="B61" s="278">
        <f>L28</f>
        <v>0</v>
      </c>
      <c r="G61" s="273">
        <v>2018</v>
      </c>
      <c r="H61" s="278">
        <f>L21</f>
        <v>0</v>
      </c>
      <c r="I61" s="296"/>
      <c r="J61" s="245"/>
      <c r="K61" s="245"/>
      <c r="L61" s="245"/>
      <c r="M61" s="296"/>
      <c r="N61" s="296"/>
    </row>
    <row r="62" spans="1:14" s="284" customFormat="1" x14ac:dyDescent="0.2">
      <c r="I62" s="296"/>
      <c r="J62" s="245"/>
      <c r="K62" s="245"/>
      <c r="L62" s="245"/>
      <c r="M62" s="296"/>
      <c r="N62" s="296"/>
    </row>
    <row r="63" spans="1:14" s="284" customFormat="1" x14ac:dyDescent="0.2">
      <c r="I63" s="296"/>
      <c r="J63" s="245"/>
      <c r="K63" s="245"/>
      <c r="L63" s="245"/>
      <c r="M63" s="296"/>
      <c r="N63" s="296"/>
    </row>
    <row r="64" spans="1:14" s="284" customFormat="1" x14ac:dyDescent="0.2">
      <c r="I64" s="296"/>
      <c r="J64" s="245"/>
      <c r="K64" s="245"/>
      <c r="L64" s="245"/>
      <c r="M64" s="296"/>
      <c r="N64" s="296"/>
    </row>
    <row r="65" spans="5:14" s="284" customFormat="1" x14ac:dyDescent="0.2">
      <c r="I65" s="296"/>
      <c r="J65" s="245"/>
      <c r="K65" s="245"/>
      <c r="L65" s="245"/>
      <c r="M65" s="296"/>
      <c r="N65" s="296"/>
    </row>
    <row r="66" spans="5:14" s="284" customFormat="1" x14ac:dyDescent="0.2">
      <c r="I66" s="296"/>
      <c r="J66" s="245"/>
      <c r="K66" s="245"/>
      <c r="L66" s="245"/>
      <c r="M66" s="296"/>
      <c r="N66" s="296"/>
    </row>
    <row r="67" spans="5:14" s="284" customFormat="1" x14ac:dyDescent="0.2">
      <c r="I67" s="296"/>
      <c r="J67" s="245"/>
      <c r="K67" s="245"/>
      <c r="L67" s="245"/>
      <c r="M67" s="296"/>
      <c r="N67" s="296"/>
    </row>
    <row r="68" spans="5:14" s="284" customFormat="1" x14ac:dyDescent="0.2">
      <c r="I68" s="296"/>
      <c r="J68" s="245"/>
      <c r="K68" s="245"/>
      <c r="L68" s="245"/>
      <c r="M68" s="296"/>
      <c r="N68" s="296"/>
    </row>
    <row r="69" spans="5:14" s="284" customFormat="1" x14ac:dyDescent="0.2">
      <c r="I69" s="296"/>
      <c r="J69" s="245"/>
      <c r="K69" s="245"/>
      <c r="L69" s="245"/>
      <c r="M69" s="296"/>
      <c r="N69" s="296"/>
    </row>
    <row r="70" spans="5:14" s="284" customFormat="1" x14ac:dyDescent="0.2">
      <c r="I70" s="296"/>
      <c r="J70" s="245"/>
      <c r="K70" s="245"/>
      <c r="L70" s="245"/>
      <c r="M70" s="296"/>
      <c r="N70" s="296"/>
    </row>
    <row r="71" spans="5:14" s="284" customFormat="1" x14ac:dyDescent="0.2">
      <c r="I71" s="296"/>
      <c r="J71" s="245"/>
      <c r="K71" s="245"/>
      <c r="L71" s="245"/>
      <c r="M71" s="296"/>
      <c r="N71" s="296"/>
    </row>
    <row r="72" spans="5:14" s="284" customFormat="1" x14ac:dyDescent="0.2">
      <c r="I72" s="296"/>
      <c r="J72" s="245"/>
      <c r="K72" s="245"/>
      <c r="L72" s="245"/>
      <c r="M72" s="296"/>
      <c r="N72" s="296"/>
    </row>
    <row r="73" spans="5:14" s="284" customFormat="1" x14ac:dyDescent="0.2">
      <c r="I73" s="296"/>
      <c r="J73" s="245"/>
      <c r="K73" s="245"/>
      <c r="L73" s="245"/>
      <c r="M73" s="296"/>
      <c r="N73" s="296"/>
    </row>
    <row r="74" spans="5:14" s="284" customFormat="1" x14ac:dyDescent="0.2">
      <c r="I74" s="296"/>
      <c r="J74" s="245"/>
      <c r="K74" s="245"/>
      <c r="L74" s="245"/>
      <c r="M74" s="296"/>
      <c r="N74" s="296"/>
    </row>
    <row r="75" spans="5:14" s="284" customFormat="1" x14ac:dyDescent="0.2">
      <c r="I75" s="296"/>
      <c r="J75" s="245"/>
      <c r="K75" s="245"/>
      <c r="L75" s="245"/>
      <c r="M75" s="296"/>
      <c r="N75" s="296"/>
    </row>
    <row r="76" spans="5:14" s="284" customFormat="1" x14ac:dyDescent="0.2">
      <c r="I76" s="296"/>
      <c r="J76" s="245"/>
      <c r="K76" s="245"/>
      <c r="L76" s="245"/>
      <c r="M76" s="296"/>
      <c r="N76" s="296"/>
    </row>
    <row r="77" spans="5:14" s="284" customFormat="1" x14ac:dyDescent="0.2">
      <c r="I77" s="296"/>
      <c r="J77" s="245"/>
      <c r="K77" s="245"/>
      <c r="L77" s="245"/>
      <c r="M77" s="296"/>
      <c r="N77" s="296"/>
    </row>
    <row r="78" spans="5:14" s="284" customFormat="1" x14ac:dyDescent="0.2">
      <c r="I78" s="296"/>
      <c r="J78" s="245"/>
      <c r="K78" s="245"/>
      <c r="L78" s="245"/>
      <c r="M78" s="296"/>
      <c r="N78" s="296"/>
    </row>
    <row r="79" spans="5:14" x14ac:dyDescent="0.2">
      <c r="E79" s="3"/>
      <c r="F79" s="3"/>
      <c r="G79" s="3"/>
      <c r="H79" s="3"/>
      <c r="I79" s="181"/>
      <c r="M79" s="181"/>
      <c r="N79" s="181"/>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2"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2">
    <tabColor indexed="44"/>
    <pageSetUpPr fitToPage="1"/>
  </sheetPr>
  <dimension ref="A1:S79"/>
  <sheetViews>
    <sheetView view="pageBreakPreview" zoomScale="60" zoomScaleNormal="100" workbookViewId="0">
      <selection activeCell="W61" sqref="W61"/>
    </sheetView>
  </sheetViews>
  <sheetFormatPr defaultRowHeight="12.75" x14ac:dyDescent="0.2"/>
  <cols>
    <col min="1" max="1" width="39.28515625" style="168" bestFit="1" customWidth="1"/>
    <col min="2" max="4" width="13.28515625" style="168" customWidth="1"/>
    <col min="5" max="7" width="13.28515625" style="3" customWidth="1"/>
    <col min="8" max="9" width="13.28515625" style="168" customWidth="1"/>
    <col min="10" max="12" width="13.28515625" style="245" customWidth="1"/>
    <col min="13" max="13" width="6.85546875" style="168" bestFit="1" customWidth="1"/>
    <col min="14" max="14" width="9.85546875" style="168" customWidth="1"/>
    <col min="15" max="15" width="6.85546875" style="168" bestFit="1" customWidth="1"/>
    <col min="16" max="16" width="3.7109375" style="168" customWidth="1"/>
    <col min="17" max="17" width="3.5703125" style="168" customWidth="1"/>
    <col min="18" max="19" width="12.7109375" style="168" customWidth="1"/>
    <col min="20" max="16384" width="9.140625" style="168"/>
  </cols>
  <sheetData>
    <row r="1" spans="1:19" ht="15.75" x14ac:dyDescent="0.25">
      <c r="A1" s="3055" t="s">
        <v>77</v>
      </c>
      <c r="B1" s="3055"/>
      <c r="C1" s="3055"/>
      <c r="D1" s="3055"/>
      <c r="E1" s="3055"/>
      <c r="F1" s="3055"/>
      <c r="G1" s="3055"/>
      <c r="H1" s="3055"/>
      <c r="I1" s="3055"/>
      <c r="J1" s="3055"/>
      <c r="K1" s="3055"/>
      <c r="L1" s="3055"/>
      <c r="M1" s="3055"/>
      <c r="N1" s="1914"/>
      <c r="O1" s="1914"/>
      <c r="P1" s="170"/>
      <c r="Q1" s="170"/>
      <c r="R1" s="170"/>
      <c r="S1" s="170"/>
    </row>
    <row r="2" spans="1:19" x14ac:dyDescent="0.2">
      <c r="A2" s="169"/>
      <c r="O2" s="170"/>
      <c r="P2" s="170"/>
      <c r="Q2" s="170"/>
      <c r="R2" s="170"/>
      <c r="S2" s="170"/>
    </row>
    <row r="3" spans="1:19" ht="15.75" x14ac:dyDescent="0.25">
      <c r="A3" s="172" t="s">
        <v>197</v>
      </c>
      <c r="O3" s="170"/>
      <c r="P3" s="170"/>
      <c r="Q3" s="170"/>
      <c r="R3" s="170"/>
      <c r="S3" s="170"/>
    </row>
    <row r="4" spans="1:19" x14ac:dyDescent="0.2">
      <c r="A4" s="169"/>
      <c r="O4" s="170"/>
      <c r="P4" s="170"/>
      <c r="Q4" s="170"/>
      <c r="R4" s="170"/>
      <c r="S4" s="170"/>
    </row>
    <row r="5" spans="1:19" ht="11.25" x14ac:dyDescent="0.2">
      <c r="A5" s="173"/>
      <c r="E5" s="171"/>
      <c r="F5" s="171"/>
      <c r="G5" s="171"/>
      <c r="J5" s="794"/>
      <c r="K5" s="794"/>
      <c r="L5" s="794"/>
      <c r="O5" s="170"/>
      <c r="P5" s="170"/>
      <c r="Q5" s="170"/>
      <c r="R5" s="170"/>
      <c r="S5" s="170"/>
    </row>
    <row r="6" spans="1:19" s="284" customFormat="1" x14ac:dyDescent="0.2">
      <c r="A6" s="242"/>
      <c r="B6" s="243">
        <v>2008</v>
      </c>
      <c r="C6" s="243">
        <v>2009</v>
      </c>
      <c r="D6" s="243">
        <v>2010</v>
      </c>
      <c r="E6" s="243">
        <v>2011</v>
      </c>
      <c r="F6" s="243">
        <v>2012</v>
      </c>
      <c r="G6" s="243">
        <v>2013</v>
      </c>
      <c r="H6" s="243">
        <v>2014</v>
      </c>
      <c r="I6" s="243">
        <v>2015</v>
      </c>
      <c r="J6" s="243">
        <v>2016</v>
      </c>
      <c r="K6" s="243">
        <v>2017</v>
      </c>
      <c r="L6" s="243">
        <v>2018</v>
      </c>
      <c r="M6" s="285"/>
      <c r="N6" s="285"/>
      <c r="O6" s="285"/>
      <c r="P6" s="285"/>
      <c r="Q6" s="285"/>
    </row>
    <row r="7" spans="1:19" s="284"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c r="M7" s="575"/>
      <c r="N7" s="575"/>
      <c r="O7" s="575"/>
      <c r="P7" s="575"/>
      <c r="Q7" s="285"/>
    </row>
    <row r="8" spans="1:19" s="284" customFormat="1" x14ac:dyDescent="0.2">
      <c r="A8" s="244"/>
      <c r="C8" s="251"/>
      <c r="D8" s="251"/>
      <c r="E8" s="251"/>
      <c r="H8" s="245"/>
      <c r="I8" s="575"/>
      <c r="J8" s="575"/>
      <c r="K8" s="575"/>
      <c r="L8" s="575"/>
      <c r="M8" s="180"/>
      <c r="N8" s="187"/>
      <c r="O8" s="187"/>
      <c r="P8" s="187"/>
      <c r="Q8" s="285"/>
    </row>
    <row r="9" spans="1:19" s="284" customFormat="1" x14ac:dyDescent="0.2">
      <c r="A9" s="285" t="s">
        <v>53</v>
      </c>
      <c r="B9" s="287">
        <v>5526</v>
      </c>
      <c r="C9" s="594">
        <v>3691.99</v>
      </c>
      <c r="D9" s="594">
        <v>2188.44</v>
      </c>
      <c r="E9" s="594">
        <v>1217.4199999999996</v>
      </c>
      <c r="F9" s="287">
        <v>5894</v>
      </c>
      <c r="G9" s="287">
        <v>13722</v>
      </c>
      <c r="H9" s="252">
        <v>27234</v>
      </c>
      <c r="I9" s="252">
        <v>14053</v>
      </c>
      <c r="J9" s="252">
        <f>'SCG Table C 2016'!$C$17</f>
        <v>0</v>
      </c>
      <c r="K9" s="252">
        <f>'SCG Table C 2017'!$C$17</f>
        <v>0</v>
      </c>
      <c r="L9" s="252" t="e">
        <f>'SCG Table C 2019'!#REF!</f>
        <v>#REF!</v>
      </c>
      <c r="M9" s="180"/>
      <c r="N9" s="129"/>
      <c r="O9" s="129"/>
      <c r="P9" s="129"/>
      <c r="Q9" s="285"/>
    </row>
    <row r="10" spans="1:19" s="284" customFormat="1" x14ac:dyDescent="0.2">
      <c r="A10" s="285" t="s">
        <v>45</v>
      </c>
      <c r="B10" s="287">
        <v>6756.45</v>
      </c>
      <c r="C10" s="287">
        <v>5691.37</v>
      </c>
      <c r="D10" s="287">
        <v>3146.5</v>
      </c>
      <c r="E10" s="287">
        <v>1686.2200000000003</v>
      </c>
      <c r="F10" s="287">
        <v>2084</v>
      </c>
      <c r="G10" s="287">
        <v>1012.61</v>
      </c>
      <c r="H10" s="252">
        <v>6826.62</v>
      </c>
      <c r="I10" s="252">
        <v>18000</v>
      </c>
      <c r="J10" s="252">
        <f>'SCG Table C 2016'!$E$17</f>
        <v>0</v>
      </c>
      <c r="K10" s="252">
        <f>'SCG Table C 2017'!$E$17</f>
        <v>0</v>
      </c>
      <c r="L10" s="252" t="e">
        <f>'SCG Table C 2019'!#REF!</f>
        <v>#REF!</v>
      </c>
      <c r="M10" s="180"/>
      <c r="N10" s="190"/>
      <c r="O10" s="190"/>
      <c r="P10" s="190"/>
      <c r="Q10" s="285"/>
    </row>
    <row r="11" spans="1:19" s="284" customFormat="1" x14ac:dyDescent="0.2">
      <c r="A11" s="285" t="s">
        <v>202</v>
      </c>
      <c r="B11" s="287">
        <v>0</v>
      </c>
      <c r="C11" s="287">
        <v>0</v>
      </c>
      <c r="D11" s="287">
        <v>0</v>
      </c>
      <c r="E11" s="287">
        <v>0</v>
      </c>
      <c r="F11" s="287">
        <v>0</v>
      </c>
      <c r="G11" s="287">
        <v>0</v>
      </c>
      <c r="H11" s="252">
        <v>0</v>
      </c>
      <c r="I11" s="252">
        <v>300</v>
      </c>
      <c r="J11" s="252">
        <f>'SCG Table C 2016'!$D$17</f>
        <v>0</v>
      </c>
      <c r="K11" s="252">
        <f>'SCG Table C 2017'!$D$17</f>
        <v>0</v>
      </c>
      <c r="L11" s="252" t="e">
        <f>'SCG Table C 2019'!#REF!</f>
        <v>#REF!</v>
      </c>
      <c r="M11" s="180"/>
      <c r="N11" s="190"/>
      <c r="O11" s="190"/>
      <c r="P11" s="190"/>
      <c r="Q11" s="285"/>
    </row>
    <row r="12" spans="1:19" s="284" customFormat="1" ht="14.25" x14ac:dyDescent="0.2">
      <c r="A12" s="285" t="s">
        <v>2</v>
      </c>
      <c r="B12" s="287">
        <v>35120</v>
      </c>
      <c r="C12" s="287">
        <v>81264</v>
      </c>
      <c r="D12" s="287">
        <v>66724.800000000003</v>
      </c>
      <c r="E12" s="287">
        <v>35270.479999999996</v>
      </c>
      <c r="F12" s="287">
        <v>45574</v>
      </c>
      <c r="G12" s="287">
        <v>20090.239999999998</v>
      </c>
      <c r="H12" s="252">
        <v>228378.66</v>
      </c>
      <c r="I12" s="257">
        <v>267400</v>
      </c>
      <c r="J12" s="257">
        <f>'SCG Table C 2016'!$F$17</f>
        <v>0</v>
      </c>
      <c r="K12" s="257">
        <f>'SCG Table C 2017'!$F$17</f>
        <v>0</v>
      </c>
      <c r="L12" s="257" t="e">
        <f>'SCG Table C 2019'!#REF!</f>
        <v>#REF!</v>
      </c>
      <c r="M12" s="947" t="s">
        <v>326</v>
      </c>
      <c r="N12" s="190"/>
      <c r="O12" s="190"/>
      <c r="P12" s="190"/>
      <c r="Q12" s="285"/>
    </row>
    <row r="13" spans="1:19" s="284" customFormat="1" ht="14.25" x14ac:dyDescent="0.2">
      <c r="A13" s="285" t="s">
        <v>14</v>
      </c>
      <c r="B13" s="287">
        <v>794</v>
      </c>
      <c r="C13" s="287">
        <v>0</v>
      </c>
      <c r="D13" s="287">
        <v>1168.74</v>
      </c>
      <c r="E13" s="287">
        <v>1921.32</v>
      </c>
      <c r="F13" s="287">
        <v>10</v>
      </c>
      <c r="G13" s="287">
        <v>3679.37</v>
      </c>
      <c r="H13" s="252">
        <v>1452.2399999999998</v>
      </c>
      <c r="I13" s="252">
        <v>6533</v>
      </c>
      <c r="J13" s="252">
        <f>'SCG Table C 2016'!$G$17</f>
        <v>0</v>
      </c>
      <c r="K13" s="252">
        <f>'SCG Table C 2017'!$G$17</f>
        <v>0</v>
      </c>
      <c r="L13" s="252" t="e">
        <f>'SCG Table C 2019'!#REF!</f>
        <v>#REF!</v>
      </c>
      <c r="M13" s="947" t="s">
        <v>327</v>
      </c>
      <c r="N13" s="190"/>
      <c r="O13" s="190"/>
      <c r="P13" s="190"/>
      <c r="Q13" s="285"/>
    </row>
    <row r="14" spans="1:19" s="284" customFormat="1" ht="15" x14ac:dyDescent="0.35">
      <c r="A14" s="285" t="s">
        <v>46</v>
      </c>
      <c r="B14" s="292">
        <v>241.45</v>
      </c>
      <c r="C14" s="595">
        <v>355.15</v>
      </c>
      <c r="D14" s="292">
        <v>0</v>
      </c>
      <c r="E14" s="292">
        <v>0</v>
      </c>
      <c r="F14" s="292">
        <v>0</v>
      </c>
      <c r="G14" s="292">
        <v>48</v>
      </c>
      <c r="H14" s="256">
        <v>2017</v>
      </c>
      <c r="I14" s="256">
        <v>1185</v>
      </c>
      <c r="J14" s="256">
        <f>'SCG Table C 2016'!$H$17</f>
        <v>0</v>
      </c>
      <c r="K14" s="256">
        <f>'SCG Table C 2017'!$H$17</f>
        <v>0</v>
      </c>
      <c r="L14" s="256" t="e">
        <f>'SCG Table C 2019'!#REF!</f>
        <v>#REF!</v>
      </c>
      <c r="M14" s="180"/>
      <c r="N14" s="191"/>
      <c r="O14" s="191"/>
      <c r="P14" s="191"/>
      <c r="Q14" s="285"/>
    </row>
    <row r="15" spans="1:19" s="284" customFormat="1" x14ac:dyDescent="0.2">
      <c r="A15" s="285" t="s">
        <v>87</v>
      </c>
      <c r="B15" s="287">
        <f t="shared" ref="B15:L15" si="0">SUM(B9:B14)</f>
        <v>48437.899999999994</v>
      </c>
      <c r="C15" s="287">
        <f t="shared" si="0"/>
        <v>91002.51</v>
      </c>
      <c r="D15" s="287">
        <f t="shared" si="0"/>
        <v>73228.48000000001</v>
      </c>
      <c r="E15" s="287">
        <f t="shared" si="0"/>
        <v>40095.439999999995</v>
      </c>
      <c r="F15" s="287">
        <f t="shared" si="0"/>
        <v>53562</v>
      </c>
      <c r="G15" s="513">
        <f t="shared" si="0"/>
        <v>38552.22</v>
      </c>
      <c r="H15" s="252">
        <f t="shared" si="0"/>
        <v>265908.52</v>
      </c>
      <c r="I15" s="504">
        <f t="shared" si="0"/>
        <v>307471</v>
      </c>
      <c r="J15" s="504">
        <f t="shared" si="0"/>
        <v>0</v>
      </c>
      <c r="K15" s="504">
        <f t="shared" si="0"/>
        <v>0</v>
      </c>
      <c r="L15" s="504" t="e">
        <f t="shared" si="0"/>
        <v>#REF!</v>
      </c>
      <c r="M15" s="296" t="s">
        <v>201</v>
      </c>
      <c r="N15" s="192"/>
      <c r="O15" s="192"/>
      <c r="P15" s="192"/>
      <c r="Q15" s="285"/>
    </row>
    <row r="16" spans="1:19" s="284" customFormat="1" x14ac:dyDescent="0.2">
      <c r="A16" s="285"/>
      <c r="B16" s="260"/>
      <c r="C16" s="291"/>
      <c r="D16" s="291"/>
      <c r="E16" s="291"/>
      <c r="H16" s="255"/>
      <c r="N16" s="297"/>
      <c r="O16" s="297"/>
      <c r="P16" s="297"/>
      <c r="Q16" s="285"/>
    </row>
    <row r="17" spans="1:19" s="284" customFormat="1" ht="15" x14ac:dyDescent="0.35">
      <c r="A17" s="298"/>
      <c r="B17" s="289"/>
      <c r="C17" s="243"/>
      <c r="G17" s="294"/>
      <c r="H17" s="245"/>
      <c r="I17" s="294"/>
      <c r="J17" s="294"/>
      <c r="K17" s="294"/>
      <c r="L17" s="294"/>
      <c r="M17" s="299"/>
      <c r="N17" s="184"/>
      <c r="O17" s="184"/>
      <c r="P17" s="184"/>
      <c r="Q17" s="285"/>
    </row>
    <row r="18" spans="1:19" s="284" customFormat="1" ht="25.5" x14ac:dyDescent="0.2">
      <c r="A18" s="247" t="s">
        <v>83</v>
      </c>
      <c r="B18" s="264" t="s">
        <v>211</v>
      </c>
      <c r="C18" s="264" t="s">
        <v>218</v>
      </c>
      <c r="D18" s="264" t="s">
        <v>257</v>
      </c>
      <c r="E18" s="264" t="s">
        <v>321</v>
      </c>
      <c r="F18" s="264" t="s">
        <v>479</v>
      </c>
      <c r="G18" s="264" t="s">
        <v>567</v>
      </c>
      <c r="H18" s="264" t="s">
        <v>568</v>
      </c>
      <c r="I18" s="264" t="s">
        <v>334</v>
      </c>
      <c r="J18" s="264" t="s">
        <v>564</v>
      </c>
      <c r="K18" s="264" t="s">
        <v>565</v>
      </c>
      <c r="L18" s="264" t="s">
        <v>566</v>
      </c>
      <c r="M18" s="296"/>
      <c r="N18" s="182"/>
      <c r="O18" s="182"/>
      <c r="P18" s="182"/>
      <c r="Q18" s="285"/>
      <c r="R18" s="285"/>
      <c r="S18" s="285"/>
    </row>
    <row r="19" spans="1:19" s="284" customFormat="1" x14ac:dyDescent="0.2">
      <c r="H19" s="245"/>
      <c r="I19" s="180"/>
      <c r="J19" s="180"/>
      <c r="K19" s="180"/>
      <c r="L19" s="180"/>
      <c r="M19" s="296"/>
      <c r="N19" s="185"/>
      <c r="O19" s="185"/>
      <c r="P19" s="185"/>
      <c r="Q19" s="180"/>
      <c r="R19" s="285"/>
      <c r="S19" s="285"/>
    </row>
    <row r="20" spans="1:19" s="284" customFormat="1" x14ac:dyDescent="0.2">
      <c r="A20" s="284" t="s">
        <v>49</v>
      </c>
      <c r="B20" s="302">
        <v>6627</v>
      </c>
      <c r="C20" s="301">
        <v>16173</v>
      </c>
      <c r="D20" s="301">
        <v>14349</v>
      </c>
      <c r="E20" s="301">
        <v>13160</v>
      </c>
      <c r="F20" s="302">
        <v>5985</v>
      </c>
      <c r="G20" s="302">
        <v>7018</v>
      </c>
      <c r="H20" s="531">
        <v>45502</v>
      </c>
      <c r="I20" s="506">
        <v>47297</v>
      </c>
      <c r="J20" s="506">
        <f>'2016 Summary Table B'!$M$26</f>
        <v>0</v>
      </c>
      <c r="K20" s="506">
        <f>'2017 Summary Table B'!$M$26</f>
        <v>0</v>
      </c>
      <c r="L20" s="506">
        <f>'2017 Summary Table B'!$M$26</f>
        <v>0</v>
      </c>
      <c r="M20" s="296" t="s">
        <v>64</v>
      </c>
      <c r="N20" s="183"/>
      <c r="O20" s="185"/>
      <c r="P20" s="183"/>
      <c r="Q20" s="187"/>
      <c r="R20" s="285"/>
      <c r="S20" s="285"/>
    </row>
    <row r="21" spans="1:19" s="284" customFormat="1" x14ac:dyDescent="0.2">
      <c r="A21" s="284" t="s">
        <v>50</v>
      </c>
      <c r="B21" s="302">
        <v>137408</v>
      </c>
      <c r="C21" s="301">
        <v>323456</v>
      </c>
      <c r="D21" s="301">
        <v>286976</v>
      </c>
      <c r="E21" s="301">
        <v>263200</v>
      </c>
      <c r="F21" s="302">
        <v>111148</v>
      </c>
      <c r="G21" s="302">
        <v>135520</v>
      </c>
      <c r="H21" s="531">
        <v>861202</v>
      </c>
      <c r="I21" s="506">
        <v>870978</v>
      </c>
      <c r="J21" s="506">
        <f>'2016 Summary Table B'!$N$26</f>
        <v>0</v>
      </c>
      <c r="K21" s="506">
        <f>'2017 Summary Table B'!$N$26</f>
        <v>0</v>
      </c>
      <c r="L21" s="506">
        <f>'2017 Summary Table B'!$N$26</f>
        <v>0</v>
      </c>
      <c r="M21" s="296" t="s">
        <v>10</v>
      </c>
      <c r="N21" s="183"/>
      <c r="O21" s="183"/>
      <c r="P21" s="183"/>
      <c r="Q21" s="182"/>
      <c r="R21" s="285"/>
      <c r="S21" s="285"/>
    </row>
    <row r="22" spans="1:19" s="284" customFormat="1" x14ac:dyDescent="0.2">
      <c r="H22" s="527"/>
      <c r="I22" s="180"/>
      <c r="J22" s="180"/>
      <c r="K22" s="180"/>
      <c r="L22" s="180"/>
      <c r="M22" s="296"/>
      <c r="N22" s="182"/>
      <c r="O22" s="182"/>
      <c r="P22" s="182"/>
      <c r="Q22" s="183"/>
      <c r="R22" s="285"/>
      <c r="S22" s="285"/>
    </row>
    <row r="23" spans="1:19" s="284" customFormat="1" x14ac:dyDescent="0.2">
      <c r="A23" s="284" t="s">
        <v>51</v>
      </c>
      <c r="B23" s="305">
        <f t="shared" ref="B23:J23" si="1">SUM(B15/B20)</f>
        <v>7.309174588803379</v>
      </c>
      <c r="C23" s="305">
        <f t="shared" si="1"/>
        <v>5.626816917084029</v>
      </c>
      <c r="D23" s="305">
        <f t="shared" si="1"/>
        <v>5.1033856017840975</v>
      </c>
      <c r="E23" s="305">
        <f t="shared" si="1"/>
        <v>3.0467659574468082</v>
      </c>
      <c r="F23" s="305">
        <f t="shared" si="1"/>
        <v>8.9493734335839594</v>
      </c>
      <c r="G23" s="305">
        <f t="shared" si="1"/>
        <v>5.4933342832715875</v>
      </c>
      <c r="H23" s="528">
        <f t="shared" si="1"/>
        <v>5.8438864225748324</v>
      </c>
      <c r="I23" s="269">
        <f t="shared" si="1"/>
        <v>6.5008562910966869</v>
      </c>
      <c r="J23" s="269" t="e">
        <f t="shared" si="1"/>
        <v>#DIV/0!</v>
      </c>
      <c r="K23" s="269" t="e">
        <f>SUM(K15/K20)</f>
        <v>#DIV/0!</v>
      </c>
      <c r="L23" s="269" t="e">
        <f>SUM(L15/L20)</f>
        <v>#REF!</v>
      </c>
      <c r="M23" s="296" t="s">
        <v>65</v>
      </c>
      <c r="N23" s="182"/>
      <c r="O23" s="182"/>
      <c r="P23" s="514"/>
      <c r="Q23" s="514"/>
      <c r="R23" s="285"/>
      <c r="S23" s="285"/>
    </row>
    <row r="24" spans="1:19" s="284" customFormat="1" x14ac:dyDescent="0.2">
      <c r="A24" s="284" t="s">
        <v>52</v>
      </c>
      <c r="B24" s="305">
        <f t="shared" ref="B24:J24" si="2">SUM(B15/B21)</f>
        <v>0.35251149860270142</v>
      </c>
      <c r="C24" s="305">
        <f t="shared" si="2"/>
        <v>0.28134432503957257</v>
      </c>
      <c r="D24" s="305">
        <f t="shared" si="2"/>
        <v>0.25517283675289926</v>
      </c>
      <c r="E24" s="305">
        <f t="shared" si="2"/>
        <v>0.15233829787234041</v>
      </c>
      <c r="F24" s="305">
        <f t="shared" si="2"/>
        <v>0.48189800986072623</v>
      </c>
      <c r="G24" s="305">
        <f t="shared" si="2"/>
        <v>0.28447623966942148</v>
      </c>
      <c r="H24" s="528">
        <f t="shared" si="2"/>
        <v>0.30876440138318306</v>
      </c>
      <c r="I24" s="269">
        <f t="shared" si="2"/>
        <v>0.35301810149050838</v>
      </c>
      <c r="J24" s="269" t="e">
        <f t="shared" si="2"/>
        <v>#DIV/0!</v>
      </c>
      <c r="K24" s="269" t="e">
        <f>SUM(K15/K21)</f>
        <v>#DIV/0!</v>
      </c>
      <c r="L24" s="269" t="e">
        <f>SUM(L15/L21)</f>
        <v>#REF!</v>
      </c>
      <c r="M24" s="296" t="s">
        <v>66</v>
      </c>
      <c r="N24" s="185"/>
      <c r="O24" s="184"/>
      <c r="P24" s="514"/>
      <c r="Q24" s="514"/>
      <c r="R24" s="285"/>
      <c r="S24" s="285"/>
    </row>
    <row r="25" spans="1:19" s="284" customFormat="1" x14ac:dyDescent="0.2">
      <c r="H25" s="249"/>
      <c r="I25" s="245"/>
      <c r="J25" s="245"/>
      <c r="K25" s="245"/>
      <c r="L25" s="245"/>
      <c r="M25" s="296"/>
      <c r="N25" s="185"/>
      <c r="O25" s="182"/>
      <c r="P25" s="182"/>
      <c r="Q25" s="514"/>
      <c r="R25" s="285"/>
      <c r="S25" s="285"/>
    </row>
    <row r="26" spans="1:19" s="284" customFormat="1" x14ac:dyDescent="0.2">
      <c r="A26" s="284" t="s">
        <v>84</v>
      </c>
      <c r="B26" s="295">
        <v>281794</v>
      </c>
      <c r="C26" s="295">
        <v>270601.49859354616</v>
      </c>
      <c r="D26" s="295">
        <v>259793.16573312762</v>
      </c>
      <c r="E26" s="295">
        <v>182804</v>
      </c>
      <c r="F26" s="295">
        <f>+F21/146890*79058</f>
        <v>59821.217128463475</v>
      </c>
      <c r="G26" s="295">
        <v>75096</v>
      </c>
      <c r="H26" s="257">
        <v>699470</v>
      </c>
      <c r="I26" s="257">
        <v>776558</v>
      </c>
      <c r="J26" s="257">
        <f>'2016 Summary Table B'!$F$26</f>
        <v>0</v>
      </c>
      <c r="K26" s="257">
        <f>'2017 Summary Table B'!$F$26</f>
        <v>0</v>
      </c>
      <c r="L26" s="257">
        <f>'2017 Summary Table B'!$F$26</f>
        <v>0</v>
      </c>
      <c r="M26" s="296" t="s">
        <v>67</v>
      </c>
      <c r="N26" s="185"/>
      <c r="O26" s="185"/>
      <c r="P26" s="795"/>
      <c r="Q26" s="514"/>
      <c r="R26" s="285"/>
      <c r="S26" s="285"/>
    </row>
    <row r="27" spans="1:19" s="284" customFormat="1" x14ac:dyDescent="0.2">
      <c r="A27" s="284" t="s">
        <v>85</v>
      </c>
      <c r="B27" s="306">
        <f t="shared" ref="B27:G27" si="3">SUM(B26/B15)</f>
        <v>5.8176345382438139</v>
      </c>
      <c r="C27" s="306">
        <f t="shared" si="3"/>
        <v>2.973560823690975</v>
      </c>
      <c r="D27" s="306">
        <f t="shared" si="3"/>
        <v>3.5477066536561677</v>
      </c>
      <c r="E27" s="306">
        <f t="shared" si="3"/>
        <v>4.5592216970308845</v>
      </c>
      <c r="F27" s="306">
        <f t="shared" si="3"/>
        <v>1.1168592869658243</v>
      </c>
      <c r="G27" s="306">
        <f t="shared" si="3"/>
        <v>1.9479033892211655</v>
      </c>
      <c r="H27" s="529">
        <f>SUM(H26/H15)</f>
        <v>2.6304911177723826</v>
      </c>
      <c r="I27" s="271">
        <f>SUM(I26/I15)</f>
        <v>2.5256300594202381</v>
      </c>
      <c r="J27" s="271" t="e">
        <f>SUM(J26/J15)</f>
        <v>#DIV/0!</v>
      </c>
      <c r="K27" s="271" t="e">
        <f>SUM(K26/K15)</f>
        <v>#DIV/0!</v>
      </c>
      <c r="L27" s="271" t="e">
        <f>SUM(L26/L15)</f>
        <v>#REF!</v>
      </c>
      <c r="M27" s="296" t="s">
        <v>68</v>
      </c>
      <c r="N27" s="185"/>
      <c r="O27" s="183"/>
      <c r="P27" s="185"/>
      <c r="Q27" s="183"/>
      <c r="R27" s="285"/>
      <c r="S27" s="285"/>
    </row>
    <row r="28" spans="1:19" s="284" customFormat="1" x14ac:dyDescent="0.2">
      <c r="A28" s="704" t="s">
        <v>493</v>
      </c>
      <c r="B28" s="302">
        <v>109</v>
      </c>
      <c r="C28" s="302">
        <v>266</v>
      </c>
      <c r="D28" s="302">
        <v>236</v>
      </c>
      <c r="E28" s="302">
        <v>235</v>
      </c>
      <c r="F28" s="307">
        <v>80</v>
      </c>
      <c r="G28" s="307">
        <v>155</v>
      </c>
      <c r="H28" s="534">
        <v>747</v>
      </c>
      <c r="I28" s="506">
        <v>1058</v>
      </c>
      <c r="J28" s="506">
        <f>'2016 Summary Table B'!$K$26</f>
        <v>0</v>
      </c>
      <c r="K28" s="506">
        <f>'2017 Summary Table B'!$K$26</f>
        <v>0</v>
      </c>
      <c r="L28" s="506">
        <f>'2017 Summary Table B'!$K$26</f>
        <v>0</v>
      </c>
      <c r="M28" s="296" t="s">
        <v>69</v>
      </c>
      <c r="N28" s="185"/>
      <c r="O28" s="183"/>
      <c r="P28" s="183"/>
      <c r="Q28" s="183"/>
      <c r="R28" s="285"/>
      <c r="S28" s="285"/>
    </row>
    <row r="29" spans="1:19" s="284" customFormat="1" x14ac:dyDescent="0.2">
      <c r="A29" s="284" t="s">
        <v>74</v>
      </c>
      <c r="B29" s="301">
        <f t="shared" ref="B29:J29" si="4">SUM(B21/B28)</f>
        <v>1260.6238532110092</v>
      </c>
      <c r="C29" s="301">
        <f t="shared" si="4"/>
        <v>1216</v>
      </c>
      <c r="D29" s="301">
        <f t="shared" si="4"/>
        <v>1216</v>
      </c>
      <c r="E29" s="301">
        <f t="shared" si="4"/>
        <v>1120</v>
      </c>
      <c r="F29" s="301">
        <f t="shared" si="4"/>
        <v>1389.35</v>
      </c>
      <c r="G29" s="301">
        <f t="shared" si="4"/>
        <v>874.32258064516134</v>
      </c>
      <c r="H29" s="282">
        <f>SUM(H21/H28)</f>
        <v>1152.8808567603749</v>
      </c>
      <c r="I29" s="266">
        <f t="shared" si="4"/>
        <v>823.23062381852549</v>
      </c>
      <c r="J29" s="266" t="e">
        <f t="shared" si="4"/>
        <v>#DIV/0!</v>
      </c>
      <c r="K29" s="266" t="e">
        <f>SUM(K21/K28)</f>
        <v>#DIV/0!</v>
      </c>
      <c r="L29" s="266" t="e">
        <f>SUM(L21/L28)</f>
        <v>#DIV/0!</v>
      </c>
      <c r="M29" s="296" t="s">
        <v>70</v>
      </c>
      <c r="N29" s="185"/>
      <c r="O29" s="182"/>
      <c r="P29" s="182"/>
      <c r="Q29" s="182"/>
      <c r="R29" s="285"/>
      <c r="S29" s="285"/>
    </row>
    <row r="30" spans="1:19" s="284" customFormat="1" x14ac:dyDescent="0.2">
      <c r="A30" s="284" t="s">
        <v>71</v>
      </c>
      <c r="B30" s="295">
        <f t="shared" ref="B30:J30" si="5">SUM(B15/B28)</f>
        <v>444.38440366972469</v>
      </c>
      <c r="C30" s="295">
        <f t="shared" si="5"/>
        <v>342.1146992481203</v>
      </c>
      <c r="D30" s="295">
        <f t="shared" si="5"/>
        <v>310.29016949152549</v>
      </c>
      <c r="E30" s="295">
        <f t="shared" si="5"/>
        <v>170.61889361702126</v>
      </c>
      <c r="F30" s="295">
        <f t="shared" si="5"/>
        <v>669.52499999999998</v>
      </c>
      <c r="G30" s="295">
        <f t="shared" si="5"/>
        <v>248.72400000000002</v>
      </c>
      <c r="H30" s="530">
        <f>SUM(H15/H28)</f>
        <v>355.96856760374834</v>
      </c>
      <c r="I30" s="257">
        <f t="shared" si="5"/>
        <v>290.61531190926274</v>
      </c>
      <c r="J30" s="257" t="e">
        <f t="shared" si="5"/>
        <v>#DIV/0!</v>
      </c>
      <c r="K30" s="257" t="e">
        <f>SUM(K15/K28)</f>
        <v>#DIV/0!</v>
      </c>
      <c r="L30" s="257" t="e">
        <f>SUM(L15/L28)</f>
        <v>#REF!</v>
      </c>
      <c r="M30" s="296" t="s">
        <v>72</v>
      </c>
      <c r="N30" s="185"/>
      <c r="O30" s="182"/>
      <c r="P30" s="182"/>
      <c r="Q30" s="182"/>
      <c r="R30" s="285"/>
      <c r="S30" s="285"/>
    </row>
    <row r="31" spans="1:19" s="284" customFormat="1" x14ac:dyDescent="0.2">
      <c r="A31" s="284" t="s">
        <v>62</v>
      </c>
      <c r="B31" s="295">
        <f t="shared" ref="B31:J31" si="6">SUM(B26/B28)</f>
        <v>2585.2660550458718</v>
      </c>
      <c r="C31" s="295">
        <f t="shared" si="6"/>
        <v>1017.2988668930307</v>
      </c>
      <c r="D31" s="295">
        <f t="shared" si="6"/>
        <v>1100.8184988691849</v>
      </c>
      <c r="E31" s="295">
        <f t="shared" si="6"/>
        <v>777.88936170212764</v>
      </c>
      <c r="F31" s="295">
        <f t="shared" si="6"/>
        <v>747.76521410579346</v>
      </c>
      <c r="G31" s="295">
        <f t="shared" si="6"/>
        <v>484.49032258064517</v>
      </c>
      <c r="H31" s="530">
        <f>SUM(H26/H28)</f>
        <v>936.37215528781792</v>
      </c>
      <c r="I31" s="257">
        <f t="shared" si="6"/>
        <v>733.98676748582227</v>
      </c>
      <c r="J31" s="257" t="e">
        <f t="shared" si="6"/>
        <v>#DIV/0!</v>
      </c>
      <c r="K31" s="257" t="e">
        <f>SUM(K26/K28)</f>
        <v>#DIV/0!</v>
      </c>
      <c r="L31" s="257" t="e">
        <f>SUM(L26/L28)</f>
        <v>#DIV/0!</v>
      </c>
      <c r="M31" s="296" t="s">
        <v>73</v>
      </c>
      <c r="N31" s="285"/>
      <c r="O31" s="285"/>
      <c r="P31" s="285"/>
      <c r="Q31" s="285"/>
      <c r="R31" s="285"/>
      <c r="S31" s="285"/>
    </row>
    <row r="32" spans="1:19" s="284" customFormat="1" ht="14.25" x14ac:dyDescent="0.2">
      <c r="A32" s="704" t="s">
        <v>324</v>
      </c>
      <c r="B32" s="945">
        <f t="shared" ref="B32:L32" si="7">B12/B21</f>
        <v>0.25558919422449933</v>
      </c>
      <c r="C32" s="945">
        <f t="shared" si="7"/>
        <v>0.25123664424218439</v>
      </c>
      <c r="D32" s="945">
        <f t="shared" si="7"/>
        <v>0.23251003568242642</v>
      </c>
      <c r="E32" s="945">
        <f t="shared" si="7"/>
        <v>0.13400638297872339</v>
      </c>
      <c r="F32" s="945">
        <f t="shared" si="7"/>
        <v>0.41002987008313241</v>
      </c>
      <c r="G32" s="945">
        <f t="shared" si="7"/>
        <v>0.14824557260920895</v>
      </c>
      <c r="H32" s="945">
        <f t="shared" si="7"/>
        <v>0.26518593779392058</v>
      </c>
      <c r="I32" s="945">
        <f t="shared" si="7"/>
        <v>0.30701119890513884</v>
      </c>
      <c r="J32" s="945" t="e">
        <f t="shared" si="7"/>
        <v>#DIV/0!</v>
      </c>
      <c r="K32" s="945" t="e">
        <f t="shared" si="7"/>
        <v>#DIV/0!</v>
      </c>
      <c r="L32" s="945" t="e">
        <f t="shared" si="7"/>
        <v>#REF!</v>
      </c>
      <c r="M32" s="557" t="s">
        <v>328</v>
      </c>
      <c r="N32" s="285"/>
      <c r="O32" s="285"/>
      <c r="P32" s="285"/>
      <c r="Q32" s="285"/>
      <c r="R32" s="285"/>
      <c r="S32" s="285"/>
    </row>
    <row r="33" spans="1:19" s="284" customFormat="1" ht="14.25" x14ac:dyDescent="0.2">
      <c r="A33" s="704" t="s">
        <v>325</v>
      </c>
      <c r="B33" s="946">
        <f t="shared" ref="B33:J33" si="8">B13/B21</f>
        <v>5.7784117373078717E-3</v>
      </c>
      <c r="C33" s="946">
        <f t="shared" si="8"/>
        <v>0</v>
      </c>
      <c r="D33" s="946">
        <f t="shared" si="8"/>
        <v>4.0726053746654774E-3</v>
      </c>
      <c r="E33" s="946">
        <f t="shared" si="8"/>
        <v>7.2998480243161093E-3</v>
      </c>
      <c r="F33" s="946">
        <f t="shared" si="8"/>
        <v>8.9970129916867595E-5</v>
      </c>
      <c r="G33" s="946">
        <f t="shared" si="8"/>
        <v>2.7150014757969302E-2</v>
      </c>
      <c r="H33" s="946">
        <f t="shared" si="8"/>
        <v>1.686294272423891E-3</v>
      </c>
      <c r="I33" s="946">
        <f t="shared" si="8"/>
        <v>7.5007635095260729E-3</v>
      </c>
      <c r="J33" s="946" t="e">
        <f t="shared" si="8"/>
        <v>#DIV/0!</v>
      </c>
      <c r="K33" s="946" t="e">
        <f>K13/K21</f>
        <v>#DIV/0!</v>
      </c>
      <c r="L33" s="946" t="e">
        <f>L13/L21</f>
        <v>#REF!</v>
      </c>
      <c r="M33" s="557" t="s">
        <v>329</v>
      </c>
      <c r="N33" s="285"/>
      <c r="O33" s="285"/>
      <c r="P33" s="285"/>
      <c r="Q33" s="285"/>
      <c r="R33" s="285"/>
      <c r="S33" s="285"/>
    </row>
    <row r="34" spans="1:19" s="284" customFormat="1" x14ac:dyDescent="0.2">
      <c r="A34" s="247"/>
      <c r="B34" s="300"/>
      <c r="C34" s="250"/>
      <c r="D34" s="250"/>
      <c r="E34" s="272"/>
      <c r="F34" s="272"/>
      <c r="G34" s="272"/>
      <c r="I34" s="296"/>
      <c r="J34" s="245"/>
      <c r="K34" s="245"/>
      <c r="L34" s="245"/>
      <c r="M34" s="296"/>
      <c r="N34" s="296"/>
      <c r="O34" s="180"/>
      <c r="P34" s="182"/>
      <c r="Q34" s="182"/>
      <c r="R34" s="182"/>
      <c r="S34" s="285"/>
    </row>
    <row r="35" spans="1:19" s="284" customFormat="1" x14ac:dyDescent="0.2">
      <c r="A35" s="248" t="s">
        <v>194</v>
      </c>
      <c r="B35" s="304"/>
      <c r="C35" s="285"/>
      <c r="G35" s="276" t="s">
        <v>191</v>
      </c>
      <c r="H35" s="276"/>
      <c r="I35" s="276"/>
      <c r="K35" s="245"/>
      <c r="L35" s="245"/>
      <c r="M35" s="296"/>
      <c r="N35" s="296"/>
      <c r="O35" s="180"/>
      <c r="P35" s="182"/>
      <c r="Q35" s="182"/>
      <c r="R35" s="182"/>
      <c r="S35" s="285"/>
    </row>
    <row r="36" spans="1:19" s="284" customFormat="1" x14ac:dyDescent="0.2">
      <c r="A36" s="273" t="s">
        <v>185</v>
      </c>
      <c r="B36" s="250" t="s">
        <v>1</v>
      </c>
      <c r="C36" s="250" t="s">
        <v>186</v>
      </c>
      <c r="D36" s="250" t="s">
        <v>18</v>
      </c>
      <c r="G36" s="273" t="s">
        <v>185</v>
      </c>
      <c r="H36" s="250" t="s">
        <v>188</v>
      </c>
      <c r="I36" s="250" t="s">
        <v>186</v>
      </c>
      <c r="J36" s="250" t="s">
        <v>189</v>
      </c>
      <c r="K36" s="245"/>
      <c r="L36" s="245"/>
      <c r="M36" s="296"/>
      <c r="N36" s="296"/>
    </row>
    <row r="37" spans="1:19" s="284" customFormat="1" x14ac:dyDescent="0.2">
      <c r="A37" s="273">
        <v>2008</v>
      </c>
      <c r="B37" s="310">
        <v>121000</v>
      </c>
      <c r="C37" s="310">
        <v>48438</v>
      </c>
      <c r="D37" s="275">
        <f t="shared" ref="D37:D43" si="9">IF(ISERROR(C37/B37),"-",(C37/B37))</f>
        <v>0.40031404958677685</v>
      </c>
      <c r="G37" s="273">
        <v>2008</v>
      </c>
      <c r="H37" s="278">
        <v>15198</v>
      </c>
      <c r="I37" s="278">
        <v>6627</v>
      </c>
      <c r="J37" s="275">
        <f t="shared" ref="J37:J43" si="10">IF(ISERROR(I37/H37),"-",(I37/H37))</f>
        <v>0.43604421634425583</v>
      </c>
      <c r="K37" s="245"/>
      <c r="L37" s="245"/>
      <c r="M37" s="296"/>
      <c r="N37" s="296"/>
    </row>
    <row r="38" spans="1:19" s="284" customFormat="1" x14ac:dyDescent="0.2">
      <c r="A38" s="273">
        <v>2009</v>
      </c>
      <c r="B38" s="310">
        <v>121000</v>
      </c>
      <c r="C38" s="310">
        <f>+C15</f>
        <v>91002.51</v>
      </c>
      <c r="D38" s="275">
        <f t="shared" si="9"/>
        <v>0.75208685950413223</v>
      </c>
      <c r="G38" s="273">
        <v>2009</v>
      </c>
      <c r="H38" s="278">
        <v>19329</v>
      </c>
      <c r="I38" s="278">
        <f>+C20</f>
        <v>16173</v>
      </c>
      <c r="J38" s="275">
        <f t="shared" si="10"/>
        <v>0.83672202390190908</v>
      </c>
      <c r="K38" s="245"/>
      <c r="L38" s="245"/>
      <c r="M38" s="296"/>
      <c r="N38" s="296"/>
    </row>
    <row r="39" spans="1:19" s="284" customFormat="1" x14ac:dyDescent="0.2">
      <c r="A39" s="273">
        <v>2010</v>
      </c>
      <c r="B39" s="310">
        <v>121000</v>
      </c>
      <c r="C39" s="310">
        <v>73228.479999999996</v>
      </c>
      <c r="D39" s="275">
        <f t="shared" si="9"/>
        <v>0.60519404958677681</v>
      </c>
      <c r="G39" s="273">
        <v>2010</v>
      </c>
      <c r="H39" s="278">
        <v>18924</v>
      </c>
      <c r="I39" s="278">
        <v>14349</v>
      </c>
      <c r="J39" s="275">
        <f t="shared" si="10"/>
        <v>0.75824350031705767</v>
      </c>
      <c r="K39" s="245"/>
      <c r="L39" s="245"/>
      <c r="M39" s="296"/>
      <c r="N39" s="296"/>
    </row>
    <row r="40" spans="1:19" s="284" customFormat="1" x14ac:dyDescent="0.2">
      <c r="A40" s="273">
        <v>2011</v>
      </c>
      <c r="B40" s="310">
        <v>121000</v>
      </c>
      <c r="C40" s="310">
        <v>40095</v>
      </c>
      <c r="D40" s="275">
        <f t="shared" si="9"/>
        <v>0.33136363636363636</v>
      </c>
      <c r="G40" s="273">
        <v>2011</v>
      </c>
      <c r="H40" s="278">
        <v>16012</v>
      </c>
      <c r="I40" s="278">
        <v>13160</v>
      </c>
      <c r="J40" s="275">
        <f t="shared" si="10"/>
        <v>0.82188358730951783</v>
      </c>
      <c r="K40" s="245"/>
      <c r="L40" s="245"/>
      <c r="M40" s="296"/>
      <c r="N40" s="296"/>
    </row>
    <row r="41" spans="1:19" s="284" customFormat="1" x14ac:dyDescent="0.2">
      <c r="A41" s="273">
        <v>2012</v>
      </c>
      <c r="B41" s="310">
        <v>46210</v>
      </c>
      <c r="C41" s="310">
        <f>+F15</f>
        <v>53562</v>
      </c>
      <c r="D41" s="275">
        <f t="shared" si="9"/>
        <v>1.1590997619562866</v>
      </c>
      <c r="G41" s="273">
        <v>2012</v>
      </c>
      <c r="H41" s="539">
        <v>12241</v>
      </c>
      <c r="I41" s="278">
        <f>+F20</f>
        <v>5985</v>
      </c>
      <c r="J41" s="275">
        <f t="shared" si="10"/>
        <v>0.48893064292132998</v>
      </c>
      <c r="K41" s="245"/>
      <c r="L41" s="245"/>
      <c r="M41" s="296"/>
      <c r="N41" s="296"/>
    </row>
    <row r="42" spans="1:19" s="284" customFormat="1" x14ac:dyDescent="0.2">
      <c r="A42" s="273">
        <v>2013</v>
      </c>
      <c r="B42" s="310">
        <v>46210</v>
      </c>
      <c r="C42" s="310">
        <f>G15</f>
        <v>38552.22</v>
      </c>
      <c r="D42" s="275">
        <f t="shared" si="9"/>
        <v>0.83428305561566762</v>
      </c>
      <c r="G42" s="273">
        <v>2013</v>
      </c>
      <c r="H42" s="278">
        <v>7293</v>
      </c>
      <c r="I42" s="278">
        <f>G20</f>
        <v>7018</v>
      </c>
      <c r="J42" s="275">
        <f t="shared" si="10"/>
        <v>0.9622926093514329</v>
      </c>
      <c r="K42" s="245"/>
      <c r="L42" s="245"/>
      <c r="M42" s="296"/>
      <c r="N42" s="296"/>
    </row>
    <row r="43" spans="1:19" s="284" customFormat="1" x14ac:dyDescent="0.2">
      <c r="A43" s="273">
        <v>2014</v>
      </c>
      <c r="B43" s="274">
        <v>300238</v>
      </c>
      <c r="C43" s="274">
        <f>H15</f>
        <v>265908.52</v>
      </c>
      <c r="D43" s="275">
        <f t="shared" si="9"/>
        <v>0.88565911043905177</v>
      </c>
      <c r="G43" s="273">
        <v>2014</v>
      </c>
      <c r="H43" s="278">
        <v>73902</v>
      </c>
      <c r="I43" s="278">
        <f>H20</f>
        <v>45502</v>
      </c>
      <c r="J43" s="275">
        <f t="shared" si="10"/>
        <v>0.61570728803009389</v>
      </c>
      <c r="K43" s="245"/>
      <c r="L43" s="245"/>
      <c r="M43" s="296"/>
      <c r="N43" s="296"/>
    </row>
    <row r="44" spans="1:19" s="284" customFormat="1" x14ac:dyDescent="0.2">
      <c r="A44" s="273">
        <v>2015</v>
      </c>
      <c r="B44" s="274">
        <f>I15</f>
        <v>307471</v>
      </c>
      <c r="C44" s="274"/>
      <c r="D44" s="275"/>
      <c r="G44" s="273">
        <v>2015</v>
      </c>
      <c r="H44" s="278">
        <f>I20</f>
        <v>47297</v>
      </c>
      <c r="I44" s="278"/>
      <c r="J44" s="275"/>
      <c r="K44" s="245"/>
      <c r="L44" s="245"/>
      <c r="M44" s="296"/>
      <c r="N44" s="296"/>
    </row>
    <row r="45" spans="1:19" s="284" customFormat="1" x14ac:dyDescent="0.2">
      <c r="A45" s="273">
        <v>2016</v>
      </c>
      <c r="B45" s="274">
        <f>J15</f>
        <v>0</v>
      </c>
      <c r="C45" s="274"/>
      <c r="D45" s="275"/>
      <c r="G45" s="273">
        <v>2016</v>
      </c>
      <c r="H45" s="278">
        <f>J20</f>
        <v>0</v>
      </c>
      <c r="I45" s="278"/>
      <c r="J45" s="275"/>
      <c r="K45" s="245"/>
      <c r="L45" s="245"/>
      <c r="M45" s="296"/>
      <c r="N45" s="296"/>
    </row>
    <row r="46" spans="1:19" s="284" customFormat="1" x14ac:dyDescent="0.2">
      <c r="A46" s="273">
        <v>2017</v>
      </c>
      <c r="B46" s="274">
        <f>K15</f>
        <v>0</v>
      </c>
      <c r="C46" s="274"/>
      <c r="D46" s="275"/>
      <c r="G46" s="273">
        <v>2017</v>
      </c>
      <c r="H46" s="278">
        <f>K20</f>
        <v>0</v>
      </c>
      <c r="I46" s="278"/>
      <c r="J46" s="275"/>
      <c r="K46" s="245"/>
      <c r="L46" s="245"/>
      <c r="M46" s="296"/>
      <c r="N46" s="296"/>
    </row>
    <row r="47" spans="1:19" s="284" customFormat="1" x14ac:dyDescent="0.2">
      <c r="A47" s="273">
        <v>2018</v>
      </c>
      <c r="B47" s="274" t="e">
        <f>L15</f>
        <v>#REF!</v>
      </c>
      <c r="C47" s="274"/>
      <c r="D47" s="275"/>
      <c r="G47" s="273">
        <v>2018</v>
      </c>
      <c r="H47" s="278">
        <f>L20</f>
        <v>0</v>
      </c>
      <c r="I47" s="278"/>
      <c r="J47" s="275"/>
      <c r="K47" s="245"/>
      <c r="L47" s="245"/>
      <c r="M47" s="296"/>
      <c r="N47" s="296"/>
    </row>
    <row r="48" spans="1:19" s="284" customFormat="1" x14ac:dyDescent="0.2">
      <c r="A48" s="273"/>
      <c r="B48" s="274"/>
      <c r="C48" s="274"/>
      <c r="D48" s="275"/>
      <c r="G48" s="273"/>
      <c r="H48" s="279"/>
      <c r="I48" s="279"/>
      <c r="J48" s="279"/>
      <c r="K48" s="245"/>
      <c r="L48" s="245"/>
      <c r="M48" s="296"/>
      <c r="N48" s="296"/>
    </row>
    <row r="49" spans="1:14" s="284" customFormat="1" x14ac:dyDescent="0.2">
      <c r="A49" s="276" t="s">
        <v>193</v>
      </c>
      <c r="B49" s="277"/>
      <c r="C49" s="277"/>
      <c r="D49" s="285"/>
      <c r="G49" s="276" t="s">
        <v>190</v>
      </c>
      <c r="H49" s="276"/>
      <c r="I49" s="276"/>
      <c r="J49" s="276"/>
      <c r="K49" s="245"/>
      <c r="L49" s="245"/>
      <c r="M49" s="296"/>
      <c r="N49" s="296"/>
    </row>
    <row r="50" spans="1:14" s="284" customFormat="1" x14ac:dyDescent="0.2">
      <c r="A50" s="273" t="s">
        <v>185</v>
      </c>
      <c r="B50" s="250" t="s">
        <v>188</v>
      </c>
      <c r="C50" s="250" t="s">
        <v>186</v>
      </c>
      <c r="D50" s="250" t="s">
        <v>189</v>
      </c>
      <c r="G50" s="273" t="s">
        <v>185</v>
      </c>
      <c r="H50" s="250" t="s">
        <v>188</v>
      </c>
      <c r="I50" s="250" t="s">
        <v>186</v>
      </c>
      <c r="J50" s="250" t="s">
        <v>189</v>
      </c>
      <c r="K50" s="245"/>
      <c r="L50" s="245"/>
      <c r="M50" s="296"/>
      <c r="N50" s="296"/>
    </row>
    <row r="51" spans="1:14" s="284" customFormat="1" x14ac:dyDescent="0.2">
      <c r="A51" s="273">
        <v>2008</v>
      </c>
      <c r="B51" s="278">
        <v>250</v>
      </c>
      <c r="C51" s="278">
        <v>109</v>
      </c>
      <c r="D51" s="275">
        <f t="shared" ref="D51:D57" si="11">IF(ISERROR(C51/B51),"-",(C51/B51))</f>
        <v>0.436</v>
      </c>
      <c r="G51" s="273">
        <v>2008</v>
      </c>
      <c r="H51" s="278">
        <v>303958</v>
      </c>
      <c r="I51" s="278">
        <v>137408</v>
      </c>
      <c r="J51" s="512">
        <f t="shared" ref="J51:J57" si="12">IF(ISERROR(I51/H51),"-",(I51/H51))</f>
        <v>0.45206245599721012</v>
      </c>
      <c r="K51" s="245"/>
      <c r="L51" s="245"/>
      <c r="M51" s="296"/>
      <c r="N51" s="296"/>
    </row>
    <row r="52" spans="1:14" s="284" customFormat="1" x14ac:dyDescent="0.2">
      <c r="A52" s="273">
        <v>2009</v>
      </c>
      <c r="B52" s="278">
        <v>318</v>
      </c>
      <c r="C52" s="278">
        <f>+C28</f>
        <v>266</v>
      </c>
      <c r="D52" s="275">
        <f t="shared" si="11"/>
        <v>0.83647798742138368</v>
      </c>
      <c r="G52" s="273">
        <v>2009</v>
      </c>
      <c r="H52" s="278">
        <v>386587</v>
      </c>
      <c r="I52" s="278">
        <f>+C21</f>
        <v>323456</v>
      </c>
      <c r="J52" s="512">
        <f t="shared" si="12"/>
        <v>0.83669652626704982</v>
      </c>
      <c r="K52" s="245"/>
      <c r="L52" s="245"/>
      <c r="M52" s="296"/>
      <c r="N52" s="296"/>
    </row>
    <row r="53" spans="1:14" s="284" customFormat="1" x14ac:dyDescent="0.2">
      <c r="A53" s="273">
        <v>2010</v>
      </c>
      <c r="B53" s="278">
        <v>311</v>
      </c>
      <c r="C53" s="278">
        <v>236</v>
      </c>
      <c r="D53" s="275">
        <f t="shared" si="11"/>
        <v>0.7588424437299035</v>
      </c>
      <c r="G53" s="273">
        <v>2010</v>
      </c>
      <c r="H53" s="278">
        <v>378488</v>
      </c>
      <c r="I53" s="278">
        <v>286976</v>
      </c>
      <c r="J53" s="512">
        <f t="shared" si="12"/>
        <v>0.75821690515947671</v>
      </c>
      <c r="K53" s="245"/>
      <c r="L53" s="245"/>
      <c r="M53" s="296"/>
      <c r="N53" s="296"/>
    </row>
    <row r="54" spans="1:14" s="284" customFormat="1" x14ac:dyDescent="0.2">
      <c r="A54" s="273">
        <v>2011</v>
      </c>
      <c r="B54" s="278">
        <v>286</v>
      </c>
      <c r="C54" s="278">
        <v>235</v>
      </c>
      <c r="D54" s="275">
        <f t="shared" si="11"/>
        <v>0.82167832167832167</v>
      </c>
      <c r="G54" s="273">
        <v>2011</v>
      </c>
      <c r="H54" s="278">
        <v>320244</v>
      </c>
      <c r="I54" s="278">
        <v>263200</v>
      </c>
      <c r="J54" s="512">
        <f t="shared" si="12"/>
        <v>0.82187332159228588</v>
      </c>
      <c r="K54" s="245"/>
      <c r="L54" s="245"/>
      <c r="M54" s="296"/>
      <c r="N54" s="296"/>
    </row>
    <row r="55" spans="1:14" s="284" customFormat="1" x14ac:dyDescent="0.2">
      <c r="A55" s="273">
        <v>2012</v>
      </c>
      <c r="B55" s="539">
        <v>286</v>
      </c>
      <c r="C55" s="278">
        <f>+F28</f>
        <v>80</v>
      </c>
      <c r="D55" s="275">
        <f t="shared" si="11"/>
        <v>0.27972027972027974</v>
      </c>
      <c r="G55" s="273">
        <v>2012</v>
      </c>
      <c r="H55" s="463">
        <v>146890</v>
      </c>
      <c r="I55" s="278">
        <f>+F21</f>
        <v>111148</v>
      </c>
      <c r="J55" s="512">
        <f t="shared" si="12"/>
        <v>0.75667506297229215</v>
      </c>
      <c r="K55" s="245"/>
      <c r="L55" s="245"/>
      <c r="M55" s="296"/>
      <c r="N55" s="296"/>
    </row>
    <row r="56" spans="1:14" s="284" customFormat="1" x14ac:dyDescent="0.2">
      <c r="A56" s="273">
        <v>2013</v>
      </c>
      <c r="B56" s="278">
        <f>143</f>
        <v>143</v>
      </c>
      <c r="C56" s="278">
        <f>G28</f>
        <v>155</v>
      </c>
      <c r="D56" s="275">
        <f t="shared" si="11"/>
        <v>1.083916083916084</v>
      </c>
      <c r="G56" s="273">
        <v>2013</v>
      </c>
      <c r="H56" s="278">
        <v>87516</v>
      </c>
      <c r="I56" s="278">
        <f>G21</f>
        <v>135520</v>
      </c>
      <c r="J56" s="512">
        <f t="shared" si="12"/>
        <v>1.5485168426344897</v>
      </c>
      <c r="K56" s="245"/>
      <c r="L56" s="245"/>
      <c r="M56" s="296"/>
      <c r="N56" s="296"/>
    </row>
    <row r="57" spans="1:14" s="284" customFormat="1" x14ac:dyDescent="0.2">
      <c r="A57" s="273">
        <v>2014</v>
      </c>
      <c r="B57" s="278">
        <v>2280</v>
      </c>
      <c r="C57" s="278">
        <f>H28</f>
        <v>747</v>
      </c>
      <c r="D57" s="275">
        <f t="shared" si="11"/>
        <v>0.32763157894736844</v>
      </c>
      <c r="G57" s="273">
        <v>2014</v>
      </c>
      <c r="H57" s="278">
        <v>936671</v>
      </c>
      <c r="I57" s="278">
        <f>H21</f>
        <v>861202</v>
      </c>
      <c r="J57" s="275">
        <f t="shared" si="12"/>
        <v>0.91942848662977716</v>
      </c>
      <c r="K57" s="245"/>
      <c r="L57" s="245"/>
      <c r="M57" s="296"/>
      <c r="N57" s="296"/>
    </row>
    <row r="58" spans="1:14" s="284" customFormat="1" x14ac:dyDescent="0.2">
      <c r="A58" s="273">
        <v>2015</v>
      </c>
      <c r="B58" s="278">
        <f>I28</f>
        <v>1058</v>
      </c>
      <c r="C58" s="278"/>
      <c r="D58" s="275"/>
      <c r="G58" s="273">
        <v>2015</v>
      </c>
      <c r="H58" s="278">
        <f>I21</f>
        <v>870978</v>
      </c>
      <c r="I58" s="278"/>
      <c r="J58" s="275"/>
      <c r="K58" s="245"/>
      <c r="L58" s="245"/>
      <c r="M58" s="296"/>
      <c r="N58" s="296"/>
    </row>
    <row r="59" spans="1:14" s="284" customFormat="1" x14ac:dyDescent="0.2">
      <c r="A59" s="273">
        <v>2016</v>
      </c>
      <c r="B59" s="278">
        <f>J28</f>
        <v>0</v>
      </c>
      <c r="G59" s="273">
        <v>2016</v>
      </c>
      <c r="H59" s="278">
        <f>J21</f>
        <v>0</v>
      </c>
      <c r="I59" s="296"/>
      <c r="J59" s="245"/>
      <c r="K59" s="245"/>
      <c r="L59" s="245"/>
      <c r="M59" s="296"/>
      <c r="N59" s="296"/>
    </row>
    <row r="60" spans="1:14" s="284" customFormat="1" x14ac:dyDescent="0.2">
      <c r="A60" s="273">
        <v>2017</v>
      </c>
      <c r="B60" s="278">
        <f>K28</f>
        <v>0</v>
      </c>
      <c r="G60" s="273">
        <v>2017</v>
      </c>
      <c r="H60" s="278">
        <f>K21</f>
        <v>0</v>
      </c>
      <c r="I60" s="296"/>
      <c r="J60" s="245"/>
      <c r="K60" s="245"/>
      <c r="L60" s="245"/>
      <c r="M60" s="296"/>
      <c r="N60" s="296"/>
    </row>
    <row r="61" spans="1:14" s="284" customFormat="1" x14ac:dyDescent="0.2">
      <c r="A61" s="273">
        <v>2018</v>
      </c>
      <c r="B61" s="278">
        <f>L28</f>
        <v>0</v>
      </c>
      <c r="G61" s="273">
        <v>2018</v>
      </c>
      <c r="H61" s="278">
        <f>L21</f>
        <v>0</v>
      </c>
      <c r="I61" s="296"/>
      <c r="J61" s="245"/>
      <c r="K61" s="245"/>
      <c r="L61" s="245"/>
      <c r="M61" s="296"/>
      <c r="N61" s="296"/>
    </row>
    <row r="62" spans="1:14" s="284" customFormat="1" x14ac:dyDescent="0.2">
      <c r="B62" s="2235"/>
      <c r="I62" s="296"/>
      <c r="J62" s="245"/>
      <c r="K62" s="245"/>
      <c r="L62" s="245"/>
      <c r="M62" s="296"/>
      <c r="N62" s="296"/>
    </row>
    <row r="63" spans="1:14" s="284" customFormat="1" x14ac:dyDescent="0.2">
      <c r="I63" s="296"/>
      <c r="J63" s="245"/>
      <c r="K63" s="245"/>
      <c r="L63" s="245"/>
      <c r="M63" s="296"/>
      <c r="N63" s="296"/>
    </row>
    <row r="64" spans="1:14" s="284" customFormat="1" x14ac:dyDescent="0.2">
      <c r="I64" s="296"/>
      <c r="J64" s="245"/>
      <c r="K64" s="245"/>
      <c r="L64" s="245"/>
      <c r="M64" s="296"/>
      <c r="N64" s="296"/>
    </row>
    <row r="65" spans="5:14" s="284" customFormat="1" x14ac:dyDescent="0.2">
      <c r="I65" s="296"/>
      <c r="J65" s="245"/>
      <c r="K65" s="245"/>
      <c r="L65" s="245"/>
      <c r="M65" s="296"/>
      <c r="N65" s="296"/>
    </row>
    <row r="66" spans="5:14" s="284" customFormat="1" x14ac:dyDescent="0.2">
      <c r="I66" s="296"/>
      <c r="J66" s="245"/>
      <c r="K66" s="245"/>
      <c r="L66" s="245"/>
      <c r="M66" s="296"/>
      <c r="N66" s="296"/>
    </row>
    <row r="67" spans="5:14" s="284" customFormat="1" x14ac:dyDescent="0.2">
      <c r="I67" s="296"/>
      <c r="J67" s="245"/>
      <c r="K67" s="245"/>
      <c r="L67" s="245"/>
      <c r="M67" s="296"/>
      <c r="N67" s="296"/>
    </row>
    <row r="68" spans="5:14" s="284" customFormat="1" x14ac:dyDescent="0.2">
      <c r="I68" s="296"/>
      <c r="J68" s="245"/>
      <c r="K68" s="245"/>
      <c r="L68" s="245"/>
      <c r="M68" s="296"/>
      <c r="N68" s="296"/>
    </row>
    <row r="69" spans="5:14" s="284" customFormat="1" x14ac:dyDescent="0.2">
      <c r="I69" s="296"/>
      <c r="J69" s="245"/>
      <c r="K69" s="245"/>
      <c r="L69" s="245"/>
      <c r="M69" s="296"/>
      <c r="N69" s="296"/>
    </row>
    <row r="70" spans="5:14" s="284" customFormat="1" x14ac:dyDescent="0.2">
      <c r="I70" s="296"/>
      <c r="J70" s="245"/>
      <c r="K70" s="245"/>
      <c r="L70" s="245"/>
      <c r="M70" s="296"/>
      <c r="N70" s="296"/>
    </row>
    <row r="71" spans="5:14" s="284" customFormat="1" x14ac:dyDescent="0.2">
      <c r="I71" s="296"/>
      <c r="J71" s="245"/>
      <c r="K71" s="245"/>
      <c r="L71" s="245"/>
      <c r="M71" s="296"/>
      <c r="N71" s="296"/>
    </row>
    <row r="72" spans="5:14" s="284" customFormat="1" x14ac:dyDescent="0.2">
      <c r="I72" s="296"/>
      <c r="J72" s="245"/>
      <c r="K72" s="245"/>
      <c r="L72" s="245"/>
      <c r="M72" s="296"/>
      <c r="N72" s="296"/>
    </row>
    <row r="73" spans="5:14" s="284" customFormat="1" x14ac:dyDescent="0.2">
      <c r="I73" s="296"/>
      <c r="J73" s="245"/>
      <c r="K73" s="245"/>
      <c r="L73" s="245"/>
      <c r="M73" s="296"/>
      <c r="N73" s="296"/>
    </row>
    <row r="74" spans="5:14" s="284" customFormat="1" x14ac:dyDescent="0.2">
      <c r="I74" s="296"/>
      <c r="J74" s="245"/>
      <c r="K74" s="245"/>
      <c r="L74" s="245"/>
      <c r="M74" s="296"/>
      <c r="N74" s="296"/>
    </row>
    <row r="75" spans="5:14" s="284" customFormat="1" x14ac:dyDescent="0.2">
      <c r="I75" s="296"/>
      <c r="J75" s="245"/>
      <c r="K75" s="245"/>
      <c r="L75" s="245"/>
      <c r="M75" s="296"/>
      <c r="N75" s="296"/>
    </row>
    <row r="76" spans="5:14" s="284" customFormat="1" x14ac:dyDescent="0.2">
      <c r="I76" s="296"/>
      <c r="J76" s="245"/>
      <c r="K76" s="245"/>
      <c r="L76" s="245"/>
      <c r="M76" s="296"/>
      <c r="N76" s="296"/>
    </row>
    <row r="77" spans="5:14" s="284" customFormat="1" x14ac:dyDescent="0.2">
      <c r="I77" s="296"/>
      <c r="J77" s="245"/>
      <c r="K77" s="245"/>
      <c r="L77" s="245"/>
      <c r="M77" s="296"/>
      <c r="N77" s="296"/>
    </row>
    <row r="78" spans="5:14" s="284" customFormat="1" x14ac:dyDescent="0.2">
      <c r="I78" s="296"/>
      <c r="J78" s="245"/>
      <c r="K78" s="245"/>
      <c r="L78" s="245"/>
      <c r="M78" s="296"/>
      <c r="N78" s="296"/>
    </row>
    <row r="79" spans="5:14" x14ac:dyDescent="0.2">
      <c r="E79" s="168"/>
      <c r="F79" s="168"/>
      <c r="G79" s="168"/>
      <c r="H79" s="3"/>
      <c r="I79" s="181"/>
      <c r="M79" s="181"/>
      <c r="N79" s="181"/>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2"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23">
    <tabColor indexed="47"/>
    <pageSetUpPr fitToPage="1"/>
  </sheetPr>
  <dimension ref="A1:V87"/>
  <sheetViews>
    <sheetView view="pageBreakPreview" zoomScale="60" zoomScaleNormal="100" workbookViewId="0">
      <selection activeCell="W61" sqref="W61"/>
    </sheetView>
  </sheetViews>
  <sheetFormatPr defaultRowHeight="12.75" x14ac:dyDescent="0.2"/>
  <cols>
    <col min="1" max="1" width="39.28515625" style="168" bestFit="1" customWidth="1"/>
    <col min="2" max="9" width="13.28515625" style="168" customWidth="1"/>
    <col min="10" max="10" width="13.28515625" style="245" customWidth="1"/>
    <col min="11" max="14" width="13.28515625" style="168" customWidth="1"/>
    <col min="15" max="15" width="6.85546875" style="168" bestFit="1" customWidth="1"/>
    <col min="16" max="16" width="6.85546875" style="168" customWidth="1"/>
    <col min="17" max="17" width="3.7109375" style="168" customWidth="1"/>
    <col min="18" max="18" width="11.42578125" style="168" customWidth="1"/>
    <col min="19" max="19" width="10.7109375" style="168" customWidth="1"/>
    <col min="20" max="20" width="12.28515625" style="168" customWidth="1"/>
    <col min="21" max="16384" width="9.140625" style="168"/>
  </cols>
  <sheetData>
    <row r="1" spans="1:20" ht="15.75" x14ac:dyDescent="0.25">
      <c r="A1" s="3055" t="s">
        <v>76</v>
      </c>
      <c r="B1" s="3055"/>
      <c r="C1" s="3055"/>
      <c r="D1" s="3055"/>
      <c r="E1" s="3055"/>
      <c r="F1" s="3055"/>
      <c r="G1" s="3055"/>
      <c r="H1" s="3055"/>
      <c r="I1" s="3055"/>
      <c r="J1" s="3055"/>
      <c r="K1" s="3055"/>
      <c r="L1" s="3055"/>
      <c r="M1" s="3055"/>
      <c r="N1" s="3055"/>
      <c r="O1" s="3055"/>
      <c r="P1" s="170"/>
      <c r="Q1" s="170"/>
      <c r="R1" s="170"/>
      <c r="S1" s="170"/>
      <c r="T1" s="170"/>
    </row>
    <row r="2" spans="1:20" x14ac:dyDescent="0.2">
      <c r="A2" s="169"/>
      <c r="P2" s="170"/>
      <c r="Q2" s="170"/>
      <c r="R2" s="170"/>
      <c r="S2" s="170"/>
      <c r="T2" s="170"/>
    </row>
    <row r="3" spans="1:20" ht="15.75" x14ac:dyDescent="0.25">
      <c r="A3" s="172" t="s">
        <v>160</v>
      </c>
      <c r="P3" s="170"/>
      <c r="Q3" s="170"/>
      <c r="R3" s="170"/>
      <c r="S3" s="170"/>
      <c r="T3" s="170"/>
    </row>
    <row r="4" spans="1:20" x14ac:dyDescent="0.2">
      <c r="A4" s="169"/>
      <c r="P4" s="170"/>
      <c r="Q4" s="170"/>
      <c r="R4" s="170"/>
      <c r="S4" s="170"/>
      <c r="T4" s="170"/>
    </row>
    <row r="5" spans="1:20" ht="11.25" x14ac:dyDescent="0.2">
      <c r="A5" s="173"/>
      <c r="J5" s="794"/>
      <c r="P5" s="170"/>
      <c r="Q5" s="170"/>
      <c r="R5" s="170"/>
      <c r="S5" s="170"/>
      <c r="T5" s="170"/>
    </row>
    <row r="6" spans="1:20" s="284" customFormat="1" x14ac:dyDescent="0.2">
      <c r="A6" s="242"/>
      <c r="B6" s="243">
        <v>2006</v>
      </c>
      <c r="C6" s="243">
        <v>2007</v>
      </c>
      <c r="D6" s="243">
        <v>2008</v>
      </c>
      <c r="E6" s="243">
        <v>2009</v>
      </c>
      <c r="F6" s="243">
        <v>2010</v>
      </c>
      <c r="G6" s="243">
        <v>2011</v>
      </c>
      <c r="H6" s="243">
        <v>2012</v>
      </c>
      <c r="I6" s="243">
        <v>2013</v>
      </c>
      <c r="J6" s="243">
        <v>2014</v>
      </c>
      <c r="K6" s="243">
        <v>2015</v>
      </c>
      <c r="L6" s="243">
        <v>2016</v>
      </c>
      <c r="M6" s="243">
        <v>2017</v>
      </c>
      <c r="N6" s="243">
        <v>2018</v>
      </c>
      <c r="P6" s="246"/>
      <c r="Q6" s="245"/>
      <c r="R6" s="245"/>
      <c r="S6" s="285"/>
      <c r="T6" s="285"/>
    </row>
    <row r="7" spans="1:20" s="284" customFormat="1" x14ac:dyDescent="0.2">
      <c r="A7" s="247" t="s">
        <v>44</v>
      </c>
      <c r="B7" s="248" t="s">
        <v>148</v>
      </c>
      <c r="C7" s="248" t="s">
        <v>148</v>
      </c>
      <c r="D7" s="248" t="s">
        <v>148</v>
      </c>
      <c r="E7" s="248" t="s">
        <v>148</v>
      </c>
      <c r="F7" s="248" t="s">
        <v>148</v>
      </c>
      <c r="G7" s="248" t="s">
        <v>148</v>
      </c>
      <c r="H7" s="248" t="s">
        <v>148</v>
      </c>
      <c r="I7" s="248" t="s">
        <v>148</v>
      </c>
      <c r="J7" s="248" t="s">
        <v>148</v>
      </c>
      <c r="K7" s="248" t="s">
        <v>1</v>
      </c>
      <c r="L7" s="248" t="s">
        <v>1</v>
      </c>
      <c r="M7" s="248" t="s">
        <v>1</v>
      </c>
      <c r="N7" s="248" t="s">
        <v>1</v>
      </c>
      <c r="O7" s="575"/>
      <c r="P7" s="245"/>
      <c r="Q7" s="245"/>
      <c r="R7" s="245"/>
      <c r="S7" s="575"/>
      <c r="T7" s="285"/>
    </row>
    <row r="8" spans="1:20" s="284" customFormat="1" x14ac:dyDescent="0.2">
      <c r="A8" s="244"/>
      <c r="J8" s="245"/>
      <c r="K8" s="575"/>
      <c r="L8" s="575"/>
      <c r="M8" s="575"/>
      <c r="N8" s="575"/>
      <c r="P8" s="245"/>
      <c r="Q8" s="245"/>
      <c r="R8" s="245"/>
      <c r="S8" s="187"/>
      <c r="T8" s="285"/>
    </row>
    <row r="9" spans="1:20" s="284" customFormat="1" x14ac:dyDescent="0.2">
      <c r="A9" s="285" t="s">
        <v>53</v>
      </c>
      <c r="B9" s="287">
        <v>5183</v>
      </c>
      <c r="C9" s="287">
        <v>44643</v>
      </c>
      <c r="D9" s="287">
        <v>73633</v>
      </c>
      <c r="E9" s="287">
        <v>87081.89</v>
      </c>
      <c r="F9" s="287">
        <v>92838.519999999902</v>
      </c>
      <c r="G9" s="287">
        <v>143949.31</v>
      </c>
      <c r="H9" s="287">
        <v>138346</v>
      </c>
      <c r="I9" s="295">
        <v>150769</v>
      </c>
      <c r="J9" s="252">
        <v>218003.41</v>
      </c>
      <c r="K9" s="252">
        <v>296754</v>
      </c>
      <c r="L9" s="252">
        <f>'CNG Table C 2016'!$C$13+'CNG Table C 2016'!$C$14</f>
        <v>310806.90000000002</v>
      </c>
      <c r="M9" s="252">
        <f>'CNG Table C 2017'!$C$13+'CNG Table C 2017'!$C$14</f>
        <v>202516</v>
      </c>
      <c r="N9" s="252">
        <f>'CNG Table C 2019'!$C$13+'CNG Table C 2019'!$C$14</f>
        <v>269091.75</v>
      </c>
      <c r="P9" s="245"/>
      <c r="Q9" s="245"/>
      <c r="R9" s="245"/>
      <c r="S9" s="129"/>
      <c r="T9" s="285"/>
    </row>
    <row r="10" spans="1:20" s="284" customFormat="1" x14ac:dyDescent="0.2">
      <c r="A10" s="285" t="s">
        <v>45</v>
      </c>
      <c r="B10" s="287">
        <v>15732</v>
      </c>
      <c r="C10" s="287">
        <v>119469</v>
      </c>
      <c r="D10" s="289">
        <v>269945</v>
      </c>
      <c r="E10" s="287">
        <v>108035.34</v>
      </c>
      <c r="F10" s="287">
        <v>289410.64</v>
      </c>
      <c r="G10" s="287">
        <v>284125.27999999991</v>
      </c>
      <c r="H10" s="287">
        <v>54779</v>
      </c>
      <c r="I10" s="295">
        <v>32485.020000000011</v>
      </c>
      <c r="J10" s="252">
        <v>95373.379999999903</v>
      </c>
      <c r="K10" s="252">
        <v>256634</v>
      </c>
      <c r="L10" s="252">
        <f>'CNG Table C 2016'!$E$13+'CNG Table C 2016'!$E$14</f>
        <v>424634</v>
      </c>
      <c r="M10" s="252">
        <f>'CNG Table C 2017'!$E$13+'CNG Table C 2017'!$E$14</f>
        <v>434634</v>
      </c>
      <c r="N10" s="252">
        <f>'CNG Table C 2019'!$E$13+'CNG Table C 2019'!$E$14</f>
        <v>483775.47000000003</v>
      </c>
      <c r="P10" s="245"/>
      <c r="Q10" s="245"/>
      <c r="R10" s="245"/>
      <c r="S10" s="190"/>
      <c r="T10" s="285"/>
    </row>
    <row r="11" spans="1:20" s="284" customFormat="1" x14ac:dyDescent="0.2">
      <c r="A11" s="285" t="s">
        <v>19</v>
      </c>
      <c r="B11" s="287">
        <v>0</v>
      </c>
      <c r="C11" s="287">
        <v>0</v>
      </c>
      <c r="D11" s="290">
        <v>268</v>
      </c>
      <c r="E11" s="287">
        <v>231.43</v>
      </c>
      <c r="F11" s="287">
        <v>217.98</v>
      </c>
      <c r="G11" s="287">
        <v>0</v>
      </c>
      <c r="H11" s="287">
        <v>0</v>
      </c>
      <c r="I11" s="295">
        <v>0</v>
      </c>
      <c r="J11" s="252">
        <v>0</v>
      </c>
      <c r="K11" s="252">
        <v>4000</v>
      </c>
      <c r="L11" s="252">
        <f>'CNG Table C 2016'!$D$13+'CNG Table C 2016'!$D$14</f>
        <v>8300</v>
      </c>
      <c r="M11" s="252">
        <f>'CNG Table C 2017'!$D$13+'CNG Table C 2017'!$D$14</f>
        <v>8300</v>
      </c>
      <c r="N11" s="252">
        <f>'CNG Table C 2019'!$D$13+'CNG Table C 2019'!$D$14</f>
        <v>8300</v>
      </c>
      <c r="P11" s="245"/>
      <c r="Q11" s="245"/>
      <c r="R11" s="245"/>
      <c r="S11" s="190"/>
      <c r="T11" s="285"/>
    </row>
    <row r="12" spans="1:20" s="284" customFormat="1" ht="14.25" x14ac:dyDescent="0.2">
      <c r="A12" s="285" t="s">
        <v>2</v>
      </c>
      <c r="B12" s="287">
        <v>30156</v>
      </c>
      <c r="C12" s="287">
        <v>255330</v>
      </c>
      <c r="D12" s="289">
        <f>436835+7064</f>
        <v>443899</v>
      </c>
      <c r="E12" s="287">
        <v>313740.55</v>
      </c>
      <c r="F12" s="287">
        <v>967044.83</v>
      </c>
      <c r="G12" s="287">
        <v>1076322.5599999996</v>
      </c>
      <c r="H12" s="287">
        <v>1341028</v>
      </c>
      <c r="I12" s="295">
        <v>1807582.1816504651</v>
      </c>
      <c r="J12" s="252">
        <v>4253959.0634999992</v>
      </c>
      <c r="K12" s="257">
        <v>5049761</v>
      </c>
      <c r="L12" s="257">
        <f>'CNG Table C 2016'!$F$13+'CNG Table C 2016'!$F$14</f>
        <v>4832217</v>
      </c>
      <c r="M12" s="257">
        <f>'CNG Table C 2017'!$F$13+'CNG Table C 2017'!$F$14</f>
        <v>4625958.72361199</v>
      </c>
      <c r="N12" s="257">
        <f>'CNG Table C 2019'!$F$13+'CNG Table C 2019'!$F$14</f>
        <v>4164167.1214678898</v>
      </c>
      <c r="O12" s="947" t="s">
        <v>326</v>
      </c>
      <c r="P12" s="507"/>
      <c r="Q12" s="245"/>
      <c r="R12" s="507"/>
      <c r="S12" s="190"/>
      <c r="T12" s="285"/>
    </row>
    <row r="13" spans="1:20" s="284" customFormat="1" ht="14.25" x14ac:dyDescent="0.2">
      <c r="A13" s="285" t="s">
        <v>14</v>
      </c>
      <c r="B13" s="287">
        <v>967</v>
      </c>
      <c r="C13" s="287">
        <v>7140</v>
      </c>
      <c r="D13" s="289">
        <v>7109.45</v>
      </c>
      <c r="E13" s="287">
        <v>10307.33</v>
      </c>
      <c r="F13" s="287">
        <v>14685.43</v>
      </c>
      <c r="G13" s="287">
        <v>11062.51</v>
      </c>
      <c r="H13" s="287">
        <v>13761</v>
      </c>
      <c r="I13" s="295">
        <v>22048.1</v>
      </c>
      <c r="J13" s="252">
        <v>13555.220000000001</v>
      </c>
      <c r="K13" s="252">
        <v>50000</v>
      </c>
      <c r="L13" s="252">
        <f>'CNG Table C 2016'!$G$13+'CNG Table C 2016'!$G$14</f>
        <v>70000</v>
      </c>
      <c r="M13" s="252">
        <f>'CNG Table C 2017'!$G$13+'CNG Table C 2017'!$G$14</f>
        <v>125000</v>
      </c>
      <c r="N13" s="252">
        <f>'CNG Table C 2019'!$G$13+'CNG Table C 2019'!$G$14</f>
        <v>128333</v>
      </c>
      <c r="O13" s="947" t="s">
        <v>327</v>
      </c>
      <c r="P13" s="190"/>
      <c r="Q13" s="190"/>
      <c r="R13" s="190"/>
      <c r="S13" s="190"/>
      <c r="T13" s="285"/>
    </row>
    <row r="14" spans="1:20" s="284" customFormat="1" ht="15" x14ac:dyDescent="0.35">
      <c r="A14" s="285" t="s">
        <v>46</v>
      </c>
      <c r="B14" s="292">
        <v>0</v>
      </c>
      <c r="C14" s="292">
        <v>960</v>
      </c>
      <c r="D14" s="293">
        <v>361.45</v>
      </c>
      <c r="E14" s="292">
        <v>234.63</v>
      </c>
      <c r="F14" s="292">
        <v>3382.44</v>
      </c>
      <c r="G14" s="292">
        <v>2263.56</v>
      </c>
      <c r="H14" s="292">
        <v>0</v>
      </c>
      <c r="I14" s="515">
        <v>917</v>
      </c>
      <c r="J14" s="256">
        <v>3549</v>
      </c>
      <c r="K14" s="256">
        <v>6027</v>
      </c>
      <c r="L14" s="256">
        <f>'CNG Table C 2016'!$H$13+'CNG Table C 2016'!$H$14</f>
        <v>7027</v>
      </c>
      <c r="M14" s="256">
        <f>'CNG Table C 2017'!$H$13+'CNG Table C 2017'!$H$14</f>
        <v>7027</v>
      </c>
      <c r="N14" s="256">
        <f>'CNG Table C 2019'!$H$13+'CNG Table C 2019'!$H$14</f>
        <v>7027</v>
      </c>
      <c r="O14" s="294"/>
      <c r="P14" s="191"/>
      <c r="Q14" s="191"/>
      <c r="R14" s="191"/>
      <c r="S14" s="191"/>
      <c r="T14" s="285"/>
    </row>
    <row r="15" spans="1:20" s="284" customFormat="1" x14ac:dyDescent="0.2">
      <c r="A15" s="285" t="s">
        <v>47</v>
      </c>
      <c r="B15" s="287">
        <f t="shared" ref="B15:L15" si="0">SUM(B9:B14)</f>
        <v>52038</v>
      </c>
      <c r="C15" s="295">
        <f t="shared" si="0"/>
        <v>427542</v>
      </c>
      <c r="D15" s="523">
        <f t="shared" si="0"/>
        <v>795215.89999999991</v>
      </c>
      <c r="E15" s="287">
        <f t="shared" si="0"/>
        <v>519631.17</v>
      </c>
      <c r="F15" s="287">
        <f t="shared" si="0"/>
        <v>1367579.8399999996</v>
      </c>
      <c r="G15" s="287">
        <f t="shared" si="0"/>
        <v>1517723.2199999995</v>
      </c>
      <c r="H15" s="287">
        <f t="shared" si="0"/>
        <v>1547914</v>
      </c>
      <c r="I15" s="287">
        <f t="shared" si="0"/>
        <v>2013801.3016504652</v>
      </c>
      <c r="J15" s="252">
        <f>SUM(J9:J14)</f>
        <v>4584440.073499999</v>
      </c>
      <c r="K15" s="504">
        <f t="shared" si="0"/>
        <v>5663176</v>
      </c>
      <c r="L15" s="504">
        <f t="shared" si="0"/>
        <v>5652984.9000000004</v>
      </c>
      <c r="M15" s="504">
        <f>SUM(M9:M14)</f>
        <v>5403435.72361199</v>
      </c>
      <c r="N15" s="504">
        <f>SUM(N9:N14)</f>
        <v>5060694.34146789</v>
      </c>
      <c r="O15" s="296" t="s">
        <v>201</v>
      </c>
      <c r="P15" s="192"/>
      <c r="Q15" s="192"/>
      <c r="R15" s="192"/>
      <c r="S15" s="192"/>
      <c r="T15" s="285"/>
    </row>
    <row r="16" spans="1:20" s="284" customFormat="1" x14ac:dyDescent="0.2">
      <c r="A16" s="285"/>
      <c r="B16" s="288"/>
      <c r="C16" s="259"/>
      <c r="D16" s="260"/>
      <c r="J16" s="255"/>
      <c r="L16" s="295"/>
      <c r="M16" s="295"/>
      <c r="N16" s="295"/>
      <c r="P16" s="193"/>
      <c r="Q16" s="297"/>
      <c r="R16" s="297"/>
      <c r="S16" s="297"/>
      <c r="T16" s="285"/>
    </row>
    <row r="17" spans="1:22" s="284" customFormat="1" ht="15" x14ac:dyDescent="0.35">
      <c r="A17" s="298"/>
      <c r="C17" s="289"/>
      <c r="D17" s="289"/>
      <c r="I17" s="294"/>
      <c r="J17" s="245"/>
      <c r="K17" s="294"/>
      <c r="L17" s="295"/>
      <c r="M17" s="295"/>
      <c r="N17" s="295"/>
      <c r="O17" s="299"/>
      <c r="P17" s="185"/>
      <c r="Q17" s="184"/>
      <c r="R17" s="184"/>
      <c r="S17" s="184"/>
      <c r="T17" s="285"/>
    </row>
    <row r="18" spans="1:22" s="284" customFormat="1" ht="25.5" x14ac:dyDescent="0.2">
      <c r="A18" s="247" t="s">
        <v>83</v>
      </c>
      <c r="B18" s="264" t="s">
        <v>192</v>
      </c>
      <c r="C18" s="264" t="s">
        <v>176</v>
      </c>
      <c r="D18" s="264" t="s">
        <v>211</v>
      </c>
      <c r="E18" s="264" t="s">
        <v>220</v>
      </c>
      <c r="F18" s="264" t="s">
        <v>258</v>
      </c>
      <c r="G18" s="264" t="s">
        <v>314</v>
      </c>
      <c r="H18" s="264" t="s">
        <v>478</v>
      </c>
      <c r="I18" s="264" t="s">
        <v>562</v>
      </c>
      <c r="J18" s="264" t="s">
        <v>563</v>
      </c>
      <c r="K18" s="264" t="s">
        <v>334</v>
      </c>
      <c r="L18" s="264" t="s">
        <v>564</v>
      </c>
      <c r="M18" s="264" t="s">
        <v>565</v>
      </c>
      <c r="N18" s="264" t="s">
        <v>566</v>
      </c>
      <c r="O18" s="296"/>
      <c r="P18" s="185"/>
      <c r="Q18" s="182"/>
      <c r="R18" s="182"/>
      <c r="S18" s="182"/>
      <c r="T18" s="285"/>
      <c r="U18" s="285"/>
      <c r="V18" s="285"/>
    </row>
    <row r="19" spans="1:22" s="284" customFormat="1" x14ac:dyDescent="0.2">
      <c r="J19" s="245"/>
      <c r="K19" s="180"/>
      <c r="L19" s="180"/>
      <c r="M19" s="180"/>
      <c r="N19" s="180"/>
      <c r="O19" s="296"/>
      <c r="P19" s="185"/>
      <c r="Q19" s="185"/>
      <c r="R19" s="185"/>
      <c r="S19" s="185"/>
      <c r="T19" s="180"/>
      <c r="U19" s="285"/>
      <c r="V19" s="285"/>
    </row>
    <row r="20" spans="1:22" s="284" customFormat="1" x14ac:dyDescent="0.2">
      <c r="A20" s="284" t="s">
        <v>49</v>
      </c>
      <c r="B20" s="284">
        <v>14163</v>
      </c>
      <c r="C20" s="301">
        <v>57353</v>
      </c>
      <c r="D20" s="302">
        <v>104456</v>
      </c>
      <c r="E20" s="302">
        <v>68203</v>
      </c>
      <c r="F20" s="302">
        <v>266670</v>
      </c>
      <c r="G20" s="302">
        <v>195660.73499999999</v>
      </c>
      <c r="H20" s="302">
        <v>269314</v>
      </c>
      <c r="I20" s="302">
        <v>402701</v>
      </c>
      <c r="J20" s="531">
        <f>443571+163037</f>
        <v>606608</v>
      </c>
      <c r="K20" s="506">
        <v>592063</v>
      </c>
      <c r="L20" s="506">
        <f>'2016 Summary Table B'!$M$11+'2016 Summary Table B'!$M$15</f>
        <v>723067.09168365784</v>
      </c>
      <c r="M20" s="506">
        <f>'2017 Summary Table B'!$M$11+'2017 Summary Table B'!$M$15</f>
        <v>574195.88471022679</v>
      </c>
      <c r="N20" s="506" t="e">
        <f>'2019 Summary Table B'!$M$11+'2019 Summary Table B'!$M$15</f>
        <v>#REF!</v>
      </c>
      <c r="O20" s="296" t="s">
        <v>64</v>
      </c>
      <c r="P20" s="185"/>
      <c r="Q20" s="183"/>
      <c r="R20" s="185"/>
      <c r="S20" s="183"/>
      <c r="T20" s="187"/>
      <c r="U20" s="285"/>
      <c r="V20" s="285"/>
    </row>
    <row r="21" spans="1:22" s="284" customFormat="1" x14ac:dyDescent="0.2">
      <c r="A21" s="284" t="s">
        <v>50</v>
      </c>
      <c r="B21" s="284">
        <v>213599</v>
      </c>
      <c r="C21" s="301">
        <v>902646</v>
      </c>
      <c r="D21" s="302">
        <v>1970690</v>
      </c>
      <c r="E21" s="302">
        <v>1418819</v>
      </c>
      <c r="F21" s="302">
        <v>5414347</v>
      </c>
      <c r="G21" s="302">
        <v>3415647.7</v>
      </c>
      <c r="H21" s="302">
        <v>4996971</v>
      </c>
      <c r="I21" s="302">
        <v>7460781</v>
      </c>
      <c r="J21" s="531">
        <f>8774017+3258791</f>
        <v>12032808</v>
      </c>
      <c r="K21" s="506">
        <v>11550525</v>
      </c>
      <c r="L21" s="506">
        <f>'2016 Summary Table B'!$N$11+'2016 Summary Table B'!$N$15</f>
        <v>13559068.516140584</v>
      </c>
      <c r="M21" s="506">
        <f>'2017 Summary Table B'!$N$11+'2017 Summary Table B'!$N$15</f>
        <v>11459936.503512295</v>
      </c>
      <c r="N21" s="506" t="e">
        <f>'2019 Summary Table B'!$N$11+'2019 Summary Table B'!$N$15</f>
        <v>#REF!</v>
      </c>
      <c r="O21" s="296" t="s">
        <v>10</v>
      </c>
      <c r="P21" s="185"/>
      <c r="Q21" s="183"/>
      <c r="R21" s="183"/>
      <c r="S21" s="183"/>
      <c r="T21" s="182"/>
      <c r="U21" s="285"/>
      <c r="V21" s="285"/>
    </row>
    <row r="22" spans="1:22" s="284" customFormat="1" x14ac:dyDescent="0.2">
      <c r="C22" s="303" t="s">
        <v>3</v>
      </c>
      <c r="J22" s="527"/>
      <c r="K22" s="180"/>
      <c r="L22" s="180"/>
      <c r="M22" s="180"/>
      <c r="N22" s="180"/>
      <c r="O22" s="296"/>
      <c r="P22" s="185"/>
      <c r="Q22" s="182"/>
      <c r="R22" s="182"/>
      <c r="S22" s="182"/>
      <c r="T22" s="183"/>
      <c r="U22" s="285"/>
      <c r="V22" s="285"/>
    </row>
    <row r="23" spans="1:22" s="284" customFormat="1" x14ac:dyDescent="0.2">
      <c r="A23" s="284" t="s">
        <v>51</v>
      </c>
      <c r="B23" s="305">
        <f t="shared" ref="B23:L23" si="1">SUM(B15/B20)</f>
        <v>3.6742215632281297</v>
      </c>
      <c r="C23" s="305">
        <f t="shared" si="1"/>
        <v>7.4545708158248045</v>
      </c>
      <c r="D23" s="305">
        <f t="shared" si="1"/>
        <v>7.6129269740369141</v>
      </c>
      <c r="E23" s="305">
        <f t="shared" si="1"/>
        <v>7.6188902247701709</v>
      </c>
      <c r="F23" s="305">
        <f t="shared" si="1"/>
        <v>5.1283602954963046</v>
      </c>
      <c r="G23" s="305">
        <f t="shared" si="1"/>
        <v>7.756912596694475</v>
      </c>
      <c r="H23" s="305">
        <f t="shared" si="1"/>
        <v>5.747618022085744</v>
      </c>
      <c r="I23" s="305">
        <f t="shared" si="1"/>
        <v>5.000735785733001</v>
      </c>
      <c r="J23" s="528">
        <f t="shared" si="1"/>
        <v>7.5575001871060046</v>
      </c>
      <c r="K23" s="269">
        <f t="shared" si="1"/>
        <v>9.5651577619273631</v>
      </c>
      <c r="L23" s="269">
        <f t="shared" si="1"/>
        <v>7.8180641395766681</v>
      </c>
      <c r="M23" s="269">
        <f>SUM(M15/M20)</f>
        <v>9.410439655691512</v>
      </c>
      <c r="N23" s="269" t="e">
        <f>SUM(N15/N20)</f>
        <v>#REF!</v>
      </c>
      <c r="O23" s="296" t="s">
        <v>65</v>
      </c>
      <c r="P23" s="185"/>
      <c r="Q23" s="182"/>
      <c r="R23" s="182"/>
      <c r="S23" s="182"/>
      <c r="T23" s="183"/>
      <c r="U23" s="285"/>
      <c r="V23" s="285"/>
    </row>
    <row r="24" spans="1:22" s="284" customFormat="1" x14ac:dyDescent="0.2">
      <c r="A24" s="284" t="s">
        <v>52</v>
      </c>
      <c r="B24" s="305">
        <f t="shared" ref="B24:L24" si="2">SUM(B15/B21)</f>
        <v>0.24362473607086174</v>
      </c>
      <c r="C24" s="305">
        <f t="shared" si="2"/>
        <v>0.47365412354344893</v>
      </c>
      <c r="D24" s="305">
        <f t="shared" si="2"/>
        <v>0.40352155843892235</v>
      </c>
      <c r="E24" s="305">
        <f t="shared" si="2"/>
        <v>0.36624204355876261</v>
      </c>
      <c r="F24" s="305">
        <f t="shared" si="2"/>
        <v>0.25258444647156891</v>
      </c>
      <c r="G24" s="305">
        <f t="shared" si="2"/>
        <v>0.44434419275735004</v>
      </c>
      <c r="H24" s="305">
        <f t="shared" si="2"/>
        <v>0.30977045894402827</v>
      </c>
      <c r="I24" s="305">
        <f t="shared" si="2"/>
        <v>0.26991829697862263</v>
      </c>
      <c r="J24" s="528">
        <f t="shared" si="2"/>
        <v>0.38099503237315835</v>
      </c>
      <c r="K24" s="269">
        <f t="shared" si="2"/>
        <v>0.49029598221725851</v>
      </c>
      <c r="L24" s="269">
        <f t="shared" si="2"/>
        <v>0.41691543141556825</v>
      </c>
      <c r="M24" s="269">
        <f>SUM(M15/M21)</f>
        <v>0.47150660232331304</v>
      </c>
      <c r="N24" s="269" t="e">
        <f>SUM(N15/N21)</f>
        <v>#REF!</v>
      </c>
      <c r="O24" s="296" t="s">
        <v>66</v>
      </c>
      <c r="P24" s="180"/>
      <c r="Q24" s="185"/>
      <c r="R24" s="184"/>
      <c r="S24" s="184"/>
      <c r="T24" s="184"/>
      <c r="U24" s="285"/>
      <c r="V24" s="285"/>
    </row>
    <row r="25" spans="1:22" s="284" customFormat="1" x14ac:dyDescent="0.2">
      <c r="C25" s="303"/>
      <c r="J25" s="249"/>
      <c r="K25" s="245"/>
      <c r="L25" s="245"/>
      <c r="M25" s="245"/>
      <c r="N25" s="245"/>
      <c r="O25" s="296"/>
      <c r="P25" s="180"/>
      <c r="Q25" s="185"/>
      <c r="R25" s="182"/>
      <c r="S25" s="182"/>
      <c r="T25" s="182"/>
      <c r="U25" s="285"/>
      <c r="V25" s="285"/>
    </row>
    <row r="26" spans="1:22" s="284" customFormat="1" x14ac:dyDescent="0.2">
      <c r="A26" s="284" t="s">
        <v>84</v>
      </c>
      <c r="B26" s="287">
        <v>166163</v>
      </c>
      <c r="C26" s="295">
        <f>798043/1089915*902646</f>
        <v>660923.39473995683</v>
      </c>
      <c r="D26" s="295">
        <v>1017119</v>
      </c>
      <c r="E26" s="295">
        <v>1275890.785433762</v>
      </c>
      <c r="F26" s="295">
        <v>5820959.3787658745</v>
      </c>
      <c r="G26" s="513">
        <v>2928491.1141803381</v>
      </c>
      <c r="H26" s="295">
        <f>+H21/4776921*2429963</f>
        <v>2541899.8225160097</v>
      </c>
      <c r="I26" s="295">
        <v>4076130</v>
      </c>
      <c r="J26" s="257">
        <v>7035714</v>
      </c>
      <c r="K26" s="747">
        <v>10740462</v>
      </c>
      <c r="L26" s="747">
        <f>'2016 Summary Table B'!$F$11+'2016 Summary Table B'!$F$15</f>
        <v>9124197.4589808136</v>
      </c>
      <c r="M26" s="747">
        <f>'2017 Summary Table B'!$F$11+'2017 Summary Table B'!$F$15</f>
        <v>7166442.358016016</v>
      </c>
      <c r="N26" s="747" t="e">
        <f>'2019 Summary Table B'!$F$11+'2019 Summary Table B'!$F$15</f>
        <v>#REF!</v>
      </c>
      <c r="O26" s="296" t="s">
        <v>67</v>
      </c>
      <c r="P26" s="180"/>
      <c r="Q26" s="185"/>
      <c r="R26" s="185"/>
      <c r="S26" s="185"/>
      <c r="T26" s="185"/>
      <c r="U26" s="285"/>
      <c r="V26" s="285"/>
    </row>
    <row r="27" spans="1:22" s="284" customFormat="1" x14ac:dyDescent="0.2">
      <c r="A27" s="284" t="s">
        <v>85</v>
      </c>
      <c r="B27" s="306">
        <f t="shared" ref="B27:L27" si="3">SUM(B26/B15)</f>
        <v>3.1931088819708675</v>
      </c>
      <c r="C27" s="306">
        <f t="shared" si="3"/>
        <v>1.5458677620911088</v>
      </c>
      <c r="D27" s="306">
        <f t="shared" si="3"/>
        <v>1.2790476146163579</v>
      </c>
      <c r="E27" s="306">
        <f t="shared" si="3"/>
        <v>2.4553776969032901</v>
      </c>
      <c r="F27" s="306">
        <f t="shared" si="3"/>
        <v>4.2563945508043437</v>
      </c>
      <c r="G27" s="306">
        <f t="shared" si="3"/>
        <v>1.9295290969985548</v>
      </c>
      <c r="H27" s="306">
        <f t="shared" si="3"/>
        <v>1.6421453792109959</v>
      </c>
      <c r="I27" s="306">
        <f t="shared" si="3"/>
        <v>2.0240974105336496</v>
      </c>
      <c r="J27" s="529">
        <f>SUM(J26/J15)</f>
        <v>1.5346942892043458</v>
      </c>
      <c r="K27" s="271">
        <f t="shared" si="3"/>
        <v>1.8965439181123807</v>
      </c>
      <c r="L27" s="271">
        <f t="shared" si="3"/>
        <v>1.614049501349422</v>
      </c>
      <c r="M27" s="271">
        <f>SUM(M26/M15)</f>
        <v>1.3262751191246749</v>
      </c>
      <c r="N27" s="271" t="e">
        <f>SUM(N26/N15)</f>
        <v>#REF!</v>
      </c>
      <c r="O27" s="296" t="s">
        <v>68</v>
      </c>
      <c r="P27" s="180"/>
      <c r="Q27" s="185"/>
      <c r="R27" s="183"/>
      <c r="S27" s="185"/>
      <c r="T27" s="183"/>
      <c r="U27" s="285"/>
      <c r="V27" s="285"/>
    </row>
    <row r="28" spans="1:22" s="284" customFormat="1" x14ac:dyDescent="0.2">
      <c r="A28" s="284" t="s">
        <v>63</v>
      </c>
      <c r="B28" s="284">
        <v>366</v>
      </c>
      <c r="C28" s="302">
        <v>988</v>
      </c>
      <c r="D28" s="267">
        <v>1918</v>
      </c>
      <c r="E28" s="307">
        <v>1064</v>
      </c>
      <c r="F28" s="307">
        <v>3251</v>
      </c>
      <c r="G28" s="307">
        <v>1895</v>
      </c>
      <c r="H28" s="307">
        <v>2709</v>
      </c>
      <c r="I28" s="307">
        <v>4543</v>
      </c>
      <c r="J28" s="534">
        <v>3161</v>
      </c>
      <c r="K28" s="506">
        <v>4634</v>
      </c>
      <c r="L28" s="506" t="e">
        <f>'2016 Summary Table B'!#REF!+'2016 Summary Table B'!$K$11</f>
        <v>#REF!</v>
      </c>
      <c r="M28" s="506">
        <f>'2017 Summary Table B'!$K$11+'2017 Summary Table B'!$K$15</f>
        <v>6429.5704630842283</v>
      </c>
      <c r="N28" s="506" t="e">
        <f>'2019 Summary Table B'!$K$11+'2019 Summary Table B'!$K$15</f>
        <v>#REF!</v>
      </c>
      <c r="O28" s="296" t="s">
        <v>69</v>
      </c>
      <c r="P28" s="180"/>
      <c r="Q28" s="185"/>
      <c r="R28" s="183"/>
      <c r="S28" s="183"/>
      <c r="T28" s="183"/>
      <c r="U28" s="285"/>
      <c r="V28" s="285"/>
    </row>
    <row r="29" spans="1:22" s="284" customFormat="1" x14ac:dyDescent="0.2">
      <c r="A29" s="284" t="s">
        <v>74</v>
      </c>
      <c r="B29" s="301">
        <f t="shared" ref="B29:L29" si="4">SUM(B21/B28)</f>
        <v>583.60382513661204</v>
      </c>
      <c r="C29" s="301">
        <f t="shared" si="4"/>
        <v>913.60931174089069</v>
      </c>
      <c r="D29" s="301">
        <f t="shared" si="4"/>
        <v>1027.4713242961418</v>
      </c>
      <c r="E29" s="308">
        <f t="shared" si="4"/>
        <v>1333.4765037593984</v>
      </c>
      <c r="F29" s="308">
        <f t="shared" si="4"/>
        <v>1665.4404798523531</v>
      </c>
      <c r="G29" s="308">
        <f t="shared" si="4"/>
        <v>1802.4526121372032</v>
      </c>
      <c r="H29" s="308">
        <f t="shared" si="4"/>
        <v>1844.5813953488373</v>
      </c>
      <c r="I29" s="308">
        <f t="shared" si="4"/>
        <v>1642.2586396654194</v>
      </c>
      <c r="J29" s="282">
        <f>SUM(J21/J28)</f>
        <v>3806.6459981018666</v>
      </c>
      <c r="K29" s="266">
        <f t="shared" si="4"/>
        <v>2492.5604229607252</v>
      </c>
      <c r="L29" s="266" t="e">
        <f t="shared" si="4"/>
        <v>#REF!</v>
      </c>
      <c r="M29" s="266">
        <f>SUM(M21/M28)</f>
        <v>1782.3797980456425</v>
      </c>
      <c r="N29" s="266" t="e">
        <f>SUM(N21/N28)</f>
        <v>#REF!</v>
      </c>
      <c r="O29" s="296" t="s">
        <v>70</v>
      </c>
      <c r="P29" s="180"/>
      <c r="Q29" s="185"/>
      <c r="R29" s="182"/>
      <c r="S29" s="182"/>
      <c r="T29" s="182"/>
      <c r="U29" s="285"/>
      <c r="V29" s="285"/>
    </row>
    <row r="30" spans="1:22" s="284" customFormat="1" x14ac:dyDescent="0.2">
      <c r="A30" s="284" t="s">
        <v>71</v>
      </c>
      <c r="B30" s="295">
        <f t="shared" ref="B30:L30" si="5">SUM(B15/B28)</f>
        <v>142.18032786885246</v>
      </c>
      <c r="C30" s="295">
        <f t="shared" si="5"/>
        <v>432.73481781376518</v>
      </c>
      <c r="D30" s="295">
        <f t="shared" si="5"/>
        <v>414.60683003128253</v>
      </c>
      <c r="E30" s="295">
        <f t="shared" si="5"/>
        <v>488.3751597744361</v>
      </c>
      <c r="F30" s="295">
        <f t="shared" si="5"/>
        <v>420.66436173485067</v>
      </c>
      <c r="G30" s="295">
        <f t="shared" si="5"/>
        <v>800.90935092348263</v>
      </c>
      <c r="H30" s="295">
        <f t="shared" si="5"/>
        <v>571.39682539682542</v>
      </c>
      <c r="I30" s="295">
        <f t="shared" si="5"/>
        <v>443.27565521691946</v>
      </c>
      <c r="J30" s="530">
        <f t="shared" si="5"/>
        <v>1450.3132152799744</v>
      </c>
      <c r="K30" s="257">
        <f t="shared" si="5"/>
        <v>1222.092360811394</v>
      </c>
      <c r="L30" s="257" t="e">
        <f t="shared" si="5"/>
        <v>#REF!</v>
      </c>
      <c r="M30" s="257">
        <f>SUM(M15/M28)</f>
        <v>840.40384262621376</v>
      </c>
      <c r="N30" s="257" t="e">
        <f>SUM(N15/N28)</f>
        <v>#REF!</v>
      </c>
      <c r="O30" s="296" t="s">
        <v>72</v>
      </c>
      <c r="P30" s="180"/>
      <c r="Q30" s="185"/>
      <c r="R30" s="182"/>
      <c r="S30" s="182"/>
      <c r="T30" s="182"/>
      <c r="U30" s="285"/>
      <c r="V30" s="285"/>
    </row>
    <row r="31" spans="1:22" s="284" customFormat="1" x14ac:dyDescent="0.2">
      <c r="A31" s="284" t="s">
        <v>62</v>
      </c>
      <c r="B31" s="295">
        <f t="shared" ref="B31:L31" si="6">SUM(B26/B28)</f>
        <v>453.99726775956282</v>
      </c>
      <c r="C31" s="295">
        <f t="shared" si="6"/>
        <v>668.95080439266883</v>
      </c>
      <c r="D31" s="295">
        <f t="shared" si="6"/>
        <v>530.30187695516167</v>
      </c>
      <c r="E31" s="295">
        <f t="shared" si="6"/>
        <v>1199.1454750317312</v>
      </c>
      <c r="F31" s="295">
        <f t="shared" si="6"/>
        <v>1790.5134970058057</v>
      </c>
      <c r="G31" s="295">
        <f t="shared" si="6"/>
        <v>1545.3778966650862</v>
      </c>
      <c r="H31" s="295">
        <f t="shared" si="6"/>
        <v>938.31665652122911</v>
      </c>
      <c r="I31" s="295">
        <f t="shared" si="6"/>
        <v>897.23310587717367</v>
      </c>
      <c r="J31" s="530">
        <f t="shared" si="6"/>
        <v>2225.7874090477699</v>
      </c>
      <c r="K31" s="257">
        <f t="shared" si="6"/>
        <v>2317.7518342684507</v>
      </c>
      <c r="L31" s="257" t="e">
        <f t="shared" si="6"/>
        <v>#REF!</v>
      </c>
      <c r="M31" s="257">
        <f>SUM(M26/M28)</f>
        <v>1114.6067064919162</v>
      </c>
      <c r="N31" s="257" t="e">
        <f>SUM(N26/N28)</f>
        <v>#REF!</v>
      </c>
      <c r="O31" s="296" t="s">
        <v>73</v>
      </c>
      <c r="P31" s="285"/>
      <c r="Q31" s="285"/>
      <c r="R31" s="285"/>
      <c r="S31" s="285"/>
      <c r="T31" s="285"/>
      <c r="U31" s="285"/>
      <c r="V31" s="285"/>
    </row>
    <row r="32" spans="1:22" s="284" customFormat="1" ht="14.25" x14ac:dyDescent="0.2">
      <c r="A32" s="704" t="s">
        <v>324</v>
      </c>
      <c r="B32" s="945">
        <f t="shared" ref="B32:L32" si="7">B12/B21</f>
        <v>0.14118043623799736</v>
      </c>
      <c r="C32" s="945">
        <f t="shared" si="7"/>
        <v>0.28286836700101703</v>
      </c>
      <c r="D32" s="945">
        <f t="shared" si="7"/>
        <v>0.22525054676280898</v>
      </c>
      <c r="E32" s="945">
        <f t="shared" si="7"/>
        <v>0.2211279592393392</v>
      </c>
      <c r="F32" s="945">
        <f t="shared" si="7"/>
        <v>0.17860784135187494</v>
      </c>
      <c r="G32" s="945">
        <f t="shared" si="7"/>
        <v>0.31511521519037211</v>
      </c>
      <c r="H32" s="945">
        <f t="shared" si="7"/>
        <v>0.26836817744189428</v>
      </c>
      <c r="I32" s="945">
        <f t="shared" si="7"/>
        <v>0.24227787702794989</v>
      </c>
      <c r="J32" s="945">
        <f t="shared" si="7"/>
        <v>0.3535300375024682</v>
      </c>
      <c r="K32" s="945">
        <f t="shared" si="7"/>
        <v>0.43718887236727333</v>
      </c>
      <c r="L32" s="945">
        <f t="shared" si="7"/>
        <v>0.35638266701342913</v>
      </c>
      <c r="M32" s="945">
        <f>M12/M21</f>
        <v>0.40366355626789069</v>
      </c>
      <c r="N32" s="945" t="e">
        <f>N12/N21</f>
        <v>#REF!</v>
      </c>
      <c r="O32" s="557" t="s">
        <v>328</v>
      </c>
      <c r="P32" s="285"/>
      <c r="Q32" s="285"/>
      <c r="R32" s="285"/>
      <c r="S32" s="285"/>
      <c r="T32" s="285"/>
      <c r="U32" s="285"/>
      <c r="V32" s="285"/>
    </row>
    <row r="33" spans="1:22" s="284" customFormat="1" ht="14.25" x14ac:dyDescent="0.2">
      <c r="A33" s="704" t="s">
        <v>325</v>
      </c>
      <c r="B33" s="946">
        <f t="shared" ref="B33:L33" si="8">B13/B21</f>
        <v>4.52717475269079E-3</v>
      </c>
      <c r="C33" s="946">
        <f t="shared" si="8"/>
        <v>7.9100777048809832E-3</v>
      </c>
      <c r="D33" s="946">
        <f t="shared" si="8"/>
        <v>3.6075942943842002E-3</v>
      </c>
      <c r="E33" s="946">
        <f t="shared" si="8"/>
        <v>7.2647250988321973E-3</v>
      </c>
      <c r="F33" s="946">
        <f t="shared" si="8"/>
        <v>2.7123178473784557E-3</v>
      </c>
      <c r="G33" s="946">
        <f t="shared" si="8"/>
        <v>3.2387737177929678E-3</v>
      </c>
      <c r="H33" s="946">
        <f t="shared" si="8"/>
        <v>2.7538682934121492E-3</v>
      </c>
      <c r="I33" s="946">
        <f t="shared" si="8"/>
        <v>2.9551999984988165E-3</v>
      </c>
      <c r="J33" s="946">
        <f t="shared" si="8"/>
        <v>1.1265217561852562E-3</v>
      </c>
      <c r="K33" s="946">
        <f t="shared" si="8"/>
        <v>4.3288075650241009E-3</v>
      </c>
      <c r="L33" s="946">
        <f t="shared" si="8"/>
        <v>5.1625965247297538E-3</v>
      </c>
      <c r="M33" s="946">
        <f>M13/M21</f>
        <v>1.0907564798608563E-2</v>
      </c>
      <c r="N33" s="946" t="e">
        <f>N13/N21</f>
        <v>#REF!</v>
      </c>
      <c r="O33" s="557" t="s">
        <v>329</v>
      </c>
      <c r="P33" s="285"/>
      <c r="Q33" s="285"/>
      <c r="R33" s="285"/>
      <c r="S33" s="285"/>
      <c r="T33" s="285"/>
      <c r="U33" s="285"/>
      <c r="V33" s="285"/>
    </row>
    <row r="34" spans="1:22" s="284" customFormat="1" x14ac:dyDescent="0.2">
      <c r="A34" s="247"/>
      <c r="B34" s="300"/>
      <c r="C34" s="250"/>
      <c r="D34" s="250"/>
      <c r="I34" s="296"/>
      <c r="J34" s="245"/>
      <c r="K34" s="296"/>
      <c r="L34" s="296"/>
      <c r="M34" s="296"/>
      <c r="N34" s="296"/>
      <c r="P34" s="185"/>
      <c r="Q34" s="182"/>
      <c r="R34" s="182"/>
      <c r="S34" s="182"/>
      <c r="T34" s="285"/>
    </row>
    <row r="35" spans="1:22" s="284" customFormat="1" x14ac:dyDescent="0.2">
      <c r="A35" s="248" t="s">
        <v>194</v>
      </c>
      <c r="B35" s="304"/>
      <c r="C35" s="285"/>
      <c r="G35" s="276" t="s">
        <v>191</v>
      </c>
      <c r="H35" s="276"/>
      <c r="I35" s="276"/>
      <c r="K35" s="296"/>
      <c r="L35" s="296"/>
      <c r="M35" s="296"/>
      <c r="N35" s="296"/>
      <c r="P35" s="185"/>
      <c r="Q35" s="182"/>
      <c r="R35" s="182"/>
      <c r="S35" s="182"/>
      <c r="T35" s="285"/>
    </row>
    <row r="36" spans="1:22" s="284" customFormat="1" x14ac:dyDescent="0.2">
      <c r="A36" s="273" t="s">
        <v>185</v>
      </c>
      <c r="B36" s="250" t="s">
        <v>1</v>
      </c>
      <c r="C36" s="250" t="s">
        <v>186</v>
      </c>
      <c r="D36" s="250" t="s">
        <v>18</v>
      </c>
      <c r="G36" s="273" t="s">
        <v>185</v>
      </c>
      <c r="H36" s="250" t="s">
        <v>188</v>
      </c>
      <c r="I36" s="250" t="s">
        <v>186</v>
      </c>
      <c r="J36" s="250" t="s">
        <v>189</v>
      </c>
      <c r="K36" s="296"/>
      <c r="L36" s="296"/>
      <c r="M36" s="296"/>
      <c r="N36" s="296"/>
    </row>
    <row r="37" spans="1:22" s="284" customFormat="1" x14ac:dyDescent="0.2">
      <c r="A37" s="273">
        <v>2006</v>
      </c>
      <c r="B37" s="274">
        <v>430651</v>
      </c>
      <c r="C37" s="274">
        <f>B15</f>
        <v>52038</v>
      </c>
      <c r="D37" s="275">
        <f t="shared" ref="D37:D45" si="9">IF(ISERROR(C37/B37),"-",(C37/B37))</f>
        <v>0.12083566507450348</v>
      </c>
      <c r="G37" s="273">
        <v>2006</v>
      </c>
      <c r="H37" s="278">
        <v>76687</v>
      </c>
      <c r="I37" s="278">
        <v>14163</v>
      </c>
      <c r="J37" s="275">
        <f t="shared" ref="J37:J45" si="10">IF(ISERROR(I37/H37),"-",(I37/H37))</f>
        <v>0.18468580072241711</v>
      </c>
      <c r="K37" s="296"/>
      <c r="L37" s="296"/>
      <c r="M37" s="296"/>
      <c r="N37" s="296"/>
    </row>
    <row r="38" spans="1:22" s="284" customFormat="1" x14ac:dyDescent="0.2">
      <c r="A38" s="273">
        <v>2007</v>
      </c>
      <c r="B38" s="274">
        <v>430000</v>
      </c>
      <c r="C38" s="274">
        <f>C15</f>
        <v>427542</v>
      </c>
      <c r="D38" s="275">
        <f t="shared" si="9"/>
        <v>0.99428372093023254</v>
      </c>
      <c r="G38" s="273">
        <v>2007</v>
      </c>
      <c r="H38" s="278">
        <v>46279</v>
      </c>
      <c r="I38" s="278">
        <f>C20</f>
        <v>57353</v>
      </c>
      <c r="J38" s="275">
        <f t="shared" si="10"/>
        <v>1.2392877979213035</v>
      </c>
      <c r="K38" s="296"/>
      <c r="L38" s="296"/>
      <c r="M38" s="296"/>
      <c r="N38" s="296"/>
    </row>
    <row r="39" spans="1:22" s="284" customFormat="1" x14ac:dyDescent="0.2">
      <c r="A39" s="273">
        <v>2008</v>
      </c>
      <c r="B39" s="274">
        <v>430000</v>
      </c>
      <c r="C39" s="274">
        <f>D15</f>
        <v>795215.89999999991</v>
      </c>
      <c r="D39" s="275">
        <f t="shared" si="9"/>
        <v>1.8493393023255811</v>
      </c>
      <c r="G39" s="273">
        <v>2008</v>
      </c>
      <c r="H39" s="278">
        <v>59495</v>
      </c>
      <c r="I39" s="278">
        <v>104456</v>
      </c>
      <c r="J39" s="275">
        <f t="shared" si="10"/>
        <v>1.7557105639129338</v>
      </c>
      <c r="K39" s="296"/>
      <c r="L39" s="296"/>
      <c r="M39" s="296"/>
      <c r="N39" s="296"/>
    </row>
    <row r="40" spans="1:22" s="284" customFormat="1" x14ac:dyDescent="0.2">
      <c r="A40" s="273">
        <v>2009</v>
      </c>
      <c r="B40" s="274">
        <v>700000</v>
      </c>
      <c r="C40" s="274">
        <v>519631.17</v>
      </c>
      <c r="D40" s="275">
        <f t="shared" si="9"/>
        <v>0.74233024285714289</v>
      </c>
      <c r="G40" s="273">
        <v>2009</v>
      </c>
      <c r="H40" s="278">
        <v>120531.01543112575</v>
      </c>
      <c r="I40" s="278">
        <v>68203</v>
      </c>
      <c r="J40" s="275">
        <f t="shared" si="10"/>
        <v>0.56585435504750059</v>
      </c>
      <c r="K40" s="296"/>
      <c r="L40" s="296"/>
      <c r="M40" s="296"/>
      <c r="N40" s="296"/>
    </row>
    <row r="41" spans="1:22" s="284" customFormat="1" x14ac:dyDescent="0.2">
      <c r="A41" s="273">
        <v>2010</v>
      </c>
      <c r="B41" s="274">
        <v>1087343</v>
      </c>
      <c r="C41" s="287">
        <v>1367579.84</v>
      </c>
      <c r="D41" s="275">
        <f t="shared" si="9"/>
        <v>1.2577262556525404</v>
      </c>
      <c r="G41" s="273">
        <v>2010</v>
      </c>
      <c r="H41" s="278">
        <v>123219</v>
      </c>
      <c r="I41" s="278">
        <v>266670</v>
      </c>
      <c r="J41" s="275">
        <f t="shared" si="10"/>
        <v>2.1641954568694763</v>
      </c>
      <c r="K41" s="296"/>
      <c r="L41" s="296"/>
      <c r="M41" s="296"/>
      <c r="N41" s="296"/>
    </row>
    <row r="42" spans="1:22" s="284" customFormat="1" x14ac:dyDescent="0.2">
      <c r="A42" s="273">
        <v>2011</v>
      </c>
      <c r="B42" s="274">
        <v>1500000</v>
      </c>
      <c r="C42" s="287">
        <v>1517723.2199999995</v>
      </c>
      <c r="D42" s="275">
        <f t="shared" si="9"/>
        <v>1.0118154799999997</v>
      </c>
      <c r="G42" s="273">
        <v>2011</v>
      </c>
      <c r="H42" s="278">
        <v>231251</v>
      </c>
      <c r="I42" s="278">
        <v>195660.73499999999</v>
      </c>
      <c r="J42" s="275">
        <f t="shared" si="10"/>
        <v>0.8460968168786297</v>
      </c>
      <c r="K42" s="296"/>
      <c r="L42" s="296"/>
      <c r="M42" s="296"/>
      <c r="N42" s="296"/>
    </row>
    <row r="43" spans="1:22" s="284" customFormat="1" x14ac:dyDescent="0.2">
      <c r="A43" s="273">
        <v>2012</v>
      </c>
      <c r="B43" s="274">
        <v>1815345</v>
      </c>
      <c r="C43" s="274">
        <f>+H15</f>
        <v>1547914</v>
      </c>
      <c r="D43" s="275">
        <f t="shared" si="9"/>
        <v>0.85268309880491033</v>
      </c>
      <c r="G43" s="273">
        <v>2012</v>
      </c>
      <c r="H43" s="278">
        <v>242255</v>
      </c>
      <c r="I43" s="278">
        <f>+H20</f>
        <v>269314</v>
      </c>
      <c r="J43" s="275">
        <f t="shared" si="10"/>
        <v>1.1116963530164496</v>
      </c>
      <c r="K43" s="296"/>
      <c r="L43" s="296"/>
      <c r="M43" s="296"/>
      <c r="N43" s="296"/>
    </row>
    <row r="44" spans="1:22" s="284" customFormat="1" x14ac:dyDescent="0.2">
      <c r="A44" s="273">
        <v>2013</v>
      </c>
      <c r="B44" s="274">
        <v>1905430</v>
      </c>
      <c r="C44" s="274">
        <f>I15</f>
        <v>2013801.3016504652</v>
      </c>
      <c r="D44" s="275">
        <f t="shared" si="9"/>
        <v>1.0568749844656928</v>
      </c>
      <c r="G44" s="273">
        <v>2013</v>
      </c>
      <c r="H44" s="278">
        <v>252894</v>
      </c>
      <c r="I44" s="278">
        <f>I20</f>
        <v>402701</v>
      </c>
      <c r="J44" s="275">
        <f t="shared" si="10"/>
        <v>1.5923707165848142</v>
      </c>
      <c r="K44" s="296"/>
      <c r="L44" s="296"/>
      <c r="M44" s="296"/>
      <c r="N44" s="296"/>
    </row>
    <row r="45" spans="1:22" s="284" customFormat="1" x14ac:dyDescent="0.2">
      <c r="A45" s="273">
        <v>2014</v>
      </c>
      <c r="B45" s="274">
        <v>3683774</v>
      </c>
      <c r="C45" s="274">
        <f>J15</f>
        <v>4584440.073499999</v>
      </c>
      <c r="D45" s="275">
        <f t="shared" si="9"/>
        <v>1.2444954748852668</v>
      </c>
      <c r="G45" s="273">
        <v>2014</v>
      </c>
      <c r="H45" s="278">
        <v>451790</v>
      </c>
      <c r="I45" s="278">
        <f>J20</f>
        <v>606608</v>
      </c>
      <c r="J45" s="275">
        <f t="shared" si="10"/>
        <v>1.342676907412736</v>
      </c>
      <c r="K45" s="296"/>
      <c r="L45" s="296"/>
      <c r="M45" s="296"/>
      <c r="N45" s="296"/>
    </row>
    <row r="46" spans="1:22" s="284" customFormat="1" x14ac:dyDescent="0.2">
      <c r="A46" s="273">
        <v>2015</v>
      </c>
      <c r="B46" s="274">
        <f>K15</f>
        <v>5663176</v>
      </c>
      <c r="C46" s="274"/>
      <c r="D46" s="275"/>
      <c r="G46" s="273">
        <v>2015</v>
      </c>
      <c r="H46" s="278">
        <f>K20</f>
        <v>592063</v>
      </c>
      <c r="I46" s="278"/>
      <c r="J46" s="275"/>
      <c r="K46" s="296"/>
      <c r="L46" s="296"/>
      <c r="M46" s="296"/>
      <c r="N46" s="296"/>
    </row>
    <row r="47" spans="1:22" s="284" customFormat="1" x14ac:dyDescent="0.2">
      <c r="A47" s="273">
        <v>2016</v>
      </c>
      <c r="B47" s="274">
        <f>L15</f>
        <v>5652984.9000000004</v>
      </c>
      <c r="C47" s="274"/>
      <c r="D47" s="275"/>
      <c r="G47" s="273">
        <v>2016</v>
      </c>
      <c r="H47" s="278">
        <f>L20</f>
        <v>723067.09168365784</v>
      </c>
      <c r="I47" s="278"/>
      <c r="J47" s="275"/>
      <c r="K47" s="296"/>
      <c r="L47" s="296"/>
      <c r="M47" s="296"/>
      <c r="N47" s="296"/>
    </row>
    <row r="48" spans="1:22" s="284" customFormat="1" x14ac:dyDescent="0.2">
      <c r="A48" s="273">
        <v>2017</v>
      </c>
      <c r="B48" s="274">
        <f>M15</f>
        <v>5403435.72361199</v>
      </c>
      <c r="C48" s="274"/>
      <c r="D48" s="275"/>
      <c r="G48" s="273">
        <v>2017</v>
      </c>
      <c r="H48" s="278">
        <f>M20</f>
        <v>574195.88471022679</v>
      </c>
      <c r="I48" s="278"/>
      <c r="J48" s="275"/>
      <c r="K48" s="296"/>
      <c r="L48" s="296"/>
      <c r="M48" s="296"/>
      <c r="N48" s="296"/>
    </row>
    <row r="49" spans="1:14" s="284" customFormat="1" x14ac:dyDescent="0.2">
      <c r="A49" s="273">
        <v>2018</v>
      </c>
      <c r="B49" s="274">
        <f>N15</f>
        <v>5060694.34146789</v>
      </c>
      <c r="C49" s="274"/>
      <c r="D49" s="275"/>
      <c r="G49" s="273">
        <v>2018</v>
      </c>
      <c r="H49" s="278" t="e">
        <f>N20</f>
        <v>#REF!</v>
      </c>
      <c r="I49" s="278"/>
      <c r="J49" s="275"/>
      <c r="K49" s="296"/>
      <c r="L49" s="296"/>
      <c r="M49" s="296"/>
      <c r="N49" s="296"/>
    </row>
    <row r="50" spans="1:14" s="284" customFormat="1" x14ac:dyDescent="0.2">
      <c r="A50" s="273"/>
      <c r="B50" s="274"/>
      <c r="C50" s="274"/>
      <c r="D50" s="275"/>
      <c r="G50" s="273"/>
      <c r="H50" s="279" t="s">
        <v>3</v>
      </c>
      <c r="I50" s="279"/>
      <c r="J50" s="279"/>
      <c r="K50" s="296"/>
      <c r="L50" s="296"/>
      <c r="M50" s="296"/>
      <c r="N50" s="296"/>
    </row>
    <row r="51" spans="1:14" s="284" customFormat="1" x14ac:dyDescent="0.2">
      <c r="A51" s="276" t="s">
        <v>193</v>
      </c>
      <c r="B51" s="277"/>
      <c r="C51" s="277"/>
      <c r="D51" s="285"/>
      <c r="G51" s="276" t="s">
        <v>190</v>
      </c>
      <c r="H51" s="276"/>
      <c r="I51" s="276"/>
      <c r="J51" s="276"/>
      <c r="K51" s="296"/>
      <c r="L51" s="296"/>
      <c r="M51" s="296"/>
      <c r="N51" s="296"/>
    </row>
    <row r="52" spans="1:14" s="284" customFormat="1" x14ac:dyDescent="0.2">
      <c r="A52" s="273" t="s">
        <v>185</v>
      </c>
      <c r="B52" s="250" t="s">
        <v>188</v>
      </c>
      <c r="C52" s="250" t="s">
        <v>186</v>
      </c>
      <c r="D52" s="250" t="s">
        <v>189</v>
      </c>
      <c r="G52" s="273" t="s">
        <v>185</v>
      </c>
      <c r="H52" s="250" t="s">
        <v>188</v>
      </c>
      <c r="I52" s="250" t="s">
        <v>186</v>
      </c>
      <c r="J52" s="250" t="s">
        <v>189</v>
      </c>
      <c r="K52" s="296"/>
      <c r="L52" s="296"/>
      <c r="M52" s="296"/>
      <c r="N52" s="296"/>
    </row>
    <row r="53" spans="1:14" s="284" customFormat="1" x14ac:dyDescent="0.2">
      <c r="A53" s="273">
        <v>2006</v>
      </c>
      <c r="B53" s="278">
        <v>957</v>
      </c>
      <c r="C53" s="278">
        <v>366</v>
      </c>
      <c r="D53" s="275">
        <f t="shared" ref="D53:D61" si="11">IF(ISERROR(C53/B53),"-",(C53/B53))</f>
        <v>0.38244514106583072</v>
      </c>
      <c r="G53" s="273">
        <v>2006</v>
      </c>
      <c r="H53" s="278">
        <v>1380365</v>
      </c>
      <c r="I53" s="278">
        <v>213599</v>
      </c>
      <c r="J53" s="275">
        <f t="shared" ref="J53:J61" si="12">IF(ISERROR(I53/H53),"-",(I53/H53))</f>
        <v>0.15474095619636835</v>
      </c>
      <c r="K53" s="296"/>
      <c r="L53" s="296"/>
      <c r="M53" s="296"/>
      <c r="N53" s="296"/>
    </row>
    <row r="54" spans="1:14" s="284" customFormat="1" x14ac:dyDescent="0.2">
      <c r="A54" s="273">
        <v>2007</v>
      </c>
      <c r="B54" s="278">
        <v>1070</v>
      </c>
      <c r="C54" s="278">
        <f>C28</f>
        <v>988</v>
      </c>
      <c r="D54" s="275">
        <f t="shared" si="11"/>
        <v>0.92336448598130838</v>
      </c>
      <c r="G54" s="273">
        <v>2007</v>
      </c>
      <c r="H54" s="278">
        <v>1089915</v>
      </c>
      <c r="I54" s="278">
        <f>C21</f>
        <v>902646</v>
      </c>
      <c r="J54" s="275">
        <f t="shared" si="12"/>
        <v>0.82818017918828535</v>
      </c>
      <c r="K54" s="296"/>
      <c r="L54" s="296"/>
      <c r="M54" s="296"/>
      <c r="N54" s="296"/>
    </row>
    <row r="55" spans="1:14" s="284" customFormat="1" x14ac:dyDescent="0.2">
      <c r="A55" s="273">
        <v>2008</v>
      </c>
      <c r="B55" s="278">
        <v>1092</v>
      </c>
      <c r="C55" s="278">
        <v>1918</v>
      </c>
      <c r="D55" s="275">
        <f t="shared" si="11"/>
        <v>1.7564102564102564</v>
      </c>
      <c r="G55" s="273">
        <v>2008</v>
      </c>
      <c r="H55" s="278">
        <v>1070910</v>
      </c>
      <c r="I55" s="509">
        <v>1970690</v>
      </c>
      <c r="J55" s="275">
        <f t="shared" si="12"/>
        <v>1.8402013241075348</v>
      </c>
      <c r="K55" s="296"/>
      <c r="L55" s="296"/>
      <c r="M55" s="296"/>
      <c r="N55" s="296"/>
    </row>
    <row r="56" spans="1:14" s="284" customFormat="1" x14ac:dyDescent="0.2">
      <c r="A56" s="273">
        <v>2009</v>
      </c>
      <c r="B56" s="278">
        <v>1740</v>
      </c>
      <c r="C56" s="278">
        <v>1064</v>
      </c>
      <c r="D56" s="275">
        <f t="shared" si="11"/>
        <v>0.61149425287356318</v>
      </c>
      <c r="G56" s="273">
        <v>2009</v>
      </c>
      <c r="H56" s="278">
        <v>2357898.2146931309</v>
      </c>
      <c r="I56" s="278">
        <v>1418819</v>
      </c>
      <c r="J56" s="275">
        <f t="shared" si="12"/>
        <v>0.60173038478026608</v>
      </c>
      <c r="K56" s="296"/>
      <c r="L56" s="296"/>
      <c r="M56" s="296"/>
      <c r="N56" s="296"/>
    </row>
    <row r="57" spans="1:14" s="284" customFormat="1" x14ac:dyDescent="0.2">
      <c r="A57" s="273">
        <v>2010</v>
      </c>
      <c r="B57" s="278">
        <v>1895</v>
      </c>
      <c r="C57" s="278">
        <v>3251</v>
      </c>
      <c r="D57" s="275">
        <f t="shared" si="11"/>
        <v>1.7155672823218997</v>
      </c>
      <c r="G57" s="273">
        <v>2010</v>
      </c>
      <c r="H57" s="278">
        <v>2556743</v>
      </c>
      <c r="I57" s="278">
        <v>5414347</v>
      </c>
      <c r="J57" s="275">
        <f t="shared" si="12"/>
        <v>2.117673540125073</v>
      </c>
      <c r="K57" s="296"/>
      <c r="L57" s="296"/>
      <c r="M57" s="296"/>
      <c r="N57" s="296"/>
    </row>
    <row r="58" spans="1:14" s="284" customFormat="1" x14ac:dyDescent="0.2">
      <c r="A58" s="273">
        <v>2011</v>
      </c>
      <c r="B58" s="278">
        <v>1963</v>
      </c>
      <c r="C58" s="278">
        <v>1895</v>
      </c>
      <c r="D58" s="275">
        <f t="shared" si="11"/>
        <v>0.96535914416709123</v>
      </c>
      <c r="G58" s="273">
        <v>2011</v>
      </c>
      <c r="H58" s="278">
        <v>4325856</v>
      </c>
      <c r="I58" s="278">
        <v>3415647.7</v>
      </c>
      <c r="J58" s="275">
        <f t="shared" si="12"/>
        <v>0.78958885825140734</v>
      </c>
      <c r="K58" s="296"/>
      <c r="L58" s="296"/>
      <c r="M58" s="296"/>
      <c r="N58" s="296"/>
    </row>
    <row r="59" spans="1:14" s="284" customFormat="1" x14ac:dyDescent="0.2">
      <c r="A59" s="273">
        <v>2012</v>
      </c>
      <c r="B59" s="278">
        <v>2029</v>
      </c>
      <c r="C59" s="278">
        <f>+H28</f>
        <v>2709</v>
      </c>
      <c r="D59" s="275">
        <f t="shared" si="11"/>
        <v>1.3351404632824051</v>
      </c>
      <c r="G59" s="273">
        <v>2012</v>
      </c>
      <c r="H59" s="278">
        <v>4776921</v>
      </c>
      <c r="I59" s="278">
        <f>+H21</f>
        <v>4996971</v>
      </c>
      <c r="J59" s="275">
        <f t="shared" si="12"/>
        <v>1.0460652374196684</v>
      </c>
      <c r="K59" s="296"/>
      <c r="L59" s="296"/>
      <c r="M59" s="296"/>
      <c r="N59" s="296"/>
    </row>
    <row r="60" spans="1:14" s="284" customFormat="1" x14ac:dyDescent="0.2">
      <c r="A60" s="273">
        <v>2013</v>
      </c>
      <c r="B60" s="278">
        <v>2426</v>
      </c>
      <c r="C60" s="278">
        <f>I28</f>
        <v>4543</v>
      </c>
      <c r="D60" s="275">
        <f t="shared" si="11"/>
        <v>1.8726298433635613</v>
      </c>
      <c r="G60" s="273">
        <v>2013</v>
      </c>
      <c r="H60" s="524">
        <v>5032854</v>
      </c>
      <c r="I60" s="278">
        <f>I21</f>
        <v>7460781</v>
      </c>
      <c r="J60" s="275">
        <f t="shared" si="12"/>
        <v>1.4824155439438538</v>
      </c>
      <c r="K60" s="296"/>
      <c r="L60" s="296"/>
      <c r="M60" s="296"/>
      <c r="N60" s="296"/>
    </row>
    <row r="61" spans="1:14" s="284" customFormat="1" x14ac:dyDescent="0.2">
      <c r="A61" s="273">
        <v>2014</v>
      </c>
      <c r="B61" s="278">
        <v>5553</v>
      </c>
      <c r="C61" s="278">
        <f>J28</f>
        <v>3161</v>
      </c>
      <c r="D61" s="275">
        <f t="shared" si="11"/>
        <v>0.56924185125157567</v>
      </c>
      <c r="G61" s="273">
        <v>2014</v>
      </c>
      <c r="H61" s="278">
        <v>9019449</v>
      </c>
      <c r="I61" s="278">
        <f>J21</f>
        <v>12032808</v>
      </c>
      <c r="J61" s="275">
        <f t="shared" si="12"/>
        <v>1.3340956858894595</v>
      </c>
      <c r="K61" s="296"/>
      <c r="L61" s="296"/>
      <c r="M61" s="296"/>
      <c r="N61" s="296"/>
    </row>
    <row r="62" spans="1:14" s="284" customFormat="1" x14ac:dyDescent="0.2">
      <c r="A62" s="273">
        <v>2015</v>
      </c>
      <c r="B62" s="278">
        <f>K28</f>
        <v>4634</v>
      </c>
      <c r="C62" s="278"/>
      <c r="D62" s="275"/>
      <c r="G62" s="273">
        <v>2015</v>
      </c>
      <c r="H62" s="278">
        <f>K21</f>
        <v>11550525</v>
      </c>
      <c r="I62" s="278"/>
      <c r="J62" s="275"/>
      <c r="K62" s="296"/>
      <c r="L62" s="296"/>
      <c r="M62" s="296"/>
      <c r="N62" s="296"/>
    </row>
    <row r="63" spans="1:14" s="284" customFormat="1" x14ac:dyDescent="0.2">
      <c r="A63" s="273">
        <v>2016</v>
      </c>
      <c r="B63" s="278" t="e">
        <f>L28</f>
        <v>#REF!</v>
      </c>
      <c r="G63" s="273">
        <v>2016</v>
      </c>
      <c r="H63" s="278">
        <f>L21</f>
        <v>13559068.516140584</v>
      </c>
      <c r="I63" s="296"/>
      <c r="J63" s="245"/>
      <c r="K63" s="296"/>
      <c r="L63" s="296"/>
      <c r="M63" s="296"/>
      <c r="N63" s="296"/>
    </row>
    <row r="64" spans="1:14" s="284" customFormat="1" x14ac:dyDescent="0.2">
      <c r="A64" s="273">
        <v>2017</v>
      </c>
      <c r="B64" s="278">
        <f>M28</f>
        <v>6429.5704630842283</v>
      </c>
      <c r="G64" s="273">
        <v>2017</v>
      </c>
      <c r="H64" s="278">
        <f>M21</f>
        <v>11459936.503512295</v>
      </c>
      <c r="I64" s="296"/>
      <c r="J64" s="245"/>
      <c r="K64" s="296"/>
      <c r="L64" s="296"/>
      <c r="M64" s="296"/>
      <c r="N64" s="296"/>
    </row>
    <row r="65" spans="1:14" s="284" customFormat="1" x14ac:dyDescent="0.2">
      <c r="A65" s="273">
        <v>2018</v>
      </c>
      <c r="B65" s="278" t="e">
        <f>N28</f>
        <v>#REF!</v>
      </c>
      <c r="G65" s="273">
        <v>2018</v>
      </c>
      <c r="H65" s="278" t="e">
        <f>N21</f>
        <v>#REF!</v>
      </c>
      <c r="I65" s="296"/>
      <c r="J65" s="245"/>
      <c r="K65" s="296"/>
      <c r="L65" s="296"/>
      <c r="M65" s="296"/>
      <c r="N65" s="296"/>
    </row>
    <row r="66" spans="1:14" s="284" customFormat="1" x14ac:dyDescent="0.2">
      <c r="I66" s="296"/>
      <c r="J66" s="245"/>
      <c r="K66" s="296"/>
      <c r="L66" s="296"/>
      <c r="M66" s="296"/>
      <c r="N66" s="296"/>
    </row>
    <row r="67" spans="1:14" s="284" customFormat="1" x14ac:dyDescent="0.2">
      <c r="I67" s="296"/>
      <c r="J67" s="245"/>
      <c r="K67" s="296"/>
      <c r="L67" s="296"/>
      <c r="M67" s="296"/>
      <c r="N67" s="296"/>
    </row>
    <row r="68" spans="1:14" s="284" customFormat="1" x14ac:dyDescent="0.2">
      <c r="I68" s="296"/>
      <c r="J68" s="245"/>
      <c r="K68" s="296"/>
      <c r="L68" s="296"/>
      <c r="M68" s="296"/>
      <c r="N68" s="296"/>
    </row>
    <row r="69" spans="1:14" s="284" customFormat="1" x14ac:dyDescent="0.2">
      <c r="I69" s="296"/>
      <c r="J69" s="245"/>
      <c r="K69" s="296"/>
      <c r="L69" s="296"/>
      <c r="M69" s="296"/>
      <c r="N69" s="296"/>
    </row>
    <row r="70" spans="1:14" s="284" customFormat="1" x14ac:dyDescent="0.2">
      <c r="I70" s="296"/>
      <c r="J70" s="245"/>
      <c r="K70" s="296"/>
      <c r="L70" s="296"/>
      <c r="M70" s="296"/>
      <c r="N70" s="296"/>
    </row>
    <row r="71" spans="1:14" s="284" customFormat="1" x14ac:dyDescent="0.2">
      <c r="I71" s="296"/>
      <c r="J71" s="245"/>
      <c r="K71" s="296"/>
      <c r="L71" s="296"/>
      <c r="M71" s="296"/>
      <c r="N71" s="296"/>
    </row>
    <row r="72" spans="1:14" s="284" customFormat="1" x14ac:dyDescent="0.2">
      <c r="I72" s="296"/>
      <c r="J72" s="245"/>
      <c r="K72" s="296"/>
      <c r="L72" s="296"/>
      <c r="M72" s="296"/>
      <c r="N72" s="296"/>
    </row>
    <row r="73" spans="1:14" s="284" customFormat="1" x14ac:dyDescent="0.2">
      <c r="I73" s="296"/>
      <c r="J73" s="245"/>
      <c r="K73" s="296"/>
      <c r="L73" s="296"/>
      <c r="M73" s="296"/>
      <c r="N73" s="296"/>
    </row>
    <row r="74" spans="1:14" s="284" customFormat="1" x14ac:dyDescent="0.2">
      <c r="I74" s="296"/>
      <c r="J74" s="245"/>
      <c r="K74" s="296"/>
      <c r="L74" s="296"/>
      <c r="M74" s="296"/>
      <c r="N74" s="296"/>
    </row>
    <row r="75" spans="1:14" s="284" customFormat="1" x14ac:dyDescent="0.2">
      <c r="I75" s="296"/>
      <c r="J75" s="245"/>
      <c r="K75" s="296"/>
      <c r="L75" s="296"/>
      <c r="M75" s="296"/>
      <c r="N75" s="296"/>
    </row>
    <row r="76" spans="1:14" s="284" customFormat="1" x14ac:dyDescent="0.2">
      <c r="I76" s="296"/>
      <c r="J76" s="245"/>
      <c r="K76" s="296"/>
      <c r="L76" s="296"/>
      <c r="M76" s="296"/>
      <c r="N76" s="296"/>
    </row>
    <row r="77" spans="1:14" s="284" customFormat="1" x14ac:dyDescent="0.2">
      <c r="I77" s="296"/>
      <c r="J77" s="245"/>
      <c r="K77" s="296"/>
      <c r="L77" s="296"/>
      <c r="M77" s="296"/>
      <c r="N77" s="296"/>
    </row>
    <row r="78" spans="1:14" s="284" customFormat="1" x14ac:dyDescent="0.2">
      <c r="I78" s="296"/>
      <c r="J78" s="245"/>
      <c r="K78" s="296"/>
      <c r="L78" s="296"/>
      <c r="M78" s="296"/>
      <c r="N78" s="296"/>
    </row>
    <row r="79" spans="1:14" s="284" customFormat="1" x14ac:dyDescent="0.2">
      <c r="I79" s="296"/>
      <c r="J79" s="245"/>
      <c r="K79" s="296"/>
      <c r="L79" s="296"/>
      <c r="M79" s="296"/>
      <c r="N79" s="296"/>
    </row>
    <row r="80" spans="1:14" s="284" customFormat="1" x14ac:dyDescent="0.2">
      <c r="I80" s="296"/>
      <c r="J80" s="245"/>
      <c r="K80" s="296"/>
      <c r="L80" s="296"/>
      <c r="M80" s="296"/>
      <c r="N80" s="296"/>
    </row>
    <row r="81" spans="5:14" s="284" customFormat="1" x14ac:dyDescent="0.2">
      <c r="I81" s="296"/>
      <c r="J81" s="245"/>
      <c r="K81" s="296"/>
      <c r="L81" s="296"/>
      <c r="M81" s="296"/>
      <c r="N81" s="296"/>
    </row>
    <row r="82" spans="5:14" s="284" customFormat="1" x14ac:dyDescent="0.2">
      <c r="I82" s="296"/>
      <c r="J82" s="245"/>
      <c r="K82" s="296"/>
      <c r="L82" s="296"/>
      <c r="M82" s="296"/>
      <c r="N82" s="296"/>
    </row>
    <row r="83" spans="5:14" s="284" customFormat="1" x14ac:dyDescent="0.2">
      <c r="I83" s="296"/>
      <c r="J83" s="245"/>
      <c r="K83" s="296"/>
      <c r="L83" s="296"/>
      <c r="M83" s="296"/>
      <c r="N83" s="296"/>
    </row>
    <row r="84" spans="5:14" s="284" customFormat="1" x14ac:dyDescent="0.2">
      <c r="I84" s="296"/>
      <c r="J84" s="245"/>
      <c r="K84" s="296"/>
      <c r="L84" s="296"/>
      <c r="M84" s="296"/>
      <c r="N84" s="296"/>
    </row>
    <row r="85" spans="5:14" s="284" customFormat="1" x14ac:dyDescent="0.2">
      <c r="I85" s="296"/>
      <c r="J85" s="245"/>
      <c r="K85" s="296"/>
      <c r="L85" s="296"/>
      <c r="M85" s="296"/>
      <c r="N85" s="296"/>
    </row>
    <row r="86" spans="5:14" s="284" customFormat="1" x14ac:dyDescent="0.2">
      <c r="I86" s="296"/>
      <c r="J86" s="245"/>
      <c r="K86" s="296"/>
      <c r="L86" s="296"/>
      <c r="M86" s="296"/>
      <c r="N86" s="296"/>
    </row>
    <row r="87" spans="5:14" x14ac:dyDescent="0.2">
      <c r="E87" s="3"/>
      <c r="F87" s="3"/>
      <c r="G87" s="3"/>
      <c r="H87" s="3"/>
      <c r="I87" s="181"/>
      <c r="K87" s="181"/>
      <c r="L87" s="181"/>
      <c r="M87" s="181"/>
      <c r="N87" s="181"/>
    </row>
  </sheetData>
  <mergeCells count="1">
    <mergeCell ref="A1:O1"/>
  </mergeCells>
  <phoneticPr fontId="10" type="noConversion"/>
  <pageMargins left="0.98" right="0.75" top="1.1499999999999999" bottom="1" header="0.5" footer="0.5"/>
  <pageSetup scale="55" fitToHeight="0" orientation="landscape" r:id="rId1"/>
  <headerFooter alignWithMargins="0">
    <oddFooter>&amp;C&amp;1#&amp;"Calibri"&amp;12&amp;K008000Internal Use</oddFooter>
  </headerFooter>
  <rowBreaks count="1" manualBreakCount="1">
    <brk id="34" max="14"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24">
    <tabColor indexed="44"/>
    <pageSetUpPr fitToPage="1"/>
  </sheetPr>
  <dimension ref="A1:V100"/>
  <sheetViews>
    <sheetView view="pageBreakPreview" zoomScale="60" zoomScaleNormal="100" workbookViewId="0">
      <selection activeCell="W61" sqref="W61"/>
    </sheetView>
  </sheetViews>
  <sheetFormatPr defaultRowHeight="12.75" x14ac:dyDescent="0.2"/>
  <cols>
    <col min="1" max="1" width="39.28515625" style="168" bestFit="1" customWidth="1"/>
    <col min="2" max="4" width="13.28515625" style="571" customWidth="1"/>
    <col min="5" max="9" width="13.28515625" style="168" customWidth="1"/>
    <col min="10" max="10" width="13.28515625" style="245" customWidth="1"/>
    <col min="11" max="14" width="13.28515625" style="168" customWidth="1"/>
    <col min="15" max="15" width="6.85546875" style="168" bestFit="1" customWidth="1"/>
    <col min="16" max="16" width="9.5703125" style="168" customWidth="1"/>
    <col min="17" max="17" width="3.7109375" style="168" customWidth="1"/>
    <col min="18" max="18" width="12.5703125" style="168" customWidth="1"/>
    <col min="19" max="19" width="10.7109375" style="168" customWidth="1"/>
    <col min="20" max="20" width="12.28515625" style="168" customWidth="1"/>
    <col min="21" max="16384" width="9.140625" style="168"/>
  </cols>
  <sheetData>
    <row r="1" spans="1:20" ht="15.75" x14ac:dyDescent="0.25">
      <c r="A1" s="3055" t="s">
        <v>77</v>
      </c>
      <c r="B1" s="3055"/>
      <c r="C1" s="3055"/>
      <c r="D1" s="3055"/>
      <c r="E1" s="3055"/>
      <c r="F1" s="3055"/>
      <c r="G1" s="3055"/>
      <c r="H1" s="3055"/>
      <c r="I1" s="3055"/>
      <c r="J1" s="3055"/>
      <c r="K1" s="3055"/>
      <c r="L1" s="3055"/>
      <c r="M1" s="3055"/>
      <c r="N1" s="3055"/>
      <c r="O1" s="3055"/>
      <c r="P1" s="170"/>
      <c r="Q1" s="170"/>
      <c r="R1" s="170"/>
      <c r="S1" s="170"/>
      <c r="T1" s="170"/>
    </row>
    <row r="2" spans="1:20" x14ac:dyDescent="0.2">
      <c r="A2" s="169"/>
      <c r="P2" s="170"/>
      <c r="Q2" s="170"/>
      <c r="R2" s="170"/>
      <c r="S2" s="170"/>
      <c r="T2" s="170"/>
    </row>
    <row r="3" spans="1:20" ht="15.75" x14ac:dyDescent="0.25">
      <c r="A3" s="172" t="s">
        <v>160</v>
      </c>
      <c r="P3" s="170"/>
      <c r="Q3" s="170"/>
      <c r="R3" s="170"/>
      <c r="S3" s="170"/>
      <c r="T3" s="170"/>
    </row>
    <row r="4" spans="1:20" x14ac:dyDescent="0.2">
      <c r="A4" s="169"/>
      <c r="P4" s="170"/>
      <c r="Q4" s="170"/>
      <c r="R4" s="170"/>
      <c r="S4" s="170"/>
      <c r="T4" s="170"/>
    </row>
    <row r="5" spans="1:20" s="284" customFormat="1" x14ac:dyDescent="0.2">
      <c r="A5" s="242"/>
      <c r="B5" s="245"/>
      <c r="C5" s="245"/>
      <c r="D5" s="245"/>
      <c r="J5" s="794"/>
      <c r="P5" s="285"/>
      <c r="Q5" s="285"/>
      <c r="R5" s="285"/>
      <c r="S5" s="285"/>
      <c r="T5" s="285"/>
    </row>
    <row r="6" spans="1:20" s="284" customFormat="1" x14ac:dyDescent="0.2">
      <c r="A6" s="242"/>
      <c r="B6" s="243">
        <v>2006</v>
      </c>
      <c r="C6" s="243">
        <v>2007</v>
      </c>
      <c r="D6" s="243">
        <v>2008</v>
      </c>
      <c r="E6" s="243">
        <v>2009</v>
      </c>
      <c r="F6" s="243">
        <v>2010</v>
      </c>
      <c r="G6" s="243">
        <v>2011</v>
      </c>
      <c r="H6" s="243">
        <v>2012</v>
      </c>
      <c r="I6" s="243">
        <v>2013</v>
      </c>
      <c r="J6" s="243">
        <v>2014</v>
      </c>
      <c r="K6" s="243">
        <v>2015</v>
      </c>
      <c r="L6" s="243">
        <v>2016</v>
      </c>
      <c r="M6" s="243">
        <v>2017</v>
      </c>
      <c r="N6" s="243">
        <v>2018</v>
      </c>
      <c r="P6" s="246"/>
      <c r="Q6" s="245"/>
      <c r="R6" s="245"/>
      <c r="S6" s="285"/>
      <c r="T6" s="285"/>
    </row>
    <row r="7" spans="1:20" s="284" customFormat="1" x14ac:dyDescent="0.2">
      <c r="A7" s="247" t="s">
        <v>44</v>
      </c>
      <c r="B7" s="248" t="s">
        <v>148</v>
      </c>
      <c r="C7" s="248" t="s">
        <v>148</v>
      </c>
      <c r="D7" s="248" t="s">
        <v>148</v>
      </c>
      <c r="E7" s="248" t="s">
        <v>148</v>
      </c>
      <c r="F7" s="248" t="s">
        <v>148</v>
      </c>
      <c r="G7" s="248" t="s">
        <v>148</v>
      </c>
      <c r="H7" s="248" t="s">
        <v>148</v>
      </c>
      <c r="I7" s="248" t="s">
        <v>148</v>
      </c>
      <c r="J7" s="248" t="s">
        <v>148</v>
      </c>
      <c r="K7" s="248" t="s">
        <v>1</v>
      </c>
      <c r="L7" s="248" t="s">
        <v>1</v>
      </c>
      <c r="M7" s="248" t="s">
        <v>1</v>
      </c>
      <c r="N7" s="248" t="s">
        <v>1</v>
      </c>
      <c r="O7" s="575"/>
      <c r="P7" s="245"/>
      <c r="Q7" s="245"/>
      <c r="R7" s="245"/>
      <c r="S7" s="575"/>
      <c r="T7" s="285"/>
    </row>
    <row r="8" spans="1:20" s="284" customFormat="1" x14ac:dyDescent="0.2">
      <c r="A8" s="244"/>
      <c r="B8" s="245"/>
      <c r="C8" s="245"/>
      <c r="D8" s="245"/>
      <c r="J8" s="245"/>
      <c r="K8" s="575"/>
      <c r="L8" s="575"/>
      <c r="M8" s="575"/>
      <c r="N8" s="575"/>
      <c r="P8" s="245"/>
      <c r="Q8" s="245"/>
      <c r="R8" s="245"/>
      <c r="S8" s="187"/>
      <c r="T8" s="285"/>
    </row>
    <row r="9" spans="1:20" s="284" customFormat="1" x14ac:dyDescent="0.2">
      <c r="A9" s="285" t="s">
        <v>53</v>
      </c>
      <c r="B9" s="252">
        <v>1845</v>
      </c>
      <c r="C9" s="252">
        <v>37628</v>
      </c>
      <c r="D9" s="252">
        <v>44337</v>
      </c>
      <c r="E9" s="523">
        <v>62391.43</v>
      </c>
      <c r="F9" s="523">
        <v>62133.279999999999</v>
      </c>
      <c r="G9" s="523">
        <v>58088.160000000011</v>
      </c>
      <c r="H9" s="523">
        <v>157304</v>
      </c>
      <c r="I9" s="287">
        <v>193165.69</v>
      </c>
      <c r="J9" s="252">
        <v>237873.69999999995</v>
      </c>
      <c r="K9" s="252">
        <v>268433</v>
      </c>
      <c r="L9" s="252">
        <f>'SCG Table C 2016'!$C$13+'SCG Table C 2016'!$C$14</f>
        <v>282485.90000000002</v>
      </c>
      <c r="M9" s="252">
        <f>'SCG Table C 2017'!$C$13+'SCG Table C 2017'!$C$14</f>
        <v>202516</v>
      </c>
      <c r="N9" s="252">
        <f>'SCG Table C 2019'!$C$13+'SCG Table C 2019'!$C$14</f>
        <v>288226</v>
      </c>
      <c r="P9" s="245"/>
      <c r="Q9" s="245"/>
      <c r="R9" s="245"/>
      <c r="S9" s="129"/>
      <c r="T9" s="285"/>
    </row>
    <row r="10" spans="1:20" s="284" customFormat="1" x14ac:dyDescent="0.2">
      <c r="A10" s="285" t="s">
        <v>45</v>
      </c>
      <c r="B10" s="252">
        <v>12469</v>
      </c>
      <c r="C10" s="252">
        <v>18076</v>
      </c>
      <c r="D10" s="252">
        <v>41194</v>
      </c>
      <c r="E10" s="523">
        <v>59659.89</v>
      </c>
      <c r="F10" s="523">
        <v>26372.86</v>
      </c>
      <c r="G10" s="523">
        <v>38204.979999999996</v>
      </c>
      <c r="H10" s="523">
        <v>102719</v>
      </c>
      <c r="I10" s="287">
        <v>85525.32</v>
      </c>
      <c r="J10" s="252">
        <v>205962.27500000011</v>
      </c>
      <c r="K10" s="252">
        <v>96634</v>
      </c>
      <c r="L10" s="252">
        <f>'SCG Table C 2016'!$E$13+'SCG Table C 2016'!$E$14</f>
        <v>254634</v>
      </c>
      <c r="M10" s="252">
        <f>'SCG Table C 2017'!$E$13+'SCG Table C 2017'!$E$14</f>
        <v>264634</v>
      </c>
      <c r="N10" s="252">
        <f>'SCG Table C 2019'!$E$13+'SCG Table C 2019'!$E$14</f>
        <v>314234.95999999996</v>
      </c>
      <c r="P10" s="245"/>
      <c r="Q10" s="245"/>
      <c r="R10" s="245"/>
      <c r="S10" s="190"/>
      <c r="T10" s="285"/>
    </row>
    <row r="11" spans="1:20" s="284" customFormat="1" x14ac:dyDescent="0.2">
      <c r="A11" s="285" t="s">
        <v>202</v>
      </c>
      <c r="B11" s="252">
        <v>184</v>
      </c>
      <c r="C11" s="252">
        <v>0</v>
      </c>
      <c r="D11" s="252">
        <v>214</v>
      </c>
      <c r="E11" s="523">
        <v>217.77</v>
      </c>
      <c r="F11" s="523">
        <v>198.52</v>
      </c>
      <c r="G11" s="523">
        <v>0</v>
      </c>
      <c r="H11" s="523">
        <v>0</v>
      </c>
      <c r="I11" s="287">
        <v>0</v>
      </c>
      <c r="J11" s="252">
        <v>0</v>
      </c>
      <c r="K11" s="252">
        <v>2000</v>
      </c>
      <c r="L11" s="252">
        <f>'SCG Table C 2016'!$D$13+'SCG Table C 2016'!$D$14</f>
        <v>6300</v>
      </c>
      <c r="M11" s="252">
        <f>'SCG Table C 2017'!$D$13+'SCG Table C 2017'!$D$14</f>
        <v>6300</v>
      </c>
      <c r="N11" s="252">
        <f>'SCG Table C 2019'!$D$13+'SCG Table C 2019'!$D$14</f>
        <v>6300</v>
      </c>
      <c r="P11" s="245"/>
      <c r="Q11" s="245"/>
      <c r="R11" s="245"/>
      <c r="S11" s="190"/>
      <c r="T11" s="285"/>
    </row>
    <row r="12" spans="1:20" s="284" customFormat="1" ht="14.25" x14ac:dyDescent="0.2">
      <c r="A12" s="285" t="s">
        <v>2</v>
      </c>
      <c r="B12" s="252">
        <v>26456</v>
      </c>
      <c r="C12" s="252">
        <v>133150</v>
      </c>
      <c r="D12" s="252">
        <v>580208</v>
      </c>
      <c r="E12" s="523">
        <v>410759.72</v>
      </c>
      <c r="F12" s="523">
        <v>1200546.94</v>
      </c>
      <c r="G12" s="523">
        <v>1285647.3899999999</v>
      </c>
      <c r="H12" s="523">
        <v>1000481</v>
      </c>
      <c r="I12" s="287">
        <v>1370746.3900000004</v>
      </c>
      <c r="J12" s="252">
        <v>2890806.7560999999</v>
      </c>
      <c r="K12" s="257">
        <v>1425447</v>
      </c>
      <c r="L12" s="257">
        <f>'SCG Table C 2016'!$F$13+'SCG Table C 2016'!$F$14</f>
        <v>2455929</v>
      </c>
      <c r="M12" s="257">
        <f>'SCG Table C 2017'!$F$13+'SCG Table C 2017'!$F$14</f>
        <v>2555099.9</v>
      </c>
      <c r="N12" s="257">
        <f>'SCG Table C 2019'!$F$13+'SCG Table C 2019'!$F$14</f>
        <v>4850084.5199999996</v>
      </c>
      <c r="O12" s="947" t="s">
        <v>326</v>
      </c>
      <c r="P12" s="507"/>
      <c r="Q12" s="245"/>
      <c r="R12" s="507"/>
      <c r="S12" s="190"/>
      <c r="T12" s="285"/>
    </row>
    <row r="13" spans="1:20" s="284" customFormat="1" ht="14.25" x14ac:dyDescent="0.2">
      <c r="A13" s="285" t="s">
        <v>14</v>
      </c>
      <c r="B13" s="252">
        <v>369</v>
      </c>
      <c r="C13" s="252">
        <v>3475</v>
      </c>
      <c r="D13" s="252">
        <v>4194.5600000000004</v>
      </c>
      <c r="E13" s="523">
        <v>7074.59</v>
      </c>
      <c r="F13" s="523">
        <v>3522.92</v>
      </c>
      <c r="G13" s="523">
        <v>17597.11</v>
      </c>
      <c r="H13" s="523">
        <v>14065</v>
      </c>
      <c r="I13" s="287">
        <v>15706.610000000002</v>
      </c>
      <c r="J13" s="252">
        <v>6790.2800000000007</v>
      </c>
      <c r="K13" s="252">
        <v>35000</v>
      </c>
      <c r="L13" s="252">
        <f>'SCG Table C 2016'!$G$13+'SCG Table C 2016'!$G$14</f>
        <v>35000</v>
      </c>
      <c r="M13" s="252">
        <f>'SCG Table C 2017'!$G$13+'SCG Table C 2017'!$G$14</f>
        <v>40000</v>
      </c>
      <c r="N13" s="252">
        <f>'SCG Table C 2019'!$G$13+'SCG Table C 2019'!$G$14</f>
        <v>51954.100000000006</v>
      </c>
      <c r="O13" s="947" t="s">
        <v>327</v>
      </c>
      <c r="P13" s="190"/>
      <c r="Q13" s="190"/>
      <c r="R13" s="190"/>
      <c r="S13" s="190"/>
      <c r="T13" s="285"/>
    </row>
    <row r="14" spans="1:20" s="284" customFormat="1" ht="15" x14ac:dyDescent="0.35">
      <c r="A14" s="285" t="s">
        <v>46</v>
      </c>
      <c r="B14" s="256">
        <v>184</v>
      </c>
      <c r="C14" s="256">
        <v>448</v>
      </c>
      <c r="D14" s="256">
        <v>292.5</v>
      </c>
      <c r="E14" s="292">
        <v>184.29</v>
      </c>
      <c r="F14" s="292">
        <v>3375.65</v>
      </c>
      <c r="G14" s="292">
        <v>2250</v>
      </c>
      <c r="H14" s="292">
        <v>10667</v>
      </c>
      <c r="I14" s="292">
        <v>917</v>
      </c>
      <c r="J14" s="256">
        <v>3094</v>
      </c>
      <c r="K14" s="256">
        <v>2467</v>
      </c>
      <c r="L14" s="256">
        <f>'SCG Table C 2016'!$H$13+'SCG Table C 2016'!$H$14</f>
        <v>3467</v>
      </c>
      <c r="M14" s="256">
        <f>'SCG Table C 2017'!$H$13+'SCG Table C 2017'!$H$14</f>
        <v>3467</v>
      </c>
      <c r="N14" s="256">
        <f>'SCG Table C 2019'!$H$13+'SCG Table C 2019'!$H$14</f>
        <v>6000</v>
      </c>
      <c r="O14" s="294"/>
      <c r="P14" s="191"/>
      <c r="Q14" s="191"/>
      <c r="R14" s="191"/>
      <c r="S14" s="191"/>
      <c r="T14" s="285"/>
    </row>
    <row r="15" spans="1:20" s="284" customFormat="1" x14ac:dyDescent="0.2">
      <c r="A15" s="285" t="s">
        <v>87</v>
      </c>
      <c r="B15" s="252">
        <f t="shared" ref="B15:L15" si="0">SUM(B9:B14)</f>
        <v>41507</v>
      </c>
      <c r="C15" s="257">
        <f t="shared" si="0"/>
        <v>192777</v>
      </c>
      <c r="D15" s="252">
        <f t="shared" si="0"/>
        <v>670440.06000000006</v>
      </c>
      <c r="E15" s="287">
        <f t="shared" si="0"/>
        <v>540287.68999999994</v>
      </c>
      <c r="F15" s="287">
        <f t="shared" si="0"/>
        <v>1296150.1699999997</v>
      </c>
      <c r="G15" s="287">
        <f t="shared" si="0"/>
        <v>1401787.64</v>
      </c>
      <c r="H15" s="287">
        <f t="shared" si="0"/>
        <v>1285236</v>
      </c>
      <c r="I15" s="513">
        <f t="shared" si="0"/>
        <v>1666061.0100000005</v>
      </c>
      <c r="J15" s="252">
        <f>SUM(J9:J14)</f>
        <v>3344527.0110999998</v>
      </c>
      <c r="K15" s="504">
        <f t="shared" si="0"/>
        <v>1829981</v>
      </c>
      <c r="L15" s="504">
        <f t="shared" si="0"/>
        <v>3037815.9</v>
      </c>
      <c r="M15" s="504">
        <f>SUM(M9:M14)</f>
        <v>3072016.9</v>
      </c>
      <c r="N15" s="504">
        <f>SUM(N9:N14)</f>
        <v>5516799.5799999991</v>
      </c>
      <c r="O15" s="296" t="s">
        <v>201</v>
      </c>
      <c r="P15" s="192"/>
      <c r="Q15" s="192"/>
      <c r="R15" s="192"/>
      <c r="S15" s="192"/>
      <c r="T15" s="285"/>
    </row>
    <row r="16" spans="1:20" s="284" customFormat="1" x14ac:dyDescent="0.2">
      <c r="A16" s="285"/>
      <c r="B16" s="253"/>
      <c r="C16" s="259"/>
      <c r="D16" s="260"/>
      <c r="J16" s="255"/>
      <c r="L16" s="295"/>
      <c r="M16" s="295"/>
      <c r="N16" s="295"/>
      <c r="P16" s="193"/>
      <c r="Q16" s="297"/>
      <c r="R16" s="297"/>
      <c r="S16" s="297"/>
      <c r="T16" s="285"/>
    </row>
    <row r="17" spans="1:22" s="284" customFormat="1" ht="15" x14ac:dyDescent="0.35">
      <c r="A17" s="298"/>
      <c r="B17" s="245"/>
      <c r="C17" s="258"/>
      <c r="D17" s="258"/>
      <c r="I17" s="294"/>
      <c r="J17" s="245"/>
      <c r="K17" s="294"/>
      <c r="L17" s="294"/>
      <c r="M17" s="294"/>
      <c r="N17" s="294"/>
      <c r="O17" s="299"/>
      <c r="P17" s="185"/>
      <c r="Q17" s="184"/>
      <c r="R17" s="184"/>
      <c r="S17" s="184"/>
      <c r="T17" s="285"/>
    </row>
    <row r="18" spans="1:22" s="284" customFormat="1" ht="25.5" x14ac:dyDescent="0.2">
      <c r="A18" s="247" t="s">
        <v>83</v>
      </c>
      <c r="B18" s="264" t="s">
        <v>192</v>
      </c>
      <c r="C18" s="264" t="s">
        <v>176</v>
      </c>
      <c r="D18" s="264" t="s">
        <v>208</v>
      </c>
      <c r="E18" s="264" t="s">
        <v>218</v>
      </c>
      <c r="F18" s="264" t="s">
        <v>257</v>
      </c>
      <c r="G18" s="264" t="s">
        <v>321</v>
      </c>
      <c r="H18" s="264" t="s">
        <v>479</v>
      </c>
      <c r="I18" s="264" t="s">
        <v>567</v>
      </c>
      <c r="J18" s="264" t="s">
        <v>568</v>
      </c>
      <c r="K18" s="264" t="s">
        <v>334</v>
      </c>
      <c r="L18" s="264" t="s">
        <v>564</v>
      </c>
      <c r="M18" s="264" t="s">
        <v>565</v>
      </c>
      <c r="N18" s="264" t="s">
        <v>566</v>
      </c>
      <c r="O18" s="296"/>
      <c r="P18" s="185"/>
      <c r="Q18" s="182"/>
      <c r="R18" s="182"/>
      <c r="S18" s="182"/>
      <c r="T18" s="285"/>
      <c r="U18" s="285"/>
      <c r="V18" s="285"/>
    </row>
    <row r="19" spans="1:22" s="284" customFormat="1" x14ac:dyDescent="0.2">
      <c r="B19" s="245"/>
      <c r="C19" s="245"/>
      <c r="D19" s="245"/>
      <c r="J19" s="245"/>
      <c r="K19" s="180"/>
      <c r="L19" s="180"/>
      <c r="M19" s="180"/>
      <c r="N19" s="180"/>
      <c r="O19" s="296"/>
      <c r="P19" s="185"/>
      <c r="Q19" s="185"/>
      <c r="R19" s="185"/>
      <c r="S19" s="185"/>
      <c r="T19" s="180"/>
      <c r="U19" s="285"/>
      <c r="V19" s="285"/>
    </row>
    <row r="20" spans="1:22" s="284" customFormat="1" x14ac:dyDescent="0.2">
      <c r="A20" s="284" t="s">
        <v>49</v>
      </c>
      <c r="B20" s="266">
        <v>14238</v>
      </c>
      <c r="C20" s="266">
        <v>31695</v>
      </c>
      <c r="D20" s="267">
        <v>159470</v>
      </c>
      <c r="E20" s="302">
        <v>176102</v>
      </c>
      <c r="F20" s="302">
        <v>319120</v>
      </c>
      <c r="G20" s="302">
        <v>243084.73899999642</v>
      </c>
      <c r="H20" s="302">
        <v>230765</v>
      </c>
      <c r="I20" s="302">
        <v>283536</v>
      </c>
      <c r="J20" s="531">
        <f>293899+206717</f>
        <v>500616</v>
      </c>
      <c r="K20" s="506">
        <v>183113</v>
      </c>
      <c r="L20" s="506">
        <f>'2016 Summary Table B'!$M$12+'2016 Summary Table B'!$M$16</f>
        <v>378984.42087716545</v>
      </c>
      <c r="M20" s="506">
        <f>'2017 Summary Table B'!$M$12+'2017 Summary Table B'!$M$16</f>
        <v>358136.71972043114</v>
      </c>
      <c r="N20" s="506" t="e">
        <f>'2019 Summary Table B'!$M$12+'2019 Summary Table B'!$M$16</f>
        <v>#REF!</v>
      </c>
      <c r="O20" s="296" t="s">
        <v>64</v>
      </c>
      <c r="P20" s="185"/>
      <c r="Q20" s="183"/>
      <c r="R20" s="185"/>
      <c r="S20" s="183"/>
      <c r="T20" s="187"/>
      <c r="U20" s="285"/>
      <c r="V20" s="285"/>
    </row>
    <row r="21" spans="1:22" s="284" customFormat="1" x14ac:dyDescent="0.2">
      <c r="A21" s="284" t="s">
        <v>50</v>
      </c>
      <c r="B21" s="266">
        <v>280421</v>
      </c>
      <c r="C21" s="266">
        <v>512586</v>
      </c>
      <c r="D21" s="267">
        <v>2792634</v>
      </c>
      <c r="E21" s="302">
        <v>3239380</v>
      </c>
      <c r="F21" s="302">
        <v>5472495</v>
      </c>
      <c r="G21" s="302">
        <v>4180120.7079999885</v>
      </c>
      <c r="H21" s="302">
        <v>4359092</v>
      </c>
      <c r="I21" s="302">
        <v>5613280</v>
      </c>
      <c r="J21" s="531">
        <f>6012474+4134256</f>
        <v>10146730</v>
      </c>
      <c r="K21" s="506">
        <v>3610316</v>
      </c>
      <c r="L21" s="506">
        <f>'2016 Summary Table B'!$N$12+'2016 Summary Table B'!$N$16</f>
        <v>7047736.5743568614</v>
      </c>
      <c r="M21" s="506">
        <f>'2017 Summary Table B'!$N$12+'2017 Summary Table B'!$N$16</f>
        <v>7384525.4814452659</v>
      </c>
      <c r="N21" s="506" t="e">
        <f>'2019 Summary Table B'!$N$12+'2019 Summary Table B'!$N$16</f>
        <v>#REF!</v>
      </c>
      <c r="O21" s="296" t="s">
        <v>10</v>
      </c>
      <c r="P21" s="185"/>
      <c r="Q21" s="183"/>
      <c r="R21" s="183"/>
      <c r="S21" s="183"/>
      <c r="T21" s="182"/>
      <c r="U21" s="285"/>
      <c r="V21" s="285"/>
    </row>
    <row r="22" spans="1:22" s="284" customFormat="1" x14ac:dyDescent="0.2">
      <c r="B22" s="245"/>
      <c r="C22" s="268" t="s">
        <v>3</v>
      </c>
      <c r="D22" s="245"/>
      <c r="J22" s="527"/>
      <c r="K22" s="180"/>
      <c r="L22" s="180"/>
      <c r="M22" s="180"/>
      <c r="N22" s="180"/>
      <c r="O22" s="296"/>
      <c r="P22" s="185"/>
      <c r="Q22" s="182"/>
      <c r="R22" s="182"/>
      <c r="S22" s="182"/>
      <c r="T22" s="183"/>
      <c r="U22" s="285"/>
      <c r="V22" s="285"/>
    </row>
    <row r="23" spans="1:22" s="284" customFormat="1" x14ac:dyDescent="0.2">
      <c r="A23" s="284" t="s">
        <v>51</v>
      </c>
      <c r="B23" s="269">
        <f t="shared" ref="B23:L23" si="1">SUM(B15/B20)</f>
        <v>2.915226857704734</v>
      </c>
      <c r="C23" s="269">
        <f t="shared" si="1"/>
        <v>6.0822527212494082</v>
      </c>
      <c r="D23" s="269">
        <f t="shared" si="1"/>
        <v>4.2041767103530452</v>
      </c>
      <c r="E23" s="269">
        <f t="shared" si="1"/>
        <v>3.0680383527728243</v>
      </c>
      <c r="F23" s="269">
        <f t="shared" si="1"/>
        <v>4.0616387879167704</v>
      </c>
      <c r="G23" s="269">
        <f t="shared" si="1"/>
        <v>5.7666624641541997</v>
      </c>
      <c r="H23" s="269">
        <f t="shared" si="1"/>
        <v>5.5694581067319566</v>
      </c>
      <c r="I23" s="305">
        <f t="shared" si="1"/>
        <v>5.8760122524123934</v>
      </c>
      <c r="J23" s="528">
        <f t="shared" si="1"/>
        <v>6.6808232479585143</v>
      </c>
      <c r="K23" s="269">
        <f t="shared" si="1"/>
        <v>9.9937251860872802</v>
      </c>
      <c r="L23" s="269">
        <f t="shared" si="1"/>
        <v>8.0156748738349908</v>
      </c>
      <c r="M23" s="269">
        <f>SUM(M15/M20)</f>
        <v>8.5777769517688078</v>
      </c>
      <c r="N23" s="269" t="e">
        <f>SUM(N15/N20)</f>
        <v>#REF!</v>
      </c>
      <c r="O23" s="296" t="s">
        <v>65</v>
      </c>
      <c r="P23" s="185"/>
      <c r="Q23" s="182"/>
      <c r="R23" s="182"/>
      <c r="S23" s="182"/>
      <c r="T23" s="183"/>
      <c r="U23" s="285"/>
      <c r="V23" s="285"/>
    </row>
    <row r="24" spans="1:22" s="284" customFormat="1" x14ac:dyDescent="0.2">
      <c r="A24" s="284" t="s">
        <v>52</v>
      </c>
      <c r="B24" s="269">
        <f t="shared" ref="B24:L24" si="2">SUM(B15/B21)</f>
        <v>0.14801673198512236</v>
      </c>
      <c r="C24" s="269">
        <f t="shared" si="2"/>
        <v>0.37608713464667393</v>
      </c>
      <c r="D24" s="269">
        <f t="shared" si="2"/>
        <v>0.24007444584574994</v>
      </c>
      <c r="E24" s="269">
        <f t="shared" si="2"/>
        <v>0.16678737597935406</v>
      </c>
      <c r="F24" s="269">
        <f t="shared" si="2"/>
        <v>0.23684812320522899</v>
      </c>
      <c r="G24" s="269">
        <f t="shared" si="2"/>
        <v>0.3353462107726301</v>
      </c>
      <c r="H24" s="269">
        <f t="shared" si="2"/>
        <v>0.29484030160409552</v>
      </c>
      <c r="I24" s="305">
        <f t="shared" si="2"/>
        <v>0.29680703795285474</v>
      </c>
      <c r="J24" s="528">
        <f t="shared" si="2"/>
        <v>0.32961624199126216</v>
      </c>
      <c r="K24" s="269">
        <f t="shared" si="2"/>
        <v>0.5068755754343941</v>
      </c>
      <c r="L24" s="269">
        <f t="shared" si="2"/>
        <v>0.43103425730369538</v>
      </c>
      <c r="M24" s="269">
        <f>SUM(M15/M21)</f>
        <v>0.41600735317643711</v>
      </c>
      <c r="N24" s="269" t="e">
        <f>SUM(N15/N21)</f>
        <v>#REF!</v>
      </c>
      <c r="O24" s="296" t="s">
        <v>66</v>
      </c>
      <c r="P24" s="180"/>
      <c r="Q24" s="185"/>
      <c r="R24" s="184"/>
      <c r="S24" s="184"/>
      <c r="T24" s="184"/>
      <c r="U24" s="285"/>
      <c r="V24" s="285"/>
    </row>
    <row r="25" spans="1:22" s="284" customFormat="1" x14ac:dyDescent="0.2">
      <c r="B25" s="245"/>
      <c r="C25" s="268"/>
      <c r="D25" s="245"/>
      <c r="J25" s="249"/>
      <c r="K25" s="245"/>
      <c r="L25" s="245"/>
      <c r="M25" s="245"/>
      <c r="N25" s="245"/>
      <c r="O25" s="296"/>
      <c r="P25" s="180"/>
      <c r="Q25" s="185"/>
      <c r="R25" s="182"/>
      <c r="S25" s="182"/>
      <c r="T25" s="182"/>
      <c r="U25" s="285"/>
      <c r="V25" s="285"/>
    </row>
    <row r="26" spans="1:22" s="284" customFormat="1" x14ac:dyDescent="0.2">
      <c r="A26" s="284" t="s">
        <v>84</v>
      </c>
      <c r="B26" s="252">
        <v>206809</v>
      </c>
      <c r="C26" s="257">
        <f>839836/1146993*512586</f>
        <v>375318.92164642678</v>
      </c>
      <c r="D26" s="257">
        <v>1070385</v>
      </c>
      <c r="E26" s="295">
        <v>2913053.1043906338</v>
      </c>
      <c r="F26" s="295">
        <v>5883474.2389986003</v>
      </c>
      <c r="G26" s="513">
        <v>3696000.1743018003</v>
      </c>
      <c r="H26" s="295">
        <f>+H21/4806811*2445147</f>
        <v>2217399.5870700972</v>
      </c>
      <c r="I26" s="295">
        <v>3110491</v>
      </c>
      <c r="J26" s="257">
        <f>4883344+3357851</f>
        <v>8241195</v>
      </c>
      <c r="K26" s="257">
        <v>3285349</v>
      </c>
      <c r="L26" s="257">
        <f>'2016 Summary Table B'!$F$12+'2016 Summary Table B'!$F$16</f>
        <v>4750816.4961200915</v>
      </c>
      <c r="M26" s="257">
        <f>'2017 Summary Table B'!$F$12+'2017 Summary Table B'!$F$16</f>
        <v>4576720.6835750695</v>
      </c>
      <c r="N26" s="257" t="e">
        <f>'2019 Summary Table B'!$F$12+'2019 Summary Table B'!$F$16</f>
        <v>#REF!</v>
      </c>
      <c r="O26" s="296" t="s">
        <v>67</v>
      </c>
      <c r="P26" s="180"/>
      <c r="Q26" s="185"/>
      <c r="R26" s="185"/>
      <c r="S26" s="185"/>
      <c r="T26" s="185"/>
      <c r="U26" s="285"/>
      <c r="V26" s="285"/>
    </row>
    <row r="27" spans="1:22" s="284" customFormat="1" x14ac:dyDescent="0.2">
      <c r="A27" s="284" t="s">
        <v>85</v>
      </c>
      <c r="B27" s="271">
        <f t="shared" ref="B27:L27" si="3">SUM(B26/B15)</f>
        <v>4.9825089743898623</v>
      </c>
      <c r="C27" s="271">
        <f t="shared" si="3"/>
        <v>1.9469071603273564</v>
      </c>
      <c r="D27" s="271">
        <f t="shared" si="3"/>
        <v>1.5965409346213588</v>
      </c>
      <c r="E27" s="271">
        <f t="shared" si="3"/>
        <v>5.391670323620799</v>
      </c>
      <c r="F27" s="271">
        <f t="shared" si="3"/>
        <v>4.5391918121637103</v>
      </c>
      <c r="G27" s="271">
        <f t="shared" si="3"/>
        <v>2.6366334449216575</v>
      </c>
      <c r="H27" s="306">
        <f t="shared" si="3"/>
        <v>1.7252859296425693</v>
      </c>
      <c r="I27" s="306">
        <f t="shared" si="3"/>
        <v>1.8669730468033696</v>
      </c>
      <c r="J27" s="529">
        <f>SUM(J26/J15)</f>
        <v>2.4640838518118318</v>
      </c>
      <c r="K27" s="271">
        <f t="shared" si="3"/>
        <v>1.7952913172322553</v>
      </c>
      <c r="L27" s="271">
        <f t="shared" si="3"/>
        <v>1.5638921687519285</v>
      </c>
      <c r="M27" s="271">
        <f>SUM(M26/M15)</f>
        <v>1.489809734957861</v>
      </c>
      <c r="N27" s="271" t="e">
        <f>SUM(N26/N15)</f>
        <v>#REF!</v>
      </c>
      <c r="O27" s="296" t="s">
        <v>68</v>
      </c>
      <c r="P27" s="180"/>
      <c r="Q27" s="185"/>
      <c r="R27" s="183"/>
      <c r="S27" s="185"/>
      <c r="T27" s="183"/>
      <c r="U27" s="285"/>
      <c r="V27" s="285"/>
    </row>
    <row r="28" spans="1:22" s="284" customFormat="1" x14ac:dyDescent="0.2">
      <c r="A28" s="284" t="s">
        <v>63</v>
      </c>
      <c r="B28" s="245">
        <v>88</v>
      </c>
      <c r="C28" s="267">
        <v>430</v>
      </c>
      <c r="D28" s="267">
        <v>1149</v>
      </c>
      <c r="E28" s="307">
        <v>1421</v>
      </c>
      <c r="F28" s="307">
        <v>2538</v>
      </c>
      <c r="G28" s="307">
        <v>2369</v>
      </c>
      <c r="H28" s="307">
        <v>2049</v>
      </c>
      <c r="I28" s="307">
        <v>2621</v>
      </c>
      <c r="J28" s="534">
        <f>1722+2235</f>
        <v>3957</v>
      </c>
      <c r="K28" s="506">
        <v>1306</v>
      </c>
      <c r="L28" s="506" t="e">
        <f>'2016 Summary Table B'!#REF!+'2016 Summary Table B'!$K$12</f>
        <v>#REF!</v>
      </c>
      <c r="M28" s="506">
        <f>'2017 Summary Table B'!$K$12+'2017 Summary Table B'!$K$16</f>
        <v>3827.7473939534648</v>
      </c>
      <c r="N28" s="506" t="e">
        <f>'2019 Summary Table B'!$K$12+'2019 Summary Table B'!$K$16</f>
        <v>#REF!</v>
      </c>
      <c r="O28" s="296" t="s">
        <v>69</v>
      </c>
      <c r="P28" s="180"/>
      <c r="Q28" s="185"/>
      <c r="R28" s="183"/>
      <c r="S28" s="183"/>
      <c r="T28" s="183"/>
      <c r="U28" s="285"/>
      <c r="V28" s="285"/>
    </row>
    <row r="29" spans="1:22" s="284" customFormat="1" x14ac:dyDescent="0.2">
      <c r="A29" s="284" t="s">
        <v>74</v>
      </c>
      <c r="B29" s="266">
        <f t="shared" ref="B29:L29" si="4">SUM(B21/B28)</f>
        <v>3186.6022727272725</v>
      </c>
      <c r="C29" s="266">
        <f t="shared" si="4"/>
        <v>1192.0604651162791</v>
      </c>
      <c r="D29" s="266">
        <f t="shared" si="4"/>
        <v>2430.490861618799</v>
      </c>
      <c r="E29" s="266">
        <f t="shared" si="4"/>
        <v>2279.6481351161156</v>
      </c>
      <c r="F29" s="266">
        <f t="shared" si="4"/>
        <v>2156.2234042553191</v>
      </c>
      <c r="G29" s="266">
        <f t="shared" si="4"/>
        <v>1764.5085301815063</v>
      </c>
      <c r="H29" s="301">
        <f t="shared" si="4"/>
        <v>2127.4241093216201</v>
      </c>
      <c r="I29" s="301">
        <f t="shared" si="4"/>
        <v>2141.6558565433043</v>
      </c>
      <c r="J29" s="282">
        <f>SUM(J21/J28)</f>
        <v>2564.2481678038916</v>
      </c>
      <c r="K29" s="266">
        <f t="shared" si="4"/>
        <v>2764.4073506891273</v>
      </c>
      <c r="L29" s="266" t="e">
        <f t="shared" si="4"/>
        <v>#REF!</v>
      </c>
      <c r="M29" s="266">
        <f>SUM(M21/M28)</f>
        <v>1929.2091983682876</v>
      </c>
      <c r="N29" s="266" t="e">
        <f>SUM(N21/N28)</f>
        <v>#REF!</v>
      </c>
      <c r="O29" s="296" t="s">
        <v>70</v>
      </c>
      <c r="P29" s="180"/>
      <c r="Q29" s="185"/>
      <c r="R29" s="182"/>
      <c r="S29" s="182"/>
      <c r="T29" s="182"/>
      <c r="U29" s="285"/>
      <c r="V29" s="285"/>
    </row>
    <row r="30" spans="1:22" s="284" customFormat="1" x14ac:dyDescent="0.2">
      <c r="A30" s="284" t="s">
        <v>71</v>
      </c>
      <c r="B30" s="257">
        <f t="shared" ref="B30:L30" si="5">SUM(B15/B28)</f>
        <v>471.67045454545456</v>
      </c>
      <c r="C30" s="257">
        <f t="shared" si="5"/>
        <v>448.31860465116279</v>
      </c>
      <c r="D30" s="257">
        <f t="shared" si="5"/>
        <v>583.49874673629245</v>
      </c>
      <c r="E30" s="257">
        <f t="shared" si="5"/>
        <v>380.21653061224487</v>
      </c>
      <c r="F30" s="257">
        <f t="shared" si="5"/>
        <v>510.69746650906211</v>
      </c>
      <c r="G30" s="257">
        <f t="shared" si="5"/>
        <v>591.72124947235113</v>
      </c>
      <c r="H30" s="295">
        <f t="shared" si="5"/>
        <v>627.25036603221088</v>
      </c>
      <c r="I30" s="295">
        <f t="shared" si="5"/>
        <v>635.6585310950021</v>
      </c>
      <c r="J30" s="530">
        <f t="shared" si="5"/>
        <v>845.21784460449828</v>
      </c>
      <c r="K30" s="257">
        <f t="shared" si="5"/>
        <v>1401.2105666156201</v>
      </c>
      <c r="L30" s="257" t="e">
        <f t="shared" si="5"/>
        <v>#REF!</v>
      </c>
      <c r="M30" s="257">
        <f>SUM(M15/M28)</f>
        <v>802.56521233682736</v>
      </c>
      <c r="N30" s="257" t="e">
        <f>SUM(N15/N28)</f>
        <v>#REF!</v>
      </c>
      <c r="O30" s="296" t="s">
        <v>72</v>
      </c>
      <c r="P30" s="180"/>
      <c r="Q30" s="185"/>
      <c r="R30" s="182"/>
      <c r="S30" s="182"/>
      <c r="T30" s="182"/>
      <c r="U30" s="285"/>
      <c r="V30" s="285"/>
    </row>
    <row r="31" spans="1:22" s="284" customFormat="1" x14ac:dyDescent="0.2">
      <c r="A31" s="284" t="s">
        <v>62</v>
      </c>
      <c r="B31" s="257">
        <f t="shared" ref="B31:L31" si="6">SUM(B26/B28)</f>
        <v>2350.1022727272725</v>
      </c>
      <c r="C31" s="257">
        <f t="shared" si="6"/>
        <v>872.83470150331812</v>
      </c>
      <c r="D31" s="257">
        <f t="shared" si="6"/>
        <v>931.57963446475196</v>
      </c>
      <c r="E31" s="257">
        <f t="shared" si="6"/>
        <v>2050.0021846520999</v>
      </c>
      <c r="F31" s="257">
        <f t="shared" si="6"/>
        <v>2318.1537584706857</v>
      </c>
      <c r="G31" s="257">
        <f t="shared" si="6"/>
        <v>1560.152036429633</v>
      </c>
      <c r="H31" s="295">
        <f t="shared" si="6"/>
        <v>1082.1862308785248</v>
      </c>
      <c r="I31" s="295">
        <f t="shared" si="6"/>
        <v>1186.7573445249905</v>
      </c>
      <c r="J31" s="530">
        <f t="shared" si="6"/>
        <v>2082.6876421531465</v>
      </c>
      <c r="K31" s="257">
        <f t="shared" si="6"/>
        <v>2515.5811638591117</v>
      </c>
      <c r="L31" s="257" t="e">
        <f t="shared" si="6"/>
        <v>#REF!</v>
      </c>
      <c r="M31" s="257">
        <f>SUM(M26/M28)</f>
        <v>1195.6694662779282</v>
      </c>
      <c r="N31" s="257" t="e">
        <f>SUM(N26/N28)</f>
        <v>#REF!</v>
      </c>
      <c r="O31" s="296" t="s">
        <v>73</v>
      </c>
      <c r="P31" s="285"/>
      <c r="Q31" s="285"/>
      <c r="R31" s="285"/>
      <c r="S31" s="285"/>
      <c r="T31" s="285"/>
      <c r="U31" s="285"/>
      <c r="V31" s="285"/>
    </row>
    <row r="32" spans="1:22" s="284" customFormat="1" ht="14.25" x14ac:dyDescent="0.2">
      <c r="A32" s="704" t="s">
        <v>324</v>
      </c>
      <c r="B32" s="945">
        <f t="shared" ref="B32:L32" si="7">B12/B21</f>
        <v>9.434386155102506E-2</v>
      </c>
      <c r="C32" s="945">
        <f t="shared" si="7"/>
        <v>0.25976128883738536</v>
      </c>
      <c r="D32" s="945">
        <f t="shared" si="7"/>
        <v>0.20776370981661041</v>
      </c>
      <c r="E32" s="945">
        <f t="shared" si="7"/>
        <v>0.12680195592983842</v>
      </c>
      <c r="F32" s="945">
        <f t="shared" si="7"/>
        <v>0.21937835301813888</v>
      </c>
      <c r="G32" s="945">
        <f t="shared" si="7"/>
        <v>0.3075622643000489</v>
      </c>
      <c r="H32" s="945">
        <f t="shared" si="7"/>
        <v>0.22951591753511971</v>
      </c>
      <c r="I32" s="945">
        <f t="shared" si="7"/>
        <v>0.24419704522133234</v>
      </c>
      <c r="J32" s="945">
        <f t="shared" si="7"/>
        <v>0.2849003330235455</v>
      </c>
      <c r="K32" s="945">
        <f t="shared" si="7"/>
        <v>0.39482610386459244</v>
      </c>
      <c r="L32" s="945">
        <f t="shared" si="7"/>
        <v>0.34847060103464705</v>
      </c>
      <c r="M32" s="945">
        <f>M12/M21</f>
        <v>0.34600732388561373</v>
      </c>
      <c r="N32" s="945" t="e">
        <f>N12/N21</f>
        <v>#REF!</v>
      </c>
      <c r="O32" s="557" t="s">
        <v>328</v>
      </c>
      <c r="P32" s="285"/>
      <c r="Q32" s="285"/>
      <c r="R32" s="285"/>
      <c r="S32" s="285"/>
      <c r="T32" s="285"/>
      <c r="U32" s="285"/>
      <c r="V32" s="285"/>
    </row>
    <row r="33" spans="1:22" s="284" customFormat="1" ht="14.25" x14ac:dyDescent="0.2">
      <c r="A33" s="704" t="s">
        <v>325</v>
      </c>
      <c r="B33" s="946">
        <f t="shared" ref="B33:L33" si="8">B13/B21</f>
        <v>1.3158786253525949E-3</v>
      </c>
      <c r="C33" s="946">
        <f t="shared" si="8"/>
        <v>6.7793501968450168E-3</v>
      </c>
      <c r="D33" s="946">
        <f t="shared" si="8"/>
        <v>1.5020084980702808E-3</v>
      </c>
      <c r="E33" s="946">
        <f t="shared" si="8"/>
        <v>2.183933345269774E-3</v>
      </c>
      <c r="F33" s="946">
        <f t="shared" si="8"/>
        <v>6.4375024554613573E-4</v>
      </c>
      <c r="G33" s="946">
        <f t="shared" si="8"/>
        <v>4.2097133621817051E-3</v>
      </c>
      <c r="H33" s="946">
        <f t="shared" si="8"/>
        <v>3.2265893906345635E-3</v>
      </c>
      <c r="I33" s="946">
        <f t="shared" si="8"/>
        <v>2.7981162528860136E-3</v>
      </c>
      <c r="J33" s="946">
        <f t="shared" si="8"/>
        <v>6.6920870073412819E-4</v>
      </c>
      <c r="K33" s="946">
        <f t="shared" si="8"/>
        <v>9.6944422593479348E-3</v>
      </c>
      <c r="L33" s="946">
        <f t="shared" si="8"/>
        <v>4.9661334005228356E-3</v>
      </c>
      <c r="M33" s="946">
        <f>M13/M21</f>
        <v>5.4167326120691216E-3</v>
      </c>
      <c r="N33" s="946" t="e">
        <f>N13/N21</f>
        <v>#REF!</v>
      </c>
      <c r="O33" s="557" t="s">
        <v>329</v>
      </c>
      <c r="P33" s="285"/>
      <c r="Q33" s="285"/>
      <c r="R33" s="285"/>
      <c r="S33" s="285"/>
      <c r="T33" s="285"/>
      <c r="U33" s="285"/>
      <c r="V33" s="285"/>
    </row>
    <row r="34" spans="1:22" s="284" customFormat="1" x14ac:dyDescent="0.2">
      <c r="A34" s="247"/>
      <c r="B34" s="265"/>
      <c r="C34" s="250"/>
      <c r="D34" s="250"/>
      <c r="I34" s="296"/>
      <c r="J34" s="245"/>
      <c r="K34" s="296"/>
      <c r="L34" s="296"/>
      <c r="M34" s="296"/>
      <c r="N34" s="296"/>
      <c r="P34" s="185"/>
      <c r="Q34" s="182"/>
      <c r="R34" s="182"/>
      <c r="S34" s="182"/>
      <c r="T34" s="285"/>
    </row>
    <row r="35" spans="1:22" s="284" customFormat="1" x14ac:dyDescent="0.2">
      <c r="A35" s="248" t="s">
        <v>194</v>
      </c>
      <c r="B35" s="270"/>
      <c r="C35" s="244"/>
      <c r="D35" s="245"/>
      <c r="G35" s="276" t="s">
        <v>191</v>
      </c>
      <c r="H35" s="276"/>
      <c r="I35" s="276"/>
      <c r="J35" s="245"/>
      <c r="K35" s="296"/>
      <c r="L35" s="296"/>
      <c r="M35" s="296"/>
      <c r="N35" s="296"/>
      <c r="P35" s="185"/>
      <c r="Q35" s="182"/>
      <c r="R35" s="182"/>
      <c r="S35" s="182"/>
      <c r="T35" s="285"/>
    </row>
    <row r="36" spans="1:22" s="284" customFormat="1" x14ac:dyDescent="0.2">
      <c r="A36" s="273" t="s">
        <v>185</v>
      </c>
      <c r="B36" s="250" t="s">
        <v>1</v>
      </c>
      <c r="C36" s="250" t="s">
        <v>186</v>
      </c>
      <c r="D36" s="250" t="s">
        <v>18</v>
      </c>
      <c r="G36" s="273" t="s">
        <v>185</v>
      </c>
      <c r="H36" s="250" t="s">
        <v>188</v>
      </c>
      <c r="I36" s="250" t="s">
        <v>186</v>
      </c>
      <c r="J36" s="250" t="s">
        <v>189</v>
      </c>
      <c r="K36" s="296"/>
      <c r="L36" s="296"/>
      <c r="M36" s="296"/>
      <c r="N36" s="296"/>
    </row>
    <row r="37" spans="1:22" s="284" customFormat="1" x14ac:dyDescent="0.2">
      <c r="A37" s="273">
        <v>2006</v>
      </c>
      <c r="B37" s="274">
        <v>449651</v>
      </c>
      <c r="C37" s="274">
        <f>B15</f>
        <v>41507</v>
      </c>
      <c r="D37" s="275">
        <f t="shared" ref="D37:D45" si="9">IF(ISERROR(C37/B37),"-",(C37/B37))</f>
        <v>9.2309368821597196E-2</v>
      </c>
      <c r="G37" s="273">
        <v>2006</v>
      </c>
      <c r="H37" s="278">
        <v>80495</v>
      </c>
      <c r="I37" s="278">
        <v>14238</v>
      </c>
      <c r="J37" s="275">
        <f t="shared" ref="J37:J45" si="10">IF(ISERROR(I37/H37),"-",(I37/H37))</f>
        <v>0.1768805515870551</v>
      </c>
      <c r="K37" s="296"/>
      <c r="L37" s="296"/>
      <c r="M37" s="296"/>
      <c r="N37" s="296"/>
    </row>
    <row r="38" spans="1:22" s="284" customFormat="1" x14ac:dyDescent="0.2">
      <c r="A38" s="273">
        <v>2007</v>
      </c>
      <c r="B38" s="274">
        <v>450000</v>
      </c>
      <c r="C38" s="274">
        <f>C15</f>
        <v>192777</v>
      </c>
      <c r="D38" s="275">
        <f t="shared" si="9"/>
        <v>0.42839333333333335</v>
      </c>
      <c r="G38" s="273">
        <v>2007</v>
      </c>
      <c r="H38" s="278">
        <v>48702</v>
      </c>
      <c r="I38" s="278">
        <f>C20</f>
        <v>31695</v>
      </c>
      <c r="J38" s="275">
        <f t="shared" si="10"/>
        <v>0.65079462855734882</v>
      </c>
      <c r="K38" s="296"/>
      <c r="L38" s="296"/>
      <c r="M38" s="296"/>
      <c r="N38" s="296"/>
    </row>
    <row r="39" spans="1:22" s="284" customFormat="1" x14ac:dyDescent="0.2">
      <c r="A39" s="273">
        <v>2008</v>
      </c>
      <c r="B39" s="274">
        <v>450000</v>
      </c>
      <c r="C39" s="274">
        <f>D15</f>
        <v>670440.06000000006</v>
      </c>
      <c r="D39" s="275">
        <f t="shared" si="9"/>
        <v>1.4898668000000002</v>
      </c>
      <c r="G39" s="273">
        <v>2008</v>
      </c>
      <c r="H39" s="278">
        <v>62611</v>
      </c>
      <c r="I39" s="278">
        <v>159470</v>
      </c>
      <c r="J39" s="275">
        <f t="shared" si="10"/>
        <v>2.54699653415534</v>
      </c>
      <c r="K39" s="296"/>
      <c r="L39" s="296"/>
      <c r="M39" s="296"/>
      <c r="N39" s="296"/>
    </row>
    <row r="40" spans="1:22" s="284" customFormat="1" x14ac:dyDescent="0.2">
      <c r="A40" s="273">
        <v>2009</v>
      </c>
      <c r="B40" s="274">
        <v>700000</v>
      </c>
      <c r="C40" s="274">
        <f>+E15</f>
        <v>540287.68999999994</v>
      </c>
      <c r="D40" s="275">
        <f t="shared" si="9"/>
        <v>0.77183955714285701</v>
      </c>
      <c r="G40" s="273">
        <v>2009</v>
      </c>
      <c r="H40" s="278">
        <v>120531.01543112575</v>
      </c>
      <c r="I40" s="278">
        <f>+E20</f>
        <v>176102</v>
      </c>
      <c r="J40" s="275">
        <f t="shared" si="10"/>
        <v>1.4610513266656151</v>
      </c>
      <c r="K40" s="296"/>
      <c r="L40" s="296"/>
      <c r="M40" s="296"/>
      <c r="N40" s="296"/>
    </row>
    <row r="41" spans="1:22" s="284" customFormat="1" x14ac:dyDescent="0.2">
      <c r="A41" s="273">
        <v>2010</v>
      </c>
      <c r="B41" s="274">
        <v>700000</v>
      </c>
      <c r="C41" s="274">
        <v>1296150.17</v>
      </c>
      <c r="D41" s="275">
        <f t="shared" si="9"/>
        <v>1.8516431</v>
      </c>
      <c r="G41" s="273">
        <v>2010</v>
      </c>
      <c r="H41" s="278">
        <v>123219</v>
      </c>
      <c r="I41" s="278">
        <v>319120</v>
      </c>
      <c r="J41" s="275">
        <f t="shared" si="10"/>
        <v>2.5898603299815774</v>
      </c>
      <c r="K41" s="296"/>
      <c r="L41" s="296"/>
      <c r="M41" s="296"/>
      <c r="N41" s="296"/>
    </row>
    <row r="42" spans="1:22" s="284" customFormat="1" x14ac:dyDescent="0.2">
      <c r="A42" s="273">
        <v>2011</v>
      </c>
      <c r="B42" s="274">
        <v>1500000</v>
      </c>
      <c r="C42" s="274">
        <v>1401787.64</v>
      </c>
      <c r="D42" s="275">
        <f t="shared" si="9"/>
        <v>0.93452509333333322</v>
      </c>
      <c r="G42" s="273">
        <v>2011</v>
      </c>
      <c r="H42" s="278">
        <v>232898</v>
      </c>
      <c r="I42" s="278">
        <v>243084.73899999642</v>
      </c>
      <c r="J42" s="275">
        <f t="shared" si="10"/>
        <v>1.0437390574414398</v>
      </c>
      <c r="K42" s="296"/>
      <c r="L42" s="296"/>
      <c r="M42" s="296"/>
      <c r="N42" s="296"/>
    </row>
    <row r="43" spans="1:22" s="284" customFormat="1" x14ac:dyDescent="0.2">
      <c r="A43" s="273">
        <v>2012</v>
      </c>
      <c r="B43" s="274">
        <v>1824790</v>
      </c>
      <c r="C43" s="274">
        <f>+H15</f>
        <v>1285236</v>
      </c>
      <c r="D43" s="275">
        <f t="shared" si="9"/>
        <v>0.70431994914483309</v>
      </c>
      <c r="G43" s="273">
        <v>2012</v>
      </c>
      <c r="H43" s="570">
        <v>243767</v>
      </c>
      <c r="I43" s="278">
        <f>+H20</f>
        <v>230765</v>
      </c>
      <c r="J43" s="275">
        <f t="shared" si="10"/>
        <v>0.94666218150939219</v>
      </c>
      <c r="K43" s="296"/>
      <c r="L43" s="296"/>
      <c r="M43" s="296"/>
      <c r="N43" s="296"/>
    </row>
    <row r="44" spans="1:22" s="284" customFormat="1" x14ac:dyDescent="0.2">
      <c r="A44" s="273">
        <v>2013</v>
      </c>
      <c r="B44" s="274">
        <v>1726574</v>
      </c>
      <c r="C44" s="274">
        <f>I15</f>
        <v>1666061.0100000005</v>
      </c>
      <c r="D44" s="275">
        <f t="shared" si="9"/>
        <v>0.96495198584016695</v>
      </c>
      <c r="G44" s="273">
        <v>2013</v>
      </c>
      <c r="H44" s="278">
        <v>224000</v>
      </c>
      <c r="I44" s="278">
        <f>I20</f>
        <v>283536</v>
      </c>
      <c r="J44" s="275">
        <f t="shared" si="10"/>
        <v>1.2657857142857143</v>
      </c>
      <c r="K44" s="296"/>
      <c r="L44" s="296"/>
      <c r="M44" s="296"/>
      <c r="N44" s="296"/>
    </row>
    <row r="45" spans="1:22" s="284" customFormat="1" x14ac:dyDescent="0.2">
      <c r="A45" s="273">
        <v>2014</v>
      </c>
      <c r="B45" s="274">
        <f>1758104+787250</f>
        <v>2545354</v>
      </c>
      <c r="C45" s="274">
        <f>J15</f>
        <v>3344527.0110999998</v>
      </c>
      <c r="D45" s="275">
        <f t="shared" si="9"/>
        <v>1.313973227731781</v>
      </c>
      <c r="G45" s="273">
        <v>2014</v>
      </c>
      <c r="H45" s="278">
        <f>216336+167523</f>
        <v>383859</v>
      </c>
      <c r="I45" s="278">
        <f>J20</f>
        <v>500616</v>
      </c>
      <c r="J45" s="275">
        <f t="shared" si="10"/>
        <v>1.3041663735903026</v>
      </c>
      <c r="K45" s="296"/>
      <c r="L45" s="296"/>
      <c r="M45" s="296"/>
      <c r="N45" s="296"/>
    </row>
    <row r="46" spans="1:22" s="284" customFormat="1" x14ac:dyDescent="0.2">
      <c r="A46" s="273">
        <v>2015</v>
      </c>
      <c r="B46" s="274">
        <f>K15</f>
        <v>1829981</v>
      </c>
      <c r="C46" s="274"/>
      <c r="D46" s="275"/>
      <c r="G46" s="273">
        <v>2015</v>
      </c>
      <c r="H46" s="278">
        <f>K20</f>
        <v>183113</v>
      </c>
      <c r="I46" s="278"/>
      <c r="J46" s="275"/>
      <c r="K46" s="296"/>
      <c r="L46" s="296"/>
      <c r="M46" s="296"/>
      <c r="N46" s="296"/>
    </row>
    <row r="47" spans="1:22" s="284" customFormat="1" x14ac:dyDescent="0.2">
      <c r="A47" s="273">
        <v>2016</v>
      </c>
      <c r="B47" s="274">
        <f>L15</f>
        <v>3037815.9</v>
      </c>
      <c r="C47" s="274"/>
      <c r="D47" s="275"/>
      <c r="G47" s="273">
        <v>2016</v>
      </c>
      <c r="H47" s="278">
        <f>L20</f>
        <v>378984.42087716545</v>
      </c>
      <c r="I47" s="279"/>
      <c r="J47" s="279"/>
      <c r="K47" s="296"/>
      <c r="L47" s="296"/>
      <c r="M47" s="296"/>
      <c r="N47" s="296"/>
    </row>
    <row r="48" spans="1:22" s="284" customFormat="1" x14ac:dyDescent="0.2">
      <c r="A48" s="273">
        <v>2017</v>
      </c>
      <c r="B48" s="274">
        <f>M15</f>
        <v>3072016.9</v>
      </c>
      <c r="C48" s="274"/>
      <c r="D48" s="275"/>
      <c r="G48" s="273">
        <v>2017</v>
      </c>
      <c r="H48" s="278">
        <f>M20</f>
        <v>358136.71972043114</v>
      </c>
      <c r="I48" s="279"/>
      <c r="J48" s="279"/>
      <c r="K48" s="296"/>
      <c r="L48" s="296"/>
      <c r="M48" s="296"/>
      <c r="N48" s="296"/>
    </row>
    <row r="49" spans="1:14" s="284" customFormat="1" x14ac:dyDescent="0.2">
      <c r="A49" s="273">
        <v>2018</v>
      </c>
      <c r="B49" s="274">
        <f>N15</f>
        <v>5516799.5799999991</v>
      </c>
      <c r="C49" s="274"/>
      <c r="D49" s="275"/>
      <c r="G49" s="273">
        <v>2018</v>
      </c>
      <c r="H49" s="278" t="e">
        <f>N20</f>
        <v>#REF!</v>
      </c>
      <c r="I49" s="279"/>
      <c r="J49" s="279"/>
      <c r="K49" s="296"/>
      <c r="L49" s="296"/>
      <c r="M49" s="296"/>
      <c r="N49" s="296"/>
    </row>
    <row r="50" spans="1:14" s="284" customFormat="1" x14ac:dyDescent="0.2">
      <c r="A50" s="273"/>
      <c r="B50" s="274"/>
      <c r="C50" s="274"/>
      <c r="D50" s="275"/>
      <c r="G50" s="273"/>
      <c r="H50" s="279"/>
      <c r="I50" s="279"/>
      <c r="J50" s="279"/>
      <c r="K50" s="296"/>
      <c r="L50" s="296"/>
      <c r="M50" s="296"/>
      <c r="N50" s="296"/>
    </row>
    <row r="51" spans="1:14" s="284" customFormat="1" x14ac:dyDescent="0.2">
      <c r="A51" s="276" t="s">
        <v>193</v>
      </c>
      <c r="B51" s="277"/>
      <c r="C51" s="277"/>
      <c r="D51" s="244"/>
      <c r="G51" s="276" t="s">
        <v>190</v>
      </c>
      <c r="H51" s="276"/>
      <c r="I51" s="276"/>
      <c r="J51" s="276"/>
      <c r="K51" s="296"/>
      <c r="L51" s="296"/>
      <c r="M51" s="296"/>
      <c r="N51" s="296"/>
    </row>
    <row r="52" spans="1:14" s="284" customFormat="1" x14ac:dyDescent="0.2">
      <c r="A52" s="273" t="s">
        <v>185</v>
      </c>
      <c r="B52" s="250" t="s">
        <v>188</v>
      </c>
      <c r="C52" s="250" t="s">
        <v>186</v>
      </c>
      <c r="D52" s="250" t="s">
        <v>189</v>
      </c>
      <c r="G52" s="273" t="s">
        <v>185</v>
      </c>
      <c r="H52" s="250" t="s">
        <v>188</v>
      </c>
      <c r="I52" s="250" t="s">
        <v>186</v>
      </c>
      <c r="J52" s="250" t="s">
        <v>189</v>
      </c>
      <c r="K52" s="296"/>
      <c r="L52" s="296"/>
      <c r="M52" s="296"/>
      <c r="N52" s="296"/>
    </row>
    <row r="53" spans="1:14" s="284" customFormat="1" x14ac:dyDescent="0.2">
      <c r="A53" s="273">
        <v>2006</v>
      </c>
      <c r="B53" s="278">
        <v>1004</v>
      </c>
      <c r="C53" s="278">
        <v>88</v>
      </c>
      <c r="D53" s="275">
        <f t="shared" ref="D53:D62" si="11">IF(ISERROR(C53/B53),"-",(C53/B53))</f>
        <v>8.7649402390438252E-2</v>
      </c>
      <c r="G53" s="273">
        <v>2006</v>
      </c>
      <c r="H53" s="278">
        <v>1448905</v>
      </c>
      <c r="I53" s="278">
        <v>280421</v>
      </c>
      <c r="J53" s="275">
        <f t="shared" ref="J53:J61" si="12">IF(ISERROR(I53/H53),"-",(I53/H53))</f>
        <v>0.19353994913400119</v>
      </c>
      <c r="K53" s="296"/>
      <c r="L53" s="296"/>
      <c r="M53" s="296"/>
      <c r="N53" s="296"/>
    </row>
    <row r="54" spans="1:14" s="284" customFormat="1" x14ac:dyDescent="0.2">
      <c r="A54" s="273">
        <v>2007</v>
      </c>
      <c r="B54" s="278">
        <v>1127</v>
      </c>
      <c r="C54" s="278">
        <f>C28</f>
        <v>430</v>
      </c>
      <c r="D54" s="275">
        <f t="shared" si="11"/>
        <v>0.3815439219165927</v>
      </c>
      <c r="G54" s="273">
        <v>2007</v>
      </c>
      <c r="H54" s="278">
        <v>1146993</v>
      </c>
      <c r="I54" s="278">
        <f>C21</f>
        <v>512586</v>
      </c>
      <c r="J54" s="275">
        <f t="shared" si="12"/>
        <v>0.44689549107971888</v>
      </c>
      <c r="K54" s="296"/>
      <c r="L54" s="296"/>
      <c r="M54" s="296"/>
      <c r="N54" s="296"/>
    </row>
    <row r="55" spans="1:14" s="284" customFormat="1" x14ac:dyDescent="0.2">
      <c r="A55" s="273">
        <v>2008</v>
      </c>
      <c r="B55" s="278">
        <v>1149</v>
      </c>
      <c r="C55" s="278">
        <v>1870</v>
      </c>
      <c r="D55" s="275">
        <f t="shared" si="11"/>
        <v>1.6275021758050479</v>
      </c>
      <c r="G55" s="273">
        <v>2008</v>
      </c>
      <c r="H55" s="278">
        <v>1126993</v>
      </c>
      <c r="I55" s="278">
        <v>2792634</v>
      </c>
      <c r="J55" s="275">
        <f t="shared" si="12"/>
        <v>2.477951504578999</v>
      </c>
      <c r="K55" s="296"/>
      <c r="L55" s="296"/>
      <c r="M55" s="296"/>
      <c r="N55" s="296"/>
    </row>
    <row r="56" spans="1:14" s="284" customFormat="1" x14ac:dyDescent="0.2">
      <c r="A56" s="273">
        <v>2009</v>
      </c>
      <c r="B56" s="278">
        <v>1740</v>
      </c>
      <c r="C56" s="278">
        <f>+E28</f>
        <v>1421</v>
      </c>
      <c r="D56" s="275">
        <f t="shared" si="11"/>
        <v>0.81666666666666665</v>
      </c>
      <c r="G56" s="273">
        <v>2009</v>
      </c>
      <c r="H56" s="278">
        <v>2357898.2146931309</v>
      </c>
      <c r="I56" s="278">
        <f>+E21</f>
        <v>3239380</v>
      </c>
      <c r="J56" s="275">
        <f t="shared" si="12"/>
        <v>1.3738421700368393</v>
      </c>
      <c r="K56" s="296"/>
      <c r="L56" s="296"/>
      <c r="M56" s="296"/>
      <c r="N56" s="296"/>
    </row>
    <row r="57" spans="1:14" s="284" customFormat="1" x14ac:dyDescent="0.2">
      <c r="A57" s="273">
        <v>2010</v>
      </c>
      <c r="B57" s="278">
        <v>1895</v>
      </c>
      <c r="C57" s="278">
        <v>2538</v>
      </c>
      <c r="D57" s="275">
        <f t="shared" si="11"/>
        <v>1.3393139841688655</v>
      </c>
      <c r="G57" s="273">
        <v>2010</v>
      </c>
      <c r="H57" s="278">
        <v>2556743</v>
      </c>
      <c r="I57" s="278">
        <v>5472495</v>
      </c>
      <c r="J57" s="275">
        <f t="shared" si="12"/>
        <v>2.1404165377591724</v>
      </c>
      <c r="K57" s="296"/>
      <c r="L57" s="296"/>
      <c r="M57" s="296"/>
      <c r="N57" s="296"/>
    </row>
    <row r="58" spans="1:14" s="284" customFormat="1" x14ac:dyDescent="0.2">
      <c r="A58" s="273">
        <v>2011</v>
      </c>
      <c r="B58" s="278">
        <v>2006</v>
      </c>
      <c r="C58" s="278">
        <v>2369</v>
      </c>
      <c r="D58" s="275">
        <f t="shared" si="11"/>
        <v>1.1809571286141576</v>
      </c>
      <c r="G58" s="273">
        <v>2011</v>
      </c>
      <c r="H58" s="278">
        <v>3780021</v>
      </c>
      <c r="I58" s="278">
        <v>4180120.7079999885</v>
      </c>
      <c r="J58" s="275">
        <f t="shared" si="12"/>
        <v>1.1058458955651274</v>
      </c>
      <c r="K58" s="296"/>
      <c r="L58" s="296"/>
      <c r="M58" s="296"/>
      <c r="N58" s="296"/>
    </row>
    <row r="59" spans="1:14" s="284" customFormat="1" x14ac:dyDescent="0.2">
      <c r="A59" s="273">
        <v>2012</v>
      </c>
      <c r="B59" s="509">
        <v>2042</v>
      </c>
      <c r="C59" s="278">
        <f>+H28</f>
        <v>2049</v>
      </c>
      <c r="D59" s="275">
        <f t="shared" si="11"/>
        <v>1.0034280117531831</v>
      </c>
      <c r="G59" s="273">
        <v>2012</v>
      </c>
      <c r="H59" s="570">
        <v>4806811</v>
      </c>
      <c r="I59" s="278">
        <f>+H21</f>
        <v>4359092</v>
      </c>
      <c r="J59" s="275">
        <f t="shared" si="12"/>
        <v>0.90685737383891318</v>
      </c>
      <c r="K59" s="296"/>
      <c r="L59" s="296"/>
      <c r="M59" s="296"/>
      <c r="N59" s="296"/>
    </row>
    <row r="60" spans="1:14" s="284" customFormat="1" x14ac:dyDescent="0.2">
      <c r="A60" s="273">
        <v>2013</v>
      </c>
      <c r="B60" s="278">
        <v>2160</v>
      </c>
      <c r="C60" s="278">
        <f>I28</f>
        <v>2621</v>
      </c>
      <c r="D60" s="275">
        <f t="shared" si="11"/>
        <v>1.2134259259259259</v>
      </c>
      <c r="G60" s="273">
        <v>2013</v>
      </c>
      <c r="H60" s="554">
        <v>4453012</v>
      </c>
      <c r="I60" s="314">
        <f>I21</f>
        <v>5613280</v>
      </c>
      <c r="J60" s="275">
        <f t="shared" si="12"/>
        <v>1.2605580223004116</v>
      </c>
      <c r="K60" s="296"/>
      <c r="L60" s="296"/>
      <c r="M60" s="296"/>
      <c r="N60" s="296"/>
    </row>
    <row r="61" spans="1:14" s="284" customFormat="1" x14ac:dyDescent="0.2">
      <c r="A61" s="273">
        <v>2014</v>
      </c>
      <c r="B61" s="278">
        <f>3402+1500</f>
        <v>4902</v>
      </c>
      <c r="C61" s="278">
        <f>J28</f>
        <v>3957</v>
      </c>
      <c r="D61" s="275">
        <f t="shared" si="11"/>
        <v>0.80722154222766218</v>
      </c>
      <c r="G61" s="273">
        <v>2014</v>
      </c>
      <c r="H61" s="278">
        <f>4319061+3339200</f>
        <v>7658261</v>
      </c>
      <c r="I61" s="278">
        <f>J21</f>
        <v>10146730</v>
      </c>
      <c r="J61" s="275">
        <f t="shared" si="12"/>
        <v>1.324939173527776</v>
      </c>
      <c r="K61" s="296"/>
      <c r="L61" s="296"/>
      <c r="M61" s="296"/>
      <c r="N61" s="296"/>
    </row>
    <row r="62" spans="1:14" s="284" customFormat="1" x14ac:dyDescent="0.2">
      <c r="A62" s="273">
        <v>2015</v>
      </c>
      <c r="B62" s="278">
        <f>K28</f>
        <v>1306</v>
      </c>
      <c r="C62" s="278" t="s">
        <v>187</v>
      </c>
      <c r="D62" s="275" t="str">
        <f t="shared" si="11"/>
        <v>-</v>
      </c>
      <c r="G62" s="273">
        <v>2015</v>
      </c>
      <c r="H62" s="278">
        <f>K21</f>
        <v>3610316</v>
      </c>
      <c r="I62" s="278"/>
      <c r="J62" s="275"/>
      <c r="K62" s="296"/>
      <c r="L62" s="296"/>
      <c r="M62" s="296"/>
      <c r="N62" s="296"/>
    </row>
    <row r="63" spans="1:14" s="284" customFormat="1" x14ac:dyDescent="0.2">
      <c r="A63" s="273">
        <v>2016</v>
      </c>
      <c r="B63" s="278" t="e">
        <f>L28</f>
        <v>#REF!</v>
      </c>
      <c r="C63" s="245"/>
      <c r="D63" s="245"/>
      <c r="G63" s="273">
        <v>2016</v>
      </c>
      <c r="H63" s="278">
        <f>L21</f>
        <v>7047736.5743568614</v>
      </c>
      <c r="I63" s="296"/>
      <c r="J63" s="245"/>
      <c r="K63" s="296"/>
      <c r="L63" s="296"/>
      <c r="M63" s="296"/>
      <c r="N63" s="296"/>
    </row>
    <row r="64" spans="1:14" s="284" customFormat="1" x14ac:dyDescent="0.2">
      <c r="A64" s="273">
        <v>2017</v>
      </c>
      <c r="B64" s="278">
        <f>M28</f>
        <v>3827.7473939534648</v>
      </c>
      <c r="G64" s="273">
        <v>2017</v>
      </c>
      <c r="H64" s="278">
        <f>M21</f>
        <v>7384525.4814452659</v>
      </c>
      <c r="I64" s="296"/>
      <c r="J64" s="245"/>
      <c r="K64" s="296"/>
      <c r="L64" s="296"/>
      <c r="M64" s="296"/>
      <c r="N64" s="296"/>
    </row>
    <row r="65" spans="1:14" s="284" customFormat="1" x14ac:dyDescent="0.2">
      <c r="A65" s="273">
        <v>2018</v>
      </c>
      <c r="B65" s="278" t="e">
        <f>N28</f>
        <v>#REF!</v>
      </c>
      <c r="G65" s="273">
        <v>2018</v>
      </c>
      <c r="H65" s="278" t="e">
        <f>N21</f>
        <v>#REF!</v>
      </c>
      <c r="I65" s="296"/>
      <c r="J65" s="245"/>
      <c r="K65" s="296"/>
      <c r="L65" s="296"/>
      <c r="M65" s="296"/>
      <c r="N65" s="296"/>
    </row>
    <row r="66" spans="1:14" s="284" customFormat="1" x14ac:dyDescent="0.2">
      <c r="I66" s="296"/>
      <c r="J66" s="245"/>
      <c r="K66" s="296"/>
      <c r="L66" s="296"/>
      <c r="M66" s="296"/>
      <c r="N66" s="296"/>
    </row>
    <row r="67" spans="1:14" s="284" customFormat="1" x14ac:dyDescent="0.2">
      <c r="I67" s="296"/>
      <c r="J67" s="245"/>
      <c r="K67" s="296"/>
      <c r="L67" s="296"/>
      <c r="M67" s="296"/>
      <c r="N67" s="296"/>
    </row>
    <row r="68" spans="1:14" s="284" customFormat="1" x14ac:dyDescent="0.2">
      <c r="I68" s="296"/>
      <c r="J68" s="245"/>
      <c r="K68" s="296"/>
      <c r="L68" s="296"/>
      <c r="M68" s="296"/>
      <c r="N68" s="296"/>
    </row>
    <row r="69" spans="1:14" s="284" customFormat="1" x14ac:dyDescent="0.2">
      <c r="I69" s="296"/>
      <c r="J69" s="245"/>
      <c r="K69" s="296"/>
      <c r="L69" s="296"/>
      <c r="M69" s="296"/>
      <c r="N69" s="296"/>
    </row>
    <row r="70" spans="1:14" s="284" customFormat="1" x14ac:dyDescent="0.2">
      <c r="I70" s="296"/>
      <c r="J70" s="245"/>
      <c r="K70" s="296"/>
      <c r="L70" s="296"/>
      <c r="M70" s="296"/>
      <c r="N70" s="296"/>
    </row>
    <row r="71" spans="1:14" s="284" customFormat="1" x14ac:dyDescent="0.2">
      <c r="I71" s="296"/>
      <c r="J71" s="245"/>
      <c r="K71" s="296"/>
      <c r="L71" s="296"/>
      <c r="M71" s="296"/>
      <c r="N71" s="296"/>
    </row>
    <row r="72" spans="1:14" s="284" customFormat="1" x14ac:dyDescent="0.2">
      <c r="I72" s="296"/>
      <c r="J72" s="245"/>
      <c r="K72" s="296"/>
      <c r="L72" s="296"/>
      <c r="M72" s="296"/>
      <c r="N72" s="296"/>
    </row>
    <row r="73" spans="1:14" s="284" customFormat="1" x14ac:dyDescent="0.2">
      <c r="I73" s="296"/>
      <c r="J73" s="245"/>
      <c r="K73" s="296"/>
      <c r="L73" s="296"/>
      <c r="M73" s="296"/>
      <c r="N73" s="296"/>
    </row>
    <row r="74" spans="1:14" s="284" customFormat="1" x14ac:dyDescent="0.2">
      <c r="I74" s="296"/>
      <c r="J74" s="245"/>
      <c r="K74" s="296"/>
      <c r="L74" s="296"/>
      <c r="M74" s="296"/>
      <c r="N74" s="296"/>
    </row>
    <row r="75" spans="1:14" s="284" customFormat="1" x14ac:dyDescent="0.2">
      <c r="I75" s="296"/>
      <c r="J75" s="245"/>
      <c r="K75" s="296"/>
      <c r="L75" s="296"/>
      <c r="M75" s="296"/>
      <c r="N75" s="296"/>
    </row>
    <row r="76" spans="1:14" s="284" customFormat="1" x14ac:dyDescent="0.2">
      <c r="I76" s="296"/>
      <c r="J76" s="245"/>
      <c r="K76" s="296"/>
      <c r="L76" s="296"/>
      <c r="M76" s="296"/>
      <c r="N76" s="296"/>
    </row>
    <row r="77" spans="1:14" s="284" customFormat="1" x14ac:dyDescent="0.2">
      <c r="I77" s="296"/>
      <c r="J77" s="245"/>
      <c r="K77" s="296"/>
      <c r="L77" s="296"/>
      <c r="M77" s="296"/>
      <c r="N77" s="296"/>
    </row>
    <row r="78" spans="1:14" s="284" customFormat="1" x14ac:dyDescent="0.2">
      <c r="I78" s="296"/>
      <c r="J78" s="245"/>
      <c r="K78" s="296"/>
      <c r="L78" s="296"/>
      <c r="M78" s="296"/>
      <c r="N78" s="296"/>
    </row>
    <row r="79" spans="1:14" s="284" customFormat="1" x14ac:dyDescent="0.2">
      <c r="I79" s="296"/>
      <c r="J79" s="245"/>
      <c r="K79" s="296"/>
      <c r="L79" s="296"/>
      <c r="M79" s="296"/>
      <c r="N79" s="296"/>
    </row>
    <row r="80" spans="1:14" s="284" customFormat="1" x14ac:dyDescent="0.2">
      <c r="I80" s="296"/>
      <c r="J80" s="245"/>
      <c r="K80" s="296"/>
      <c r="L80" s="296"/>
      <c r="M80" s="296"/>
      <c r="N80" s="296"/>
    </row>
    <row r="81" spans="3:14" s="284" customFormat="1" x14ac:dyDescent="0.2">
      <c r="I81" s="296"/>
      <c r="J81" s="245"/>
      <c r="K81" s="296"/>
      <c r="L81" s="296"/>
      <c r="M81" s="296"/>
      <c r="N81" s="296"/>
    </row>
    <row r="82" spans="3:14" s="284" customFormat="1" x14ac:dyDescent="0.2">
      <c r="I82" s="296"/>
      <c r="J82" s="245"/>
      <c r="K82" s="296"/>
      <c r="L82" s="296"/>
      <c r="M82" s="296"/>
      <c r="N82" s="296"/>
    </row>
    <row r="83" spans="3:14" s="284" customFormat="1" x14ac:dyDescent="0.2">
      <c r="I83" s="296"/>
      <c r="J83" s="245"/>
      <c r="K83" s="296"/>
      <c r="L83" s="296"/>
      <c r="M83" s="296"/>
      <c r="N83" s="296"/>
    </row>
    <row r="84" spans="3:14" s="284" customFormat="1" x14ac:dyDescent="0.2">
      <c r="I84" s="296"/>
      <c r="J84" s="245"/>
      <c r="K84" s="296"/>
      <c r="L84" s="296"/>
      <c r="M84" s="296"/>
      <c r="N84" s="296"/>
    </row>
    <row r="85" spans="3:14" s="284" customFormat="1" x14ac:dyDescent="0.2">
      <c r="I85" s="296"/>
      <c r="J85" s="245"/>
      <c r="K85" s="296"/>
      <c r="L85" s="296"/>
      <c r="M85" s="296"/>
      <c r="N85" s="296"/>
    </row>
    <row r="86" spans="3:14" s="284" customFormat="1" x14ac:dyDescent="0.2">
      <c r="I86" s="296"/>
      <c r="J86" s="245"/>
      <c r="K86" s="296"/>
      <c r="L86" s="296"/>
      <c r="M86" s="296"/>
      <c r="N86" s="296"/>
    </row>
    <row r="87" spans="3:14" x14ac:dyDescent="0.2">
      <c r="E87" s="3"/>
      <c r="F87" s="3"/>
      <c r="G87" s="3"/>
      <c r="H87" s="3"/>
      <c r="I87" s="181"/>
      <c r="K87" s="181"/>
      <c r="L87" s="181"/>
      <c r="M87" s="181"/>
      <c r="N87" s="181"/>
    </row>
    <row r="93" spans="3:14" x14ac:dyDescent="0.2">
      <c r="C93" s="273"/>
    </row>
    <row r="94" spans="3:14" x14ac:dyDescent="0.2">
      <c r="C94" s="273"/>
    </row>
    <row r="95" spans="3:14" x14ac:dyDescent="0.2">
      <c r="C95" s="273"/>
    </row>
    <row r="96" spans="3:14" x14ac:dyDescent="0.2">
      <c r="C96" s="273"/>
    </row>
    <row r="97" spans="3:3" x14ac:dyDescent="0.2">
      <c r="C97" s="273"/>
    </row>
    <row r="98" spans="3:3" x14ac:dyDescent="0.2">
      <c r="C98" s="273"/>
    </row>
    <row r="99" spans="3:3" x14ac:dyDescent="0.2">
      <c r="C99" s="273"/>
    </row>
    <row r="100" spans="3:3" x14ac:dyDescent="0.2">
      <c r="C100" s="273"/>
    </row>
  </sheetData>
  <mergeCells count="1">
    <mergeCell ref="A1:O1"/>
  </mergeCells>
  <phoneticPr fontId="10" type="noConversion"/>
  <pageMargins left="0.98" right="0.75" top="1.1499999999999999" bottom="1" header="0.5" footer="0.5"/>
  <pageSetup scale="55" fitToHeight="0" orientation="landscape" r:id="rId1"/>
  <headerFooter alignWithMargins="0">
    <oddFooter>&amp;C&amp;1#&amp;"Calibri"&amp;12&amp;K008000Internal Use</oddFooter>
  </headerFooter>
  <rowBreaks count="1" manualBreakCount="1">
    <brk id="34" max="14"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25">
    <tabColor indexed="47"/>
    <pageSetUpPr fitToPage="1"/>
  </sheetPr>
  <dimension ref="A1:V75"/>
  <sheetViews>
    <sheetView view="pageBreakPreview" zoomScale="60" zoomScaleNormal="100" workbookViewId="0">
      <selection activeCell="W61" sqref="W61"/>
    </sheetView>
  </sheetViews>
  <sheetFormatPr defaultRowHeight="12.75" x14ac:dyDescent="0.2"/>
  <cols>
    <col min="1" max="1" width="39.28515625" style="168" bestFit="1" customWidth="1"/>
    <col min="2" max="11" width="13.42578125" style="168" customWidth="1"/>
    <col min="12" max="12" width="6.85546875" style="245" customWidth="1"/>
    <col min="13" max="14" width="9.85546875" style="168" customWidth="1"/>
    <col min="15" max="15" width="6.85546875" style="168" bestFit="1" customWidth="1"/>
    <col min="16" max="16" width="9.140625" style="168"/>
    <col min="17" max="17" width="14.140625" style="168" customWidth="1"/>
    <col min="18" max="18" width="3.28515625" style="168" customWidth="1"/>
    <col min="19" max="19" width="3.7109375" style="168" customWidth="1"/>
    <col min="20" max="20" width="11.42578125" style="168" customWidth="1"/>
    <col min="21" max="21" width="10.7109375" style="168" customWidth="1"/>
    <col min="22" max="22" width="12.28515625" style="168" customWidth="1"/>
    <col min="23" max="16384" width="9.140625" style="168"/>
  </cols>
  <sheetData>
    <row r="1" spans="1:22" ht="15.75" x14ac:dyDescent="0.25">
      <c r="A1" s="3055" t="s">
        <v>76</v>
      </c>
      <c r="B1" s="3055"/>
      <c r="C1" s="3055"/>
      <c r="D1" s="3055"/>
      <c r="E1" s="3055"/>
      <c r="F1" s="3055"/>
      <c r="G1" s="3055"/>
      <c r="H1" s="3055"/>
      <c r="I1" s="3055"/>
      <c r="J1" s="3055"/>
      <c r="K1" s="3055"/>
      <c r="L1" s="3055"/>
      <c r="M1" s="1914"/>
      <c r="N1" s="1914"/>
      <c r="O1" s="1914"/>
      <c r="P1" s="1914"/>
      <c r="Q1" s="170"/>
      <c r="R1" s="170"/>
      <c r="S1" s="170"/>
      <c r="T1" s="170"/>
      <c r="U1" s="170"/>
      <c r="V1" s="170"/>
    </row>
    <row r="2" spans="1:22" x14ac:dyDescent="0.2">
      <c r="A2" s="169"/>
      <c r="Q2" s="170"/>
      <c r="R2" s="170"/>
      <c r="S2" s="170"/>
      <c r="T2" s="170"/>
      <c r="U2" s="170"/>
      <c r="V2" s="170"/>
    </row>
    <row r="3" spans="1:22" ht="15.75" x14ac:dyDescent="0.25">
      <c r="A3" s="172" t="s">
        <v>230</v>
      </c>
      <c r="Q3" s="170"/>
      <c r="R3" s="170"/>
      <c r="S3" s="170"/>
      <c r="T3" s="170"/>
      <c r="U3" s="170"/>
      <c r="V3" s="170"/>
    </row>
    <row r="4" spans="1:22" x14ac:dyDescent="0.2">
      <c r="A4" s="169"/>
      <c r="Q4" s="170"/>
      <c r="R4" s="170"/>
      <c r="S4" s="170"/>
      <c r="T4" s="170"/>
      <c r="U4" s="170"/>
      <c r="V4" s="170"/>
    </row>
    <row r="5" spans="1:22" x14ac:dyDescent="0.2">
      <c r="A5" s="173"/>
      <c r="I5" s="284"/>
      <c r="J5" s="284"/>
      <c r="K5" s="284"/>
      <c r="L5" s="794"/>
      <c r="M5" s="284"/>
      <c r="N5" s="284"/>
      <c r="Q5" s="170"/>
      <c r="R5" s="170"/>
      <c r="S5" s="170"/>
      <c r="T5" s="170"/>
      <c r="U5" s="170"/>
      <c r="V5" s="170"/>
    </row>
    <row r="6" spans="1:22" s="284" customFormat="1" x14ac:dyDescent="0.2">
      <c r="A6" s="242"/>
      <c r="B6" s="243">
        <v>2009</v>
      </c>
      <c r="C6" s="243">
        <v>2010</v>
      </c>
      <c r="D6" s="243">
        <v>2011</v>
      </c>
      <c r="E6" s="243">
        <v>2012</v>
      </c>
      <c r="F6" s="243">
        <v>2013</v>
      </c>
      <c r="G6" s="243">
        <v>2014</v>
      </c>
      <c r="H6" s="243">
        <v>2015</v>
      </c>
      <c r="I6" s="243">
        <v>2016</v>
      </c>
      <c r="J6" s="243">
        <v>2017</v>
      </c>
      <c r="K6" s="243">
        <v>2018</v>
      </c>
      <c r="N6" s="285"/>
      <c r="O6" s="285"/>
      <c r="P6" s="285"/>
      <c r="Q6" s="285"/>
      <c r="R6" s="285"/>
      <c r="S6" s="285"/>
    </row>
    <row r="7" spans="1:22" s="284" customFormat="1" x14ac:dyDescent="0.2">
      <c r="A7" s="247" t="s">
        <v>44</v>
      </c>
      <c r="B7" s="248" t="s">
        <v>148</v>
      </c>
      <c r="C7" s="248" t="s">
        <v>148</v>
      </c>
      <c r="D7" s="248" t="s">
        <v>148</v>
      </c>
      <c r="E7" s="248" t="s">
        <v>148</v>
      </c>
      <c r="F7" s="248" t="s">
        <v>148</v>
      </c>
      <c r="G7" s="248" t="s">
        <v>148</v>
      </c>
      <c r="H7" s="248" t="s">
        <v>1</v>
      </c>
      <c r="I7" s="248" t="s">
        <v>1</v>
      </c>
      <c r="J7" s="248" t="s">
        <v>1</v>
      </c>
      <c r="K7" s="248" t="s">
        <v>1</v>
      </c>
      <c r="N7" s="3056"/>
      <c r="O7" s="3056"/>
      <c r="P7" s="3056"/>
      <c r="Q7" s="3056"/>
      <c r="R7" s="3056"/>
      <c r="S7" s="285"/>
    </row>
    <row r="8" spans="1:22" s="284" customFormat="1" x14ac:dyDescent="0.2">
      <c r="A8" s="244"/>
      <c r="G8" s="245"/>
      <c r="H8" s="575"/>
      <c r="I8" s="575"/>
      <c r="J8" s="575"/>
      <c r="K8" s="575"/>
      <c r="N8" s="180"/>
      <c r="O8" s="187"/>
      <c r="P8" s="187"/>
      <c r="Q8" s="187"/>
      <c r="R8" s="187"/>
      <c r="S8" s="285"/>
    </row>
    <row r="9" spans="1:22" s="284" customFormat="1" x14ac:dyDescent="0.2">
      <c r="A9" s="285" t="s">
        <v>53</v>
      </c>
      <c r="B9" s="287">
        <v>14855.74</v>
      </c>
      <c r="C9" s="287">
        <v>8465.07</v>
      </c>
      <c r="D9" s="287">
        <v>6447.93</v>
      </c>
      <c r="E9" s="287">
        <v>3766</v>
      </c>
      <c r="F9" s="287">
        <v>32387.02</v>
      </c>
      <c r="G9" s="252">
        <v>54248.32</v>
      </c>
      <c r="H9" s="252">
        <v>38975</v>
      </c>
      <c r="I9" s="252">
        <f>'CNG Table C 2016'!$C$12</f>
        <v>38975</v>
      </c>
      <c r="J9" s="252">
        <f>'CNG Table C 2017'!$C$12</f>
        <v>26330</v>
      </c>
      <c r="K9" s="252">
        <f>'CNG Table C 2019'!$C$12</f>
        <v>73175</v>
      </c>
      <c r="N9" s="187"/>
      <c r="O9" s="129"/>
      <c r="P9" s="129"/>
      <c r="Q9" s="129"/>
      <c r="R9" s="129"/>
      <c r="S9" s="285"/>
    </row>
    <row r="10" spans="1:22" s="284" customFormat="1" x14ac:dyDescent="0.2">
      <c r="A10" s="285" t="s">
        <v>45</v>
      </c>
      <c r="B10" s="287">
        <v>257.7</v>
      </c>
      <c r="C10" s="287">
        <v>2346.62</v>
      </c>
      <c r="D10" s="287">
        <v>1830.02</v>
      </c>
      <c r="E10" s="287">
        <v>4694</v>
      </c>
      <c r="F10" s="287">
        <v>957.36</v>
      </c>
      <c r="G10" s="252">
        <v>630.02</v>
      </c>
      <c r="H10" s="252">
        <v>15000</v>
      </c>
      <c r="I10" s="252">
        <f>'CNG Table C 2016'!$E$12</f>
        <v>4000</v>
      </c>
      <c r="J10" s="252">
        <f>'CNG Table C 2017'!$E$12</f>
        <v>4000</v>
      </c>
      <c r="K10" s="252">
        <f>'CNG Table C 2019'!$E$12</f>
        <v>4631.8599999999997</v>
      </c>
      <c r="N10" s="187"/>
      <c r="O10" s="190"/>
      <c r="P10" s="190"/>
      <c r="Q10" s="190"/>
      <c r="R10" s="190"/>
      <c r="S10" s="285"/>
    </row>
    <row r="11" spans="1:22" s="284" customFormat="1" x14ac:dyDescent="0.2">
      <c r="A11" s="285" t="s">
        <v>202</v>
      </c>
      <c r="B11" s="287">
        <v>0</v>
      </c>
      <c r="C11" s="287">
        <v>8.65</v>
      </c>
      <c r="D11" s="287">
        <v>0</v>
      </c>
      <c r="E11" s="287">
        <v>0</v>
      </c>
      <c r="F11" s="287">
        <v>0</v>
      </c>
      <c r="G11" s="252">
        <v>0</v>
      </c>
      <c r="H11" s="252">
        <v>1000</v>
      </c>
      <c r="I11" s="252">
        <f>'CNG Table C 2016'!$D$12</f>
        <v>1000</v>
      </c>
      <c r="J11" s="252">
        <f>'CNG Table C 2017'!$D$12</f>
        <v>1000</v>
      </c>
      <c r="K11" s="252">
        <f>'CNG Table C 2019'!$D$12</f>
        <v>1000</v>
      </c>
      <c r="N11" s="187"/>
      <c r="O11" s="190"/>
      <c r="P11" s="190"/>
      <c r="Q11" s="190"/>
      <c r="R11" s="190"/>
      <c r="S11" s="285"/>
    </row>
    <row r="12" spans="1:22" s="284" customFormat="1" ht="14.25" x14ac:dyDescent="0.2">
      <c r="A12" s="285" t="s">
        <v>2</v>
      </c>
      <c r="B12" s="287">
        <v>158888.5</v>
      </c>
      <c r="C12" s="287">
        <v>409069.25</v>
      </c>
      <c r="D12" s="287">
        <v>896223.10000000009</v>
      </c>
      <c r="E12" s="287">
        <v>466046</v>
      </c>
      <c r="F12" s="287">
        <v>1334814.99</v>
      </c>
      <c r="G12" s="252">
        <v>382493.19099999988</v>
      </c>
      <c r="H12" s="257">
        <v>358468</v>
      </c>
      <c r="I12" s="257">
        <f>'CNG Table C 2016'!$F$12</f>
        <v>547968</v>
      </c>
      <c r="J12" s="257">
        <f>'CNG Table C 2017'!$F$12</f>
        <v>847968</v>
      </c>
      <c r="K12" s="257">
        <f>'CNG Table C 2019'!$F$12</f>
        <v>634643.16999999993</v>
      </c>
      <c r="L12" s="947" t="s">
        <v>326</v>
      </c>
      <c r="N12" s="187"/>
      <c r="O12" s="190"/>
      <c r="P12" s="190"/>
      <c r="Q12" s="190"/>
      <c r="R12" s="190"/>
      <c r="S12" s="285"/>
    </row>
    <row r="13" spans="1:22" s="284" customFormat="1" ht="14.25" x14ac:dyDescent="0.2">
      <c r="A13" s="285" t="s">
        <v>14</v>
      </c>
      <c r="B13" s="287">
        <v>4361.32</v>
      </c>
      <c r="C13" s="287">
        <v>1839.21</v>
      </c>
      <c r="D13" s="287">
        <v>826.2600000000001</v>
      </c>
      <c r="E13" s="287">
        <v>2797</v>
      </c>
      <c r="F13" s="287">
        <v>5921.12</v>
      </c>
      <c r="G13" s="252">
        <v>9461.39</v>
      </c>
      <c r="H13" s="252">
        <v>12500</v>
      </c>
      <c r="I13" s="252">
        <f>'CNG Table C 2016'!$G$12</f>
        <v>4000</v>
      </c>
      <c r="J13" s="252">
        <f>'CNG Table C 2017'!$G$12</f>
        <v>4000</v>
      </c>
      <c r="K13" s="252">
        <f>'CNG Table C 2019'!$G$12</f>
        <v>4000</v>
      </c>
      <c r="L13" s="947" t="s">
        <v>327</v>
      </c>
      <c r="N13" s="187"/>
      <c r="O13" s="190"/>
      <c r="P13" s="190"/>
      <c r="Q13" s="190"/>
      <c r="R13" s="190"/>
      <c r="S13" s="285"/>
    </row>
    <row r="14" spans="1:22" s="284" customFormat="1" ht="15" x14ac:dyDescent="0.35">
      <c r="A14" s="285" t="s">
        <v>46</v>
      </c>
      <c r="B14" s="292">
        <v>582.98</v>
      </c>
      <c r="C14" s="292">
        <v>316.93</v>
      </c>
      <c r="D14" s="292">
        <v>18.36</v>
      </c>
      <c r="E14" s="292">
        <v>0</v>
      </c>
      <c r="F14" s="292">
        <v>280</v>
      </c>
      <c r="G14" s="256">
        <v>1227</v>
      </c>
      <c r="H14" s="256">
        <v>2500</v>
      </c>
      <c r="I14" s="256">
        <f>'CNG Table C 2016'!$H$12</f>
        <v>2500</v>
      </c>
      <c r="J14" s="256">
        <f>'CNG Table C 2017'!$H$12</f>
        <v>2500</v>
      </c>
      <c r="K14" s="256">
        <f>'CNG Table C 2019'!$H$12</f>
        <v>2500</v>
      </c>
      <c r="L14" s="294"/>
      <c r="M14" s="294"/>
      <c r="N14" s="187"/>
      <c r="O14" s="191"/>
      <c r="P14" s="191"/>
      <c r="Q14" s="191"/>
      <c r="R14" s="191"/>
      <c r="S14" s="285"/>
    </row>
    <row r="15" spans="1:22" s="284" customFormat="1" x14ac:dyDescent="0.2">
      <c r="A15" s="285" t="s">
        <v>47</v>
      </c>
      <c r="B15" s="287">
        <f t="shared" ref="B15:I15" si="0">SUM(B9:B14)</f>
        <v>178946.24000000002</v>
      </c>
      <c r="C15" s="287">
        <f t="shared" si="0"/>
        <v>422045.73000000004</v>
      </c>
      <c r="D15" s="287">
        <f t="shared" si="0"/>
        <v>905345.67</v>
      </c>
      <c r="E15" s="287">
        <f t="shared" si="0"/>
        <v>477303</v>
      </c>
      <c r="F15" s="513">
        <f t="shared" si="0"/>
        <v>1374360.49</v>
      </c>
      <c r="G15" s="252">
        <f>SUM(G9:G14)</f>
        <v>448059.92099999986</v>
      </c>
      <c r="H15" s="504">
        <f t="shared" si="0"/>
        <v>428443</v>
      </c>
      <c r="I15" s="504">
        <f t="shared" si="0"/>
        <v>598443</v>
      </c>
      <c r="J15" s="504">
        <f>SUM(J9:J14)</f>
        <v>885798</v>
      </c>
      <c r="K15" s="504">
        <f>SUM(K9:K14)</f>
        <v>719950.02999999991</v>
      </c>
      <c r="L15" s="296" t="s">
        <v>201</v>
      </c>
      <c r="N15" s="187"/>
      <c r="O15" s="192"/>
      <c r="P15" s="192"/>
      <c r="Q15" s="192"/>
      <c r="R15" s="192"/>
      <c r="S15" s="285"/>
    </row>
    <row r="16" spans="1:22" s="284" customFormat="1" x14ac:dyDescent="0.2">
      <c r="A16" s="285"/>
      <c r="G16" s="255"/>
      <c r="N16" s="297"/>
      <c r="O16" s="193"/>
      <c r="P16" s="297"/>
      <c r="Q16" s="297"/>
      <c r="R16" s="297"/>
      <c r="S16" s="285"/>
    </row>
    <row r="17" spans="1:21" s="284" customFormat="1" ht="15" x14ac:dyDescent="0.35">
      <c r="A17" s="298"/>
      <c r="F17" s="294"/>
      <c r="G17" s="245"/>
      <c r="H17" s="294"/>
      <c r="I17" s="294"/>
      <c r="J17" s="294"/>
      <c r="K17" s="294"/>
      <c r="L17" s="299"/>
      <c r="M17" s="294"/>
      <c r="N17" s="180"/>
      <c r="O17" s="185"/>
      <c r="P17" s="184"/>
      <c r="Q17" s="184"/>
      <c r="R17" s="184"/>
      <c r="S17" s="285"/>
    </row>
    <row r="18" spans="1:21" s="284" customFormat="1" x14ac:dyDescent="0.2">
      <c r="A18" s="247" t="s">
        <v>83</v>
      </c>
      <c r="B18" s="264" t="s">
        <v>220</v>
      </c>
      <c r="C18" s="264" t="s">
        <v>258</v>
      </c>
      <c r="D18" s="264" t="s">
        <v>314</v>
      </c>
      <c r="E18" s="264" t="s">
        <v>478</v>
      </c>
      <c r="F18" s="264" t="s">
        <v>562</v>
      </c>
      <c r="G18" s="264" t="s">
        <v>563</v>
      </c>
      <c r="H18" s="264" t="s">
        <v>334</v>
      </c>
      <c r="I18" s="264" t="s">
        <v>564</v>
      </c>
      <c r="J18" s="264" t="s">
        <v>565</v>
      </c>
      <c r="K18" s="264" t="s">
        <v>566</v>
      </c>
      <c r="L18" s="296"/>
      <c r="N18" s="180"/>
      <c r="O18" s="185"/>
      <c r="P18" s="182"/>
      <c r="Q18" s="182"/>
      <c r="R18" s="182"/>
      <c r="S18" s="285"/>
      <c r="T18" s="285"/>
      <c r="U18" s="285"/>
    </row>
    <row r="19" spans="1:21" s="284" customFormat="1" x14ac:dyDescent="0.2">
      <c r="G19" s="245"/>
      <c r="H19" s="180"/>
      <c r="I19" s="180"/>
      <c r="J19" s="180"/>
      <c r="K19" s="180"/>
      <c r="L19" s="296"/>
      <c r="N19" s="180"/>
      <c r="O19" s="185"/>
      <c r="P19" s="185"/>
      <c r="Q19" s="185"/>
      <c r="R19" s="185"/>
      <c r="S19" s="180"/>
      <c r="T19" s="285"/>
      <c r="U19" s="285"/>
    </row>
    <row r="20" spans="1:21" s="284" customFormat="1" x14ac:dyDescent="0.2">
      <c r="A20" s="284" t="s">
        <v>49</v>
      </c>
      <c r="B20" s="307">
        <v>27705</v>
      </c>
      <c r="C20" s="307">
        <v>39202</v>
      </c>
      <c r="D20" s="307">
        <v>35104.720000000001</v>
      </c>
      <c r="E20" s="307">
        <v>33982</v>
      </c>
      <c r="F20" s="307">
        <v>73640</v>
      </c>
      <c r="G20" s="531">
        <v>89820</v>
      </c>
      <c r="H20" s="506">
        <v>47405.41854761904</v>
      </c>
      <c r="I20" s="506">
        <f>'2016 Summary Table B'!$M$21</f>
        <v>124267.77226036256</v>
      </c>
      <c r="J20" s="506">
        <f>'2017 Summary Table B'!$M$21</f>
        <v>146359.23098065061</v>
      </c>
      <c r="K20" s="506" t="e">
        <f>'2019 Summary Table B'!$M$21</f>
        <v>#REF!</v>
      </c>
      <c r="L20" s="296" t="s">
        <v>64</v>
      </c>
      <c r="N20" s="180"/>
      <c r="O20" s="185"/>
      <c r="P20" s="183"/>
      <c r="Q20" s="185"/>
      <c r="R20" s="183"/>
      <c r="S20" s="187"/>
      <c r="T20" s="285"/>
      <c r="U20" s="285"/>
    </row>
    <row r="21" spans="1:21" s="284" customFormat="1" x14ac:dyDescent="0.2">
      <c r="A21" s="284" t="s">
        <v>50</v>
      </c>
      <c r="B21" s="307">
        <v>692626</v>
      </c>
      <c r="C21" s="307">
        <v>980060</v>
      </c>
      <c r="D21" s="307">
        <v>877618</v>
      </c>
      <c r="E21" s="307">
        <v>820323</v>
      </c>
      <c r="F21" s="307">
        <v>1674798</v>
      </c>
      <c r="G21" s="531">
        <v>2078249</v>
      </c>
      <c r="H21" s="506">
        <v>1185135.463690476</v>
      </c>
      <c r="I21" s="506">
        <f>'2016 Summary Table B'!$N$21</f>
        <v>2876577.8925753296</v>
      </c>
      <c r="J21" s="506">
        <f>'2017 Summary Table B'!$N$21</f>
        <v>3386445.6534416969</v>
      </c>
      <c r="K21" s="506" t="e">
        <f>'2019 Summary Table B'!$N$21</f>
        <v>#REF!</v>
      </c>
      <c r="L21" s="296" t="s">
        <v>10</v>
      </c>
      <c r="N21" s="180"/>
      <c r="O21" s="185"/>
      <c r="P21" s="183"/>
      <c r="Q21" s="183"/>
      <c r="R21" s="183"/>
      <c r="S21" s="182"/>
      <c r="T21" s="285"/>
      <c r="U21" s="285"/>
    </row>
    <row r="22" spans="1:21" s="284" customFormat="1" x14ac:dyDescent="0.2">
      <c r="B22" s="286"/>
      <c r="C22" s="286"/>
      <c r="D22" s="286"/>
      <c r="E22" s="286"/>
      <c r="F22" s="286"/>
      <c r="G22" s="527"/>
      <c r="H22" s="180"/>
      <c r="I22" s="180"/>
      <c r="J22" s="180"/>
      <c r="K22" s="180"/>
      <c r="L22" s="296"/>
      <c r="N22" s="180"/>
      <c r="O22" s="185"/>
      <c r="P22" s="182"/>
      <c r="Q22" s="182"/>
      <c r="R22" s="182"/>
      <c r="S22" s="183"/>
      <c r="T22" s="285"/>
      <c r="U22" s="285"/>
    </row>
    <row r="23" spans="1:21" s="284" customFormat="1" x14ac:dyDescent="0.2">
      <c r="A23" s="284" t="s">
        <v>51</v>
      </c>
      <c r="B23" s="559">
        <f t="shared" ref="B23:I23" si="1">SUM(B15/B20)</f>
        <v>6.4589871864284429</v>
      </c>
      <c r="C23" s="559">
        <f t="shared" si="1"/>
        <v>10.765923422274374</v>
      </c>
      <c r="D23" s="559">
        <f t="shared" si="1"/>
        <v>25.789855894022228</v>
      </c>
      <c r="E23" s="528">
        <f t="shared" si="1"/>
        <v>14.045759519745747</v>
      </c>
      <c r="F23" s="528">
        <f t="shared" si="1"/>
        <v>18.663233161325365</v>
      </c>
      <c r="G23" s="528">
        <f t="shared" si="1"/>
        <v>4.9884204074816285</v>
      </c>
      <c r="H23" s="269">
        <f t="shared" si="1"/>
        <v>9.0378486916981089</v>
      </c>
      <c r="I23" s="269">
        <f t="shared" si="1"/>
        <v>4.8157538283229062</v>
      </c>
      <c r="J23" s="269">
        <f>SUM(J15/J20)</f>
        <v>6.0522181898940612</v>
      </c>
      <c r="K23" s="269" t="e">
        <f>SUM(K15/K20)</f>
        <v>#REF!</v>
      </c>
      <c r="L23" s="296" t="s">
        <v>65</v>
      </c>
      <c r="N23" s="180"/>
      <c r="O23" s="185"/>
      <c r="P23" s="182"/>
      <c r="Q23" s="182"/>
      <c r="R23" s="182"/>
      <c r="S23" s="183"/>
      <c r="T23" s="285"/>
      <c r="U23" s="285"/>
    </row>
    <row r="24" spans="1:21" s="284" customFormat="1" x14ac:dyDescent="0.2">
      <c r="A24" s="284" t="s">
        <v>52</v>
      </c>
      <c r="B24" s="559">
        <f t="shared" ref="B24:I24" si="2">SUM(B15/B21)</f>
        <v>0.25835911444271514</v>
      </c>
      <c r="C24" s="559">
        <f t="shared" si="2"/>
        <v>0.43063254290553643</v>
      </c>
      <c r="D24" s="559">
        <f t="shared" si="2"/>
        <v>1.0315942357608892</v>
      </c>
      <c r="E24" s="528">
        <f t="shared" si="2"/>
        <v>0.58184763806451845</v>
      </c>
      <c r="F24" s="528">
        <f t="shared" si="2"/>
        <v>0.82061268881381511</v>
      </c>
      <c r="G24" s="528">
        <f t="shared" si="2"/>
        <v>0.21559491716343895</v>
      </c>
      <c r="H24" s="269">
        <f t="shared" si="2"/>
        <v>0.36151394766792433</v>
      </c>
      <c r="I24" s="269">
        <f t="shared" si="2"/>
        <v>0.20803990795612654</v>
      </c>
      <c r="J24" s="269">
        <f>SUM(J15/J21)</f>
        <v>0.26157159767195726</v>
      </c>
      <c r="K24" s="269" t="e">
        <f>SUM(K15/K21)</f>
        <v>#REF!</v>
      </c>
      <c r="L24" s="296" t="s">
        <v>66</v>
      </c>
      <c r="N24" s="285"/>
      <c r="O24" s="180"/>
      <c r="P24" s="185"/>
      <c r="Q24" s="184"/>
      <c r="R24" s="184"/>
      <c r="S24" s="184"/>
      <c r="T24" s="285"/>
      <c r="U24" s="285"/>
    </row>
    <row r="25" spans="1:21" s="284" customFormat="1" x14ac:dyDescent="0.2">
      <c r="B25" s="286"/>
      <c r="C25" s="286"/>
      <c r="D25" s="286"/>
      <c r="E25" s="286"/>
      <c r="F25" s="286"/>
      <c r="G25" s="249"/>
      <c r="H25" s="245"/>
      <c r="I25" s="245"/>
      <c r="J25" s="245"/>
      <c r="K25" s="245"/>
      <c r="L25" s="296"/>
      <c r="O25" s="180"/>
      <c r="P25" s="185"/>
      <c r="Q25" s="182"/>
      <c r="R25" s="182"/>
      <c r="S25" s="182"/>
      <c r="T25" s="285"/>
      <c r="U25" s="285"/>
    </row>
    <row r="26" spans="1:21" s="284" customFormat="1" x14ac:dyDescent="0.2">
      <c r="A26" s="284" t="s">
        <v>84</v>
      </c>
      <c r="B26" s="560">
        <v>606272.42088670726</v>
      </c>
      <c r="C26" s="560">
        <v>1033548.2848066246</v>
      </c>
      <c r="D26" s="944">
        <v>674157.76844395581</v>
      </c>
      <c r="E26" s="560">
        <f>+E21/736990*354593</f>
        <v>394687.57179744641</v>
      </c>
      <c r="F26" s="560">
        <v>915011</v>
      </c>
      <c r="G26" s="257">
        <v>1666508</v>
      </c>
      <c r="H26" s="747">
        <v>965349</v>
      </c>
      <c r="I26" s="747">
        <f>'2016 Summary Table B'!$F$21</f>
        <v>1805368.1070852689</v>
      </c>
      <c r="J26" s="747">
        <f>'2017 Summary Table B'!$F$21</f>
        <v>2030708.9652998657</v>
      </c>
      <c r="K26" s="747" t="e">
        <f>'2019 Summary Table B'!$F$21</f>
        <v>#REF!</v>
      </c>
      <c r="L26" s="296" t="s">
        <v>67</v>
      </c>
      <c r="O26" s="180"/>
      <c r="P26" s="185"/>
      <c r="Q26" s="185"/>
      <c r="R26" s="185"/>
      <c r="S26" s="185"/>
      <c r="T26" s="285"/>
      <c r="U26" s="285"/>
    </row>
    <row r="27" spans="1:21" s="284" customFormat="1" x14ac:dyDescent="0.2">
      <c r="A27" s="284" t="s">
        <v>85</v>
      </c>
      <c r="B27" s="576">
        <f t="shared" ref="B27:I27" si="3">SUM(B26/B15)</f>
        <v>3.3880143046688613</v>
      </c>
      <c r="C27" s="576">
        <f t="shared" si="3"/>
        <v>2.4489011766725479</v>
      </c>
      <c r="D27" s="576">
        <f t="shared" si="3"/>
        <v>0.74464129092698461</v>
      </c>
      <c r="E27" s="529">
        <f t="shared" si="3"/>
        <v>0.82691198630104235</v>
      </c>
      <c r="F27" s="529">
        <f t="shared" si="3"/>
        <v>0.66577219489189476</v>
      </c>
      <c r="G27" s="529">
        <f>SUM(G26/G15)</f>
        <v>3.7193864523312286</v>
      </c>
      <c r="H27" s="271">
        <f t="shared" si="3"/>
        <v>2.2531561958066768</v>
      </c>
      <c r="I27" s="271">
        <f t="shared" si="3"/>
        <v>3.0167753772460686</v>
      </c>
      <c r="J27" s="271">
        <f>SUM(J26/J15)</f>
        <v>2.2925192485192625</v>
      </c>
      <c r="K27" s="271" t="e">
        <f>SUM(K26/K15)</f>
        <v>#REF!</v>
      </c>
      <c r="L27" s="296" t="s">
        <v>68</v>
      </c>
      <c r="O27" s="180"/>
      <c r="P27" s="185"/>
      <c r="Q27" s="183"/>
      <c r="R27" s="185"/>
      <c r="S27" s="183"/>
      <c r="T27" s="285"/>
      <c r="U27" s="285"/>
    </row>
    <row r="28" spans="1:21" s="284" customFormat="1" x14ac:dyDescent="0.2">
      <c r="A28" s="284" t="s">
        <v>63</v>
      </c>
      <c r="B28" s="547">
        <v>116</v>
      </c>
      <c r="C28" s="547">
        <v>152</v>
      </c>
      <c r="D28" s="547">
        <v>204</v>
      </c>
      <c r="E28" s="308">
        <v>276</v>
      </c>
      <c r="F28" s="308">
        <v>345</v>
      </c>
      <c r="G28" s="534">
        <v>163</v>
      </c>
      <c r="H28" s="506">
        <v>170</v>
      </c>
      <c r="I28" s="506">
        <f>'2016 Summary Table B'!$K$21</f>
        <v>443</v>
      </c>
      <c r="J28" s="506">
        <f>'2017 Summary Table B'!$K$21</f>
        <v>435.09675795268578</v>
      </c>
      <c r="K28" s="506" t="e">
        <f>'2019 Summary Table B'!$K$21</f>
        <v>#REF!</v>
      </c>
      <c r="L28" s="296" t="s">
        <v>69</v>
      </c>
      <c r="O28" s="180"/>
      <c r="P28" s="185"/>
      <c r="Q28" s="183"/>
      <c r="R28" s="183"/>
      <c r="S28" s="183"/>
      <c r="T28" s="285"/>
      <c r="U28" s="285"/>
    </row>
    <row r="29" spans="1:21" s="284" customFormat="1" x14ac:dyDescent="0.2">
      <c r="A29" s="284" t="s">
        <v>74</v>
      </c>
      <c r="B29" s="282">
        <f>B21/B28</f>
        <v>5970.9137931034484</v>
      </c>
      <c r="C29" s="282">
        <f>C21/C28</f>
        <v>6447.7631578947367</v>
      </c>
      <c r="D29" s="282">
        <f>D21/D28</f>
        <v>4302.0490196078435</v>
      </c>
      <c r="E29" s="282">
        <f>E21/E28</f>
        <v>2972.1847826086955</v>
      </c>
      <c r="F29" s="282">
        <f>F21/F28</f>
        <v>4854.4869565217396</v>
      </c>
      <c r="G29" s="282">
        <f>SUM(G21/G28)</f>
        <v>12749.993865030674</v>
      </c>
      <c r="H29" s="266">
        <f>SUM(H21/H28)</f>
        <v>6971.3850805322118</v>
      </c>
      <c r="I29" s="266">
        <f>SUM(I21/I28)</f>
        <v>6493.4038207118047</v>
      </c>
      <c r="J29" s="266">
        <f>SUM(J21/J28)</f>
        <v>7783.2013030305161</v>
      </c>
      <c r="K29" s="266" t="e">
        <f>SUM(K21/K28)</f>
        <v>#REF!</v>
      </c>
      <c r="L29" s="296" t="s">
        <v>70</v>
      </c>
      <c r="O29" s="180"/>
      <c r="P29" s="185"/>
      <c r="Q29" s="182"/>
      <c r="R29" s="182"/>
      <c r="S29" s="182"/>
      <c r="T29" s="285"/>
      <c r="U29" s="285"/>
    </row>
    <row r="30" spans="1:21" s="284" customFormat="1" x14ac:dyDescent="0.2">
      <c r="A30" s="284" t="s">
        <v>71</v>
      </c>
      <c r="B30" s="558">
        <f>B15/B28</f>
        <v>1542.64</v>
      </c>
      <c r="C30" s="558">
        <f>C15/C28</f>
        <v>2776.6166447368423</v>
      </c>
      <c r="D30" s="558">
        <f>D15/D28</f>
        <v>4437.9689705882356</v>
      </c>
      <c r="E30" s="558">
        <f>E15/E28</f>
        <v>1729.358695652174</v>
      </c>
      <c r="F30" s="558">
        <f>F15/F28</f>
        <v>3983.6535942028986</v>
      </c>
      <c r="G30" s="530">
        <f>SUM(G15/G28)</f>
        <v>2748.8338711656434</v>
      </c>
      <c r="H30" s="257">
        <f>SUM(H15/H28)</f>
        <v>2520.2529411764708</v>
      </c>
      <c r="I30" s="257">
        <f>SUM(I15/I28)</f>
        <v>1350.8871331828443</v>
      </c>
      <c r="J30" s="257">
        <f>SUM(J15/J28)</f>
        <v>2035.8643998361517</v>
      </c>
      <c r="K30" s="257" t="e">
        <f>SUM(K15/K28)</f>
        <v>#REF!</v>
      </c>
      <c r="L30" s="296" t="s">
        <v>72</v>
      </c>
      <c r="O30" s="180"/>
      <c r="P30" s="185"/>
      <c r="Q30" s="182"/>
      <c r="R30" s="182"/>
      <c r="S30" s="182"/>
      <c r="T30" s="285"/>
      <c r="U30" s="285"/>
    </row>
    <row r="31" spans="1:21" s="284" customFormat="1" x14ac:dyDescent="0.2">
      <c r="A31" s="284" t="s">
        <v>62</v>
      </c>
      <c r="B31" s="558">
        <f>B26/B28</f>
        <v>5226.4863869543733</v>
      </c>
      <c r="C31" s="558">
        <f>C26/C28</f>
        <v>6799.6597684646358</v>
      </c>
      <c r="D31" s="558">
        <f>D26/D28</f>
        <v>3304.6949433527247</v>
      </c>
      <c r="E31" s="558">
        <f>E26/E28</f>
        <v>1430.0274340487188</v>
      </c>
      <c r="F31" s="558">
        <f>F26/F28</f>
        <v>2652.2057971014492</v>
      </c>
      <c r="G31" s="530">
        <f>SUM(G26/G28)</f>
        <v>10223.9754601227</v>
      </c>
      <c r="H31" s="257">
        <f>SUM(H26/H28)</f>
        <v>5678.5235294117647</v>
      </c>
      <c r="I31" s="257">
        <f>SUM(I26/I28)</f>
        <v>4075.3230408245349</v>
      </c>
      <c r="J31" s="257">
        <f>SUM(J26/J28)</f>
        <v>4667.2583239994938</v>
      </c>
      <c r="K31" s="257" t="e">
        <f>SUM(K26/K28)</f>
        <v>#REF!</v>
      </c>
      <c r="L31" s="296" t="s">
        <v>73</v>
      </c>
      <c r="O31" s="285"/>
      <c r="P31" s="285"/>
      <c r="Q31" s="285"/>
      <c r="R31" s="285"/>
      <c r="S31" s="285"/>
      <c r="T31" s="285"/>
      <c r="U31" s="285"/>
    </row>
    <row r="32" spans="1:21" s="284" customFormat="1" ht="14.25" x14ac:dyDescent="0.2">
      <c r="A32" s="704" t="s">
        <v>324</v>
      </c>
      <c r="B32" s="945">
        <f t="shared" ref="B32:G32" si="4">B12/B21</f>
        <v>0.22940013802542786</v>
      </c>
      <c r="C32" s="945">
        <f t="shared" si="4"/>
        <v>0.41739204742566782</v>
      </c>
      <c r="D32" s="945">
        <f t="shared" si="4"/>
        <v>1.0211995423977176</v>
      </c>
      <c r="E32" s="945">
        <f t="shared" si="4"/>
        <v>0.56812499466673494</v>
      </c>
      <c r="F32" s="945">
        <f t="shared" si="4"/>
        <v>0.7970005875335413</v>
      </c>
      <c r="G32" s="945">
        <f t="shared" si="4"/>
        <v>0.18404589199850446</v>
      </c>
      <c r="H32" s="945">
        <f>H12/H21</f>
        <v>0.30247006437875168</v>
      </c>
      <c r="I32" s="945">
        <f>I12/I21</f>
        <v>0.19049301651603034</v>
      </c>
      <c r="J32" s="945">
        <f>J12/J21</f>
        <v>0.250400593063762</v>
      </c>
      <c r="K32" s="945" t="e">
        <f>K12/K21</f>
        <v>#REF!</v>
      </c>
      <c r="L32" s="557" t="s">
        <v>328</v>
      </c>
      <c r="O32" s="285"/>
      <c r="P32" s="285"/>
      <c r="Q32" s="285"/>
      <c r="R32" s="285"/>
      <c r="S32" s="285"/>
      <c r="T32" s="285"/>
      <c r="U32" s="285"/>
    </row>
    <row r="33" spans="1:22" s="284" customFormat="1" ht="14.25" x14ac:dyDescent="0.2">
      <c r="A33" s="704" t="s">
        <v>325</v>
      </c>
      <c r="B33" s="946">
        <f t="shared" ref="B33:G33" si="5">B13/B21</f>
        <v>6.2967893206434637E-3</v>
      </c>
      <c r="C33" s="946">
        <f t="shared" si="5"/>
        <v>1.8766300022447606E-3</v>
      </c>
      <c r="D33" s="946">
        <f t="shared" si="5"/>
        <v>9.4148023399702387E-4</v>
      </c>
      <c r="E33" s="946">
        <f t="shared" si="5"/>
        <v>3.4096325471795865E-3</v>
      </c>
      <c r="F33" s="946">
        <f t="shared" si="5"/>
        <v>3.535423376431068E-3</v>
      </c>
      <c r="G33" s="946">
        <f t="shared" si="5"/>
        <v>4.5525776747637071E-3</v>
      </c>
      <c r="H33" s="946">
        <f>H13/H21</f>
        <v>1.0547317486454568E-2</v>
      </c>
      <c r="I33" s="946">
        <f>I13/I21</f>
        <v>1.3905411740541807E-3</v>
      </c>
      <c r="J33" s="946">
        <f>J13/J21</f>
        <v>1.1811794457515473E-3</v>
      </c>
      <c r="K33" s="946" t="e">
        <f>K13/K21</f>
        <v>#REF!</v>
      </c>
      <c r="L33" s="557" t="s">
        <v>329</v>
      </c>
      <c r="O33" s="285"/>
      <c r="P33" s="285"/>
      <c r="Q33" s="285"/>
      <c r="R33" s="285"/>
      <c r="S33" s="285"/>
      <c r="T33" s="285"/>
      <c r="U33" s="285"/>
    </row>
    <row r="34" spans="1:22" s="284" customFormat="1" x14ac:dyDescent="0.2">
      <c r="A34" s="247"/>
      <c r="B34" s="300"/>
      <c r="C34" s="250"/>
      <c r="D34" s="250"/>
      <c r="I34" s="296"/>
      <c r="J34" s="296"/>
      <c r="K34" s="296"/>
      <c r="L34" s="245"/>
      <c r="M34" s="296"/>
      <c r="N34" s="296"/>
      <c r="P34" s="296"/>
      <c r="Q34" s="180"/>
      <c r="R34" s="185"/>
      <c r="S34" s="182"/>
      <c r="T34" s="182"/>
      <c r="U34" s="182"/>
      <c r="V34" s="285"/>
    </row>
    <row r="35" spans="1:22" s="284" customFormat="1" x14ac:dyDescent="0.2">
      <c r="A35" s="248" t="s">
        <v>194</v>
      </c>
      <c r="B35" s="304"/>
      <c r="C35" s="285"/>
      <c r="G35" s="276" t="s">
        <v>191</v>
      </c>
      <c r="K35" s="296"/>
      <c r="L35" s="245"/>
      <c r="M35" s="296"/>
      <c r="N35" s="296"/>
      <c r="P35" s="296"/>
      <c r="Q35" s="180"/>
      <c r="R35" s="185"/>
      <c r="S35" s="182"/>
      <c r="T35" s="182"/>
      <c r="U35" s="182"/>
      <c r="V35" s="285"/>
    </row>
    <row r="36" spans="1:22" s="284" customFormat="1" x14ac:dyDescent="0.2">
      <c r="A36" s="273" t="s">
        <v>185</v>
      </c>
      <c r="B36" s="250" t="s">
        <v>1</v>
      </c>
      <c r="C36" s="250" t="s">
        <v>186</v>
      </c>
      <c r="D36" s="250" t="s">
        <v>18</v>
      </c>
      <c r="G36" s="273" t="s">
        <v>185</v>
      </c>
      <c r="H36" s="250" t="s">
        <v>188</v>
      </c>
      <c r="I36" s="250" t="s">
        <v>186</v>
      </c>
      <c r="J36" s="250" t="s">
        <v>189</v>
      </c>
      <c r="K36" s="296"/>
      <c r="L36" s="245"/>
      <c r="M36" s="296"/>
      <c r="N36" s="296"/>
      <c r="P36" s="296"/>
    </row>
    <row r="37" spans="1:22" s="284" customFormat="1" x14ac:dyDescent="0.2">
      <c r="A37" s="273">
        <v>2009</v>
      </c>
      <c r="B37" s="274">
        <v>250000</v>
      </c>
      <c r="C37" s="274">
        <v>178946</v>
      </c>
      <c r="D37" s="275">
        <f t="shared" ref="D37:D42" si="6">IF(ISERROR(C37/B37),"-",(C37/B37))</f>
        <v>0.71578399999999998</v>
      </c>
      <c r="G37" s="273">
        <v>2009</v>
      </c>
      <c r="H37" s="278">
        <v>37800</v>
      </c>
      <c r="I37" s="278">
        <v>27705</v>
      </c>
      <c r="J37" s="275">
        <f t="shared" ref="J37:J42" si="7">IF(ISERROR(I37/H37),"-",(I37/H37))</f>
        <v>0.73293650793650789</v>
      </c>
      <c r="K37" s="296"/>
      <c r="L37" s="245"/>
      <c r="M37" s="296"/>
      <c r="N37" s="296"/>
      <c r="P37" s="296"/>
    </row>
    <row r="38" spans="1:22" s="284" customFormat="1" x14ac:dyDescent="0.2">
      <c r="A38" s="273">
        <v>2010</v>
      </c>
      <c r="B38" s="274">
        <v>250000</v>
      </c>
      <c r="C38" s="274">
        <v>422045.73</v>
      </c>
      <c r="D38" s="275">
        <f t="shared" si="6"/>
        <v>1.68818292</v>
      </c>
      <c r="G38" s="273">
        <v>2010</v>
      </c>
      <c r="H38" s="278">
        <v>30194</v>
      </c>
      <c r="I38" s="278">
        <v>39202</v>
      </c>
      <c r="J38" s="275">
        <f t="shared" si="7"/>
        <v>1.2983374180300722</v>
      </c>
      <c r="K38" s="296"/>
      <c r="L38" s="245"/>
      <c r="M38" s="296"/>
      <c r="N38" s="296"/>
      <c r="P38" s="296"/>
    </row>
    <row r="39" spans="1:22" s="284" customFormat="1" x14ac:dyDescent="0.2">
      <c r="A39" s="273">
        <v>2011</v>
      </c>
      <c r="B39" s="274">
        <v>350000</v>
      </c>
      <c r="C39" s="274">
        <v>905345.67</v>
      </c>
      <c r="D39" s="275">
        <f t="shared" si="6"/>
        <v>2.5867019142857144</v>
      </c>
      <c r="G39" s="273">
        <v>2011</v>
      </c>
      <c r="H39" s="278">
        <v>27797</v>
      </c>
      <c r="I39" s="278">
        <v>35104.720000000001</v>
      </c>
      <c r="J39" s="275">
        <f t="shared" si="7"/>
        <v>1.2628959959707882</v>
      </c>
      <c r="K39" s="296"/>
      <c r="L39" s="245"/>
      <c r="M39" s="296"/>
      <c r="N39" s="296"/>
      <c r="P39" s="296"/>
    </row>
    <row r="40" spans="1:22" s="284" customFormat="1" x14ac:dyDescent="0.2">
      <c r="A40" s="273">
        <v>2012</v>
      </c>
      <c r="B40" s="310">
        <v>350000</v>
      </c>
      <c r="C40" s="274">
        <f>+E15</f>
        <v>477303</v>
      </c>
      <c r="D40" s="275">
        <f t="shared" si="6"/>
        <v>1.3637228571428572</v>
      </c>
      <c r="G40" s="273">
        <v>2012</v>
      </c>
      <c r="H40" s="278">
        <v>29480</v>
      </c>
      <c r="I40" s="278">
        <f>+E20</f>
        <v>33982</v>
      </c>
      <c r="J40" s="275">
        <f t="shared" si="7"/>
        <v>1.1527137042062414</v>
      </c>
      <c r="K40" s="296"/>
      <c r="L40" s="245"/>
      <c r="M40" s="296"/>
      <c r="N40" s="296"/>
      <c r="P40" s="296"/>
    </row>
    <row r="41" spans="1:22" s="284" customFormat="1" x14ac:dyDescent="0.2">
      <c r="A41" s="273">
        <v>2013</v>
      </c>
      <c r="B41" s="513">
        <v>1387864</v>
      </c>
      <c r="C41" s="541">
        <f>F15</f>
        <v>1374360.49</v>
      </c>
      <c r="D41" s="275">
        <f t="shared" si="6"/>
        <v>0.99027029305465086</v>
      </c>
      <c r="G41" s="273">
        <v>2013</v>
      </c>
      <c r="H41" s="554">
        <v>120148</v>
      </c>
      <c r="I41" s="554">
        <f>F20</f>
        <v>73640</v>
      </c>
      <c r="J41" s="275">
        <f t="shared" si="7"/>
        <v>0.61291074341645302</v>
      </c>
      <c r="K41" s="296"/>
      <c r="L41" s="245"/>
      <c r="M41" s="296"/>
      <c r="N41" s="296"/>
      <c r="P41" s="296"/>
    </row>
    <row r="42" spans="1:22" s="284" customFormat="1" x14ac:dyDescent="0.2">
      <c r="A42" s="273">
        <v>2014</v>
      </c>
      <c r="B42" s="274">
        <v>446750</v>
      </c>
      <c r="C42" s="274">
        <f>G15</f>
        <v>448059.92099999986</v>
      </c>
      <c r="D42" s="275">
        <f t="shared" si="6"/>
        <v>1.0029321119194177</v>
      </c>
      <c r="G42" s="273">
        <v>2014</v>
      </c>
      <c r="H42" s="278">
        <v>55291</v>
      </c>
      <c r="I42" s="278">
        <f>G20</f>
        <v>89820</v>
      </c>
      <c r="J42" s="275">
        <f t="shared" si="7"/>
        <v>1.6244958492340527</v>
      </c>
      <c r="K42" s="296"/>
      <c r="L42" s="245"/>
      <c r="M42" s="296"/>
      <c r="N42" s="296"/>
      <c r="P42" s="296"/>
    </row>
    <row r="43" spans="1:22" s="284" customFormat="1" x14ac:dyDescent="0.2">
      <c r="A43" s="273">
        <v>2015</v>
      </c>
      <c r="B43" s="274">
        <f>H15</f>
        <v>428443</v>
      </c>
      <c r="C43" s="274"/>
      <c r="D43" s="275"/>
      <c r="G43" s="273">
        <v>2015</v>
      </c>
      <c r="H43" s="278">
        <f>H20</f>
        <v>47405.41854761904</v>
      </c>
      <c r="I43" s="278"/>
      <c r="J43" s="275"/>
      <c r="K43" s="296"/>
      <c r="L43" s="245"/>
      <c r="M43" s="296"/>
      <c r="N43" s="296"/>
      <c r="P43" s="296"/>
    </row>
    <row r="44" spans="1:22" s="284" customFormat="1" x14ac:dyDescent="0.2">
      <c r="A44" s="273">
        <v>2016</v>
      </c>
      <c r="B44" s="513">
        <f>I15</f>
        <v>598443</v>
      </c>
      <c r="G44" s="273">
        <v>2016</v>
      </c>
      <c r="H44" s="278">
        <f>I20</f>
        <v>124267.77226036256</v>
      </c>
      <c r="I44" s="278"/>
      <c r="J44" s="275"/>
      <c r="K44" s="296"/>
      <c r="L44" s="245"/>
      <c r="M44" s="296"/>
      <c r="N44" s="296"/>
      <c r="P44" s="296"/>
    </row>
    <row r="45" spans="1:22" s="284" customFormat="1" x14ac:dyDescent="0.2">
      <c r="A45" s="273">
        <v>2017</v>
      </c>
      <c r="B45" s="513">
        <f>J15</f>
        <v>885798</v>
      </c>
      <c r="G45" s="273">
        <v>2017</v>
      </c>
      <c r="H45" s="278">
        <f>J20</f>
        <v>146359.23098065061</v>
      </c>
      <c r="I45" s="278"/>
      <c r="J45" s="275"/>
      <c r="K45" s="296"/>
      <c r="L45" s="245"/>
      <c r="M45" s="296"/>
      <c r="N45" s="296"/>
      <c r="P45" s="296"/>
    </row>
    <row r="46" spans="1:22" s="284" customFormat="1" x14ac:dyDescent="0.2">
      <c r="A46" s="273">
        <v>2018</v>
      </c>
      <c r="B46" s="513">
        <f>K15</f>
        <v>719950.02999999991</v>
      </c>
      <c r="G46" s="273">
        <v>2018</v>
      </c>
      <c r="H46" s="278" t="e">
        <f>K20</f>
        <v>#REF!</v>
      </c>
      <c r="I46" s="278"/>
      <c r="J46" s="275"/>
      <c r="K46" s="296"/>
      <c r="L46" s="245"/>
      <c r="M46" s="296"/>
      <c r="N46" s="296"/>
      <c r="P46" s="296"/>
    </row>
    <row r="47" spans="1:22" s="284" customFormat="1" x14ac:dyDescent="0.2">
      <c r="A47" s="273"/>
      <c r="G47" s="273"/>
      <c r="H47" s="168"/>
      <c r="I47" s="168"/>
      <c r="J47" s="168"/>
      <c r="K47" s="296"/>
      <c r="L47" s="245"/>
      <c r="M47" s="296"/>
      <c r="N47" s="296"/>
      <c r="P47" s="296"/>
    </row>
    <row r="48" spans="1:22" s="284" customFormat="1" x14ac:dyDescent="0.2">
      <c r="A48" s="276" t="s">
        <v>193</v>
      </c>
      <c r="G48" s="276" t="s">
        <v>190</v>
      </c>
      <c r="H48" s="168"/>
      <c r="I48" s="168"/>
      <c r="J48" s="168"/>
      <c r="K48" s="296"/>
      <c r="L48" s="245"/>
      <c r="M48" s="296"/>
      <c r="N48" s="296"/>
      <c r="P48" s="296"/>
    </row>
    <row r="49" spans="1:16" s="284" customFormat="1" x14ac:dyDescent="0.2">
      <c r="A49" s="273" t="s">
        <v>185</v>
      </c>
      <c r="B49" s="250" t="s">
        <v>188</v>
      </c>
      <c r="C49" s="250" t="s">
        <v>186</v>
      </c>
      <c r="D49" s="250" t="s">
        <v>189</v>
      </c>
      <c r="G49" s="273" t="s">
        <v>185</v>
      </c>
      <c r="H49" s="250" t="s">
        <v>188</v>
      </c>
      <c r="I49" s="250" t="s">
        <v>186</v>
      </c>
      <c r="J49" s="250" t="s">
        <v>189</v>
      </c>
      <c r="K49" s="296"/>
      <c r="L49" s="245"/>
      <c r="M49" s="296"/>
      <c r="N49" s="296"/>
      <c r="P49" s="296"/>
    </row>
    <row r="50" spans="1:16" s="284" customFormat="1" x14ac:dyDescent="0.2">
      <c r="A50" s="273">
        <v>2009</v>
      </c>
      <c r="B50" s="463">
        <v>150</v>
      </c>
      <c r="C50" s="296">
        <v>116</v>
      </c>
      <c r="D50" s="275">
        <f t="shared" ref="D50:D55" si="8">IF(ISERROR(C50/B50),"-",(C50/B50))</f>
        <v>0.77333333333333332</v>
      </c>
      <c r="G50" s="273">
        <v>2009</v>
      </c>
      <c r="H50" s="311">
        <v>945000</v>
      </c>
      <c r="I50" s="278">
        <v>692626</v>
      </c>
      <c r="J50" s="275">
        <f t="shared" ref="J50:J55" si="9">IF(ISERROR(I50/H50),"-",(I50/H50))</f>
        <v>0.73293756613756611</v>
      </c>
      <c r="K50" s="296"/>
      <c r="L50" s="245"/>
      <c r="M50" s="296"/>
      <c r="N50" s="296"/>
      <c r="P50" s="296"/>
    </row>
    <row r="51" spans="1:16" s="284" customFormat="1" x14ac:dyDescent="0.2">
      <c r="A51" s="273">
        <v>2010</v>
      </c>
      <c r="B51" s="463">
        <v>101</v>
      </c>
      <c r="C51" s="296">
        <v>152</v>
      </c>
      <c r="D51" s="275">
        <f t="shared" si="8"/>
        <v>1.504950495049505</v>
      </c>
      <c r="G51" s="273">
        <v>2010</v>
      </c>
      <c r="H51" s="311">
        <v>754853</v>
      </c>
      <c r="I51" s="278">
        <v>980060</v>
      </c>
      <c r="J51" s="275">
        <f t="shared" si="9"/>
        <v>1.2983455056812385</v>
      </c>
      <c r="K51" s="296"/>
      <c r="L51" s="245"/>
      <c r="M51" s="296"/>
      <c r="N51" s="296"/>
      <c r="P51" s="296"/>
    </row>
    <row r="52" spans="1:16" s="284" customFormat="1" x14ac:dyDescent="0.2">
      <c r="A52" s="273">
        <v>2011</v>
      </c>
      <c r="B52" s="463">
        <v>64</v>
      </c>
      <c r="C52" s="296">
        <v>204</v>
      </c>
      <c r="D52" s="275">
        <f t="shared" si="8"/>
        <v>3.1875</v>
      </c>
      <c r="G52" s="273">
        <v>2011</v>
      </c>
      <c r="H52" s="311">
        <v>694916</v>
      </c>
      <c r="I52" s="278">
        <v>877618</v>
      </c>
      <c r="J52" s="275">
        <f t="shared" si="9"/>
        <v>1.2629123519965002</v>
      </c>
      <c r="K52" s="296"/>
      <c r="L52" s="245"/>
      <c r="M52" s="296"/>
      <c r="N52" s="296"/>
      <c r="P52" s="296"/>
    </row>
    <row r="53" spans="1:16" s="284" customFormat="1" x14ac:dyDescent="0.2">
      <c r="A53" s="273">
        <v>2012</v>
      </c>
      <c r="B53" s="296">
        <v>107</v>
      </c>
      <c r="C53" s="278">
        <f>+E28</f>
        <v>276</v>
      </c>
      <c r="D53" s="275">
        <f t="shared" si="8"/>
        <v>2.5794392523364484</v>
      </c>
      <c r="G53" s="273">
        <v>2012</v>
      </c>
      <c r="H53" s="555">
        <v>736990</v>
      </c>
      <c r="I53" s="556">
        <f>+E21</f>
        <v>820323</v>
      </c>
      <c r="J53" s="275">
        <f t="shared" si="9"/>
        <v>1.1130720905304008</v>
      </c>
      <c r="K53" s="296"/>
      <c r="L53" s="245"/>
      <c r="M53" s="296"/>
      <c r="N53" s="296"/>
      <c r="P53" s="296"/>
    </row>
    <row r="54" spans="1:16" s="284" customFormat="1" x14ac:dyDescent="0.2">
      <c r="A54" s="273">
        <v>2013</v>
      </c>
      <c r="B54" s="463">
        <v>645</v>
      </c>
      <c r="C54" s="278">
        <f>F28</f>
        <v>345</v>
      </c>
      <c r="D54" s="275">
        <f t="shared" si="8"/>
        <v>0.53488372093023251</v>
      </c>
      <c r="G54" s="273">
        <v>2013</v>
      </c>
      <c r="H54" s="555">
        <v>3003694</v>
      </c>
      <c r="I54" s="562">
        <f>F21</f>
        <v>1674798</v>
      </c>
      <c r="J54" s="275">
        <f t="shared" si="9"/>
        <v>0.55757943385711062</v>
      </c>
      <c r="K54" s="296"/>
      <c r="L54" s="245"/>
      <c r="M54" s="296"/>
      <c r="N54" s="296"/>
      <c r="P54" s="296"/>
    </row>
    <row r="55" spans="1:16" s="284" customFormat="1" x14ac:dyDescent="0.2">
      <c r="A55" s="273">
        <v>2014</v>
      </c>
      <c r="B55" s="278">
        <v>206</v>
      </c>
      <c r="C55" s="278">
        <f>G28</f>
        <v>163</v>
      </c>
      <c r="D55" s="275">
        <f t="shared" si="8"/>
        <v>0.79126213592233008</v>
      </c>
      <c r="G55" s="273">
        <v>2014</v>
      </c>
      <c r="H55" s="555">
        <v>1382277</v>
      </c>
      <c r="I55" s="278">
        <f>G21</f>
        <v>2078249</v>
      </c>
      <c r="J55" s="275">
        <f t="shared" si="9"/>
        <v>1.5034967665670484</v>
      </c>
      <c r="K55" s="296"/>
      <c r="L55" s="245"/>
      <c r="M55" s="296"/>
      <c r="N55" s="296"/>
      <c r="P55" s="296"/>
    </row>
    <row r="56" spans="1:16" s="284" customFormat="1" x14ac:dyDescent="0.2">
      <c r="A56" s="273">
        <v>2015</v>
      </c>
      <c r="B56" s="278">
        <f>H28</f>
        <v>170</v>
      </c>
      <c r="C56" s="278"/>
      <c r="D56" s="275"/>
      <c r="G56" s="273">
        <v>2015</v>
      </c>
      <c r="H56" s="555">
        <f>H21</f>
        <v>1185135.463690476</v>
      </c>
      <c r="I56" s="278"/>
      <c r="J56" s="275"/>
      <c r="K56" s="296"/>
      <c r="L56" s="245"/>
      <c r="M56" s="296"/>
      <c r="N56" s="296"/>
      <c r="P56" s="296"/>
    </row>
    <row r="57" spans="1:16" s="284" customFormat="1" x14ac:dyDescent="0.2">
      <c r="A57" s="273">
        <v>2016</v>
      </c>
      <c r="B57" s="278">
        <f>I28</f>
        <v>443</v>
      </c>
      <c r="G57" s="273">
        <v>2016</v>
      </c>
      <c r="H57" s="2235">
        <f>I21</f>
        <v>2876577.8925753296</v>
      </c>
      <c r="I57" s="296"/>
      <c r="J57" s="296"/>
      <c r="K57" s="296"/>
      <c r="L57" s="245"/>
      <c r="M57" s="296"/>
      <c r="N57" s="296"/>
      <c r="P57" s="296"/>
    </row>
    <row r="58" spans="1:16" s="284" customFormat="1" x14ac:dyDescent="0.2">
      <c r="A58" s="273">
        <v>2017</v>
      </c>
      <c r="B58" s="278">
        <f>J28</f>
        <v>435.09675795268578</v>
      </c>
      <c r="G58" s="273">
        <v>2017</v>
      </c>
      <c r="H58" s="2235">
        <f>J21</f>
        <v>3386445.6534416969</v>
      </c>
      <c r="I58" s="296"/>
      <c r="J58" s="296"/>
      <c r="K58" s="296"/>
      <c r="L58" s="245"/>
      <c r="M58" s="296"/>
      <c r="N58" s="296"/>
      <c r="P58" s="296"/>
    </row>
    <row r="59" spans="1:16" s="284" customFormat="1" x14ac:dyDescent="0.2">
      <c r="A59" s="273">
        <v>2018</v>
      </c>
      <c r="B59" s="278" t="e">
        <f>K28</f>
        <v>#REF!</v>
      </c>
      <c r="G59" s="273">
        <v>2018</v>
      </c>
      <c r="H59" s="2235" t="e">
        <f>K21</f>
        <v>#REF!</v>
      </c>
      <c r="I59" s="296"/>
      <c r="J59" s="296"/>
      <c r="K59" s="296"/>
      <c r="L59" s="245"/>
      <c r="M59" s="296"/>
      <c r="N59" s="296"/>
      <c r="P59" s="296"/>
    </row>
    <row r="60" spans="1:16" s="284" customFormat="1" x14ac:dyDescent="0.2">
      <c r="K60" s="296"/>
      <c r="L60" s="245"/>
      <c r="M60" s="296"/>
      <c r="N60" s="296"/>
      <c r="P60" s="296"/>
    </row>
    <row r="61" spans="1:16" s="284" customFormat="1" x14ac:dyDescent="0.2">
      <c r="I61" s="296"/>
      <c r="J61" s="296"/>
      <c r="K61" s="296"/>
      <c r="L61" s="245"/>
      <c r="M61" s="296"/>
      <c r="N61" s="296"/>
      <c r="P61" s="296"/>
    </row>
    <row r="62" spans="1:16" s="284" customFormat="1" x14ac:dyDescent="0.2">
      <c r="I62" s="296"/>
      <c r="J62" s="296"/>
      <c r="K62" s="296"/>
      <c r="L62" s="245"/>
      <c r="M62" s="296"/>
      <c r="N62" s="296"/>
      <c r="P62" s="296"/>
    </row>
    <row r="63" spans="1:16" s="284" customFormat="1" x14ac:dyDescent="0.2">
      <c r="I63" s="296"/>
      <c r="J63" s="296"/>
      <c r="K63" s="296"/>
      <c r="L63" s="245"/>
      <c r="M63" s="296"/>
      <c r="N63" s="296"/>
      <c r="P63" s="296"/>
    </row>
    <row r="64" spans="1:16" s="284" customFormat="1" x14ac:dyDescent="0.2">
      <c r="I64" s="296"/>
      <c r="J64" s="296"/>
      <c r="K64" s="296"/>
      <c r="L64" s="245"/>
      <c r="M64" s="296"/>
      <c r="N64" s="296"/>
      <c r="P64" s="296"/>
    </row>
    <row r="65" spans="5:16" s="284" customFormat="1" x14ac:dyDescent="0.2">
      <c r="I65" s="296"/>
      <c r="J65" s="296"/>
      <c r="K65" s="296"/>
      <c r="L65" s="245"/>
      <c r="M65" s="296"/>
      <c r="N65" s="296"/>
      <c r="P65" s="296"/>
    </row>
    <row r="66" spans="5:16" s="284" customFormat="1" x14ac:dyDescent="0.2">
      <c r="I66" s="296"/>
      <c r="J66" s="296"/>
      <c r="K66" s="296"/>
      <c r="L66" s="245"/>
      <c r="M66" s="296"/>
      <c r="N66" s="296"/>
      <c r="P66" s="296"/>
    </row>
    <row r="67" spans="5:16" x14ac:dyDescent="0.2">
      <c r="E67" s="3"/>
      <c r="F67" s="3"/>
      <c r="G67" s="3"/>
      <c r="H67" s="3"/>
      <c r="I67" s="296"/>
      <c r="J67" s="296"/>
      <c r="K67" s="296"/>
      <c r="M67" s="296"/>
      <c r="N67" s="296"/>
      <c r="P67" s="181"/>
    </row>
    <row r="68" spans="5:16" x14ac:dyDescent="0.2">
      <c r="I68" s="296"/>
      <c r="J68" s="296"/>
      <c r="K68" s="296"/>
      <c r="M68" s="296"/>
      <c r="N68" s="296"/>
    </row>
    <row r="69" spans="5:16" x14ac:dyDescent="0.2">
      <c r="I69" s="296"/>
      <c r="J69" s="296"/>
      <c r="K69" s="296"/>
      <c r="M69" s="296"/>
      <c r="N69" s="296"/>
    </row>
    <row r="70" spans="5:16" x14ac:dyDescent="0.2">
      <c r="I70" s="296"/>
      <c r="J70" s="296"/>
      <c r="K70" s="296"/>
      <c r="M70" s="296"/>
      <c r="N70" s="296"/>
    </row>
    <row r="71" spans="5:16" x14ac:dyDescent="0.2">
      <c r="I71" s="296"/>
      <c r="J71" s="296"/>
      <c r="K71" s="296"/>
      <c r="M71" s="296"/>
      <c r="N71" s="296"/>
    </row>
    <row r="72" spans="5:16" x14ac:dyDescent="0.2">
      <c r="I72" s="296"/>
      <c r="J72" s="296"/>
      <c r="K72" s="296"/>
      <c r="M72" s="296"/>
      <c r="N72" s="296"/>
    </row>
    <row r="73" spans="5:16" x14ac:dyDescent="0.2">
      <c r="I73" s="296"/>
      <c r="J73" s="296"/>
      <c r="K73" s="296"/>
      <c r="M73" s="296"/>
      <c r="N73" s="296"/>
    </row>
    <row r="74" spans="5:16" x14ac:dyDescent="0.2">
      <c r="I74" s="296"/>
      <c r="J74" s="296"/>
      <c r="K74" s="296"/>
      <c r="M74" s="296"/>
      <c r="N74" s="296"/>
    </row>
    <row r="75" spans="5:16" x14ac:dyDescent="0.2">
      <c r="I75" s="181"/>
      <c r="J75" s="181"/>
      <c r="K75" s="181"/>
      <c r="M75" s="181"/>
      <c r="N75" s="181"/>
    </row>
  </sheetData>
  <mergeCells count="2">
    <mergeCell ref="N7:R7"/>
    <mergeCell ref="A1:L1"/>
  </mergeCells>
  <phoneticPr fontId="10" type="noConversion"/>
  <pageMargins left="0.98" right="0.75" top="1.1499999999999999" bottom="1" header="0.5" footer="0.5"/>
  <pageSetup scale="66" fitToHeight="0" orientation="landscape" r:id="rId1"/>
  <headerFooter alignWithMargins="0">
    <oddFooter>&amp;C&amp;1#&amp;"Calibri"&amp;12&amp;K008000Internal Use</oddFooter>
  </headerFooter>
  <rowBreaks count="2" manualBreakCount="2">
    <brk id="34" max="11" man="1"/>
    <brk id="76" max="1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261">
    <tabColor indexed="44"/>
    <pageSetUpPr fitToPage="1"/>
  </sheetPr>
  <dimension ref="A1:V114"/>
  <sheetViews>
    <sheetView view="pageBreakPreview" zoomScale="60" zoomScaleNormal="100" workbookViewId="0">
      <selection activeCell="W61" sqref="W61"/>
    </sheetView>
  </sheetViews>
  <sheetFormatPr defaultRowHeight="12.75" x14ac:dyDescent="0.2"/>
  <cols>
    <col min="1" max="1" width="39.28515625" style="168" bestFit="1" customWidth="1"/>
    <col min="2" max="8" width="13.42578125" style="168" customWidth="1"/>
    <col min="9" max="9" width="13.42578125" style="3" customWidth="1"/>
    <col min="10" max="11" width="13.42578125" style="168" customWidth="1"/>
    <col min="12" max="12" width="6.85546875" style="245" customWidth="1"/>
    <col min="13" max="14" width="9.85546875" style="168" customWidth="1"/>
    <col min="15" max="15" width="6.85546875" style="168" bestFit="1" customWidth="1"/>
    <col min="16" max="16" width="9.140625" style="168"/>
    <col min="17" max="17" width="14.140625" style="168" customWidth="1"/>
    <col min="18" max="18" width="3.28515625" style="168" customWidth="1"/>
    <col min="19" max="19" width="3.7109375" style="168" customWidth="1"/>
    <col min="20" max="20" width="3.5703125" style="168" customWidth="1"/>
    <col min="21" max="21" width="10.7109375" style="168" customWidth="1"/>
    <col min="22" max="22" width="12.28515625" style="168" customWidth="1"/>
    <col min="23" max="16384" width="9.140625" style="168"/>
  </cols>
  <sheetData>
    <row r="1" spans="1:22" ht="15.75" x14ac:dyDescent="0.25">
      <c r="A1" s="3055" t="s">
        <v>77</v>
      </c>
      <c r="B1" s="3055"/>
      <c r="C1" s="3055"/>
      <c r="D1" s="3055"/>
      <c r="E1" s="3055"/>
      <c r="F1" s="3055"/>
      <c r="G1" s="3055"/>
      <c r="H1" s="3055"/>
      <c r="I1" s="3055"/>
      <c r="J1" s="3055"/>
      <c r="K1" s="3055"/>
      <c r="L1" s="3055"/>
      <c r="M1" s="1914"/>
      <c r="N1" s="1914"/>
      <c r="O1" s="1914"/>
      <c r="P1" s="1914"/>
      <c r="Q1" s="170"/>
      <c r="R1" s="170"/>
      <c r="S1" s="170"/>
      <c r="T1" s="170"/>
      <c r="U1" s="170"/>
      <c r="V1" s="170"/>
    </row>
    <row r="2" spans="1:22" x14ac:dyDescent="0.2">
      <c r="A2" s="169"/>
      <c r="Q2" s="170"/>
      <c r="R2" s="170"/>
      <c r="S2" s="170"/>
      <c r="T2" s="170"/>
      <c r="U2" s="170"/>
      <c r="V2" s="170"/>
    </row>
    <row r="3" spans="1:22" ht="15.75" x14ac:dyDescent="0.25">
      <c r="A3" s="172" t="s">
        <v>230</v>
      </c>
      <c r="Q3" s="170"/>
      <c r="R3" s="170"/>
      <c r="S3" s="170"/>
      <c r="T3" s="170"/>
      <c r="U3" s="170"/>
      <c r="V3" s="170"/>
    </row>
    <row r="4" spans="1:22" x14ac:dyDescent="0.2">
      <c r="A4" s="169"/>
      <c r="Q4" s="170"/>
      <c r="R4" s="170"/>
      <c r="S4" s="170"/>
      <c r="T4" s="170"/>
      <c r="U4" s="170"/>
      <c r="V4" s="170"/>
    </row>
    <row r="5" spans="1:22" x14ac:dyDescent="0.2">
      <c r="A5" s="173"/>
      <c r="I5" s="171"/>
      <c r="J5" s="284"/>
      <c r="K5" s="284"/>
      <c r="L5" s="794"/>
      <c r="M5" s="284"/>
      <c r="N5" s="284"/>
      <c r="Q5" s="170"/>
      <c r="R5" s="170"/>
      <c r="S5" s="170"/>
      <c r="T5" s="170"/>
      <c r="U5" s="170"/>
      <c r="V5" s="170"/>
    </row>
    <row r="6" spans="1:22" s="284" customFormat="1" x14ac:dyDescent="0.2">
      <c r="A6" s="242"/>
      <c r="B6" s="243">
        <v>2009</v>
      </c>
      <c r="C6" s="243">
        <v>2010</v>
      </c>
      <c r="D6" s="243">
        <v>2011</v>
      </c>
      <c r="E6" s="243">
        <v>2012</v>
      </c>
      <c r="F6" s="243">
        <v>2013</v>
      </c>
      <c r="G6" s="243">
        <v>2014</v>
      </c>
      <c r="H6" s="243">
        <v>2015</v>
      </c>
      <c r="I6" s="243">
        <v>2016</v>
      </c>
      <c r="J6" s="243">
        <v>2017</v>
      </c>
      <c r="K6" s="243">
        <v>2018</v>
      </c>
      <c r="N6" s="285"/>
      <c r="O6" s="285"/>
      <c r="P6" s="285"/>
      <c r="Q6" s="285"/>
      <c r="R6" s="285"/>
      <c r="S6" s="285"/>
    </row>
    <row r="7" spans="1:22" s="284" customFormat="1" x14ac:dyDescent="0.2">
      <c r="A7" s="247" t="s">
        <v>44</v>
      </c>
      <c r="B7" s="248" t="s">
        <v>148</v>
      </c>
      <c r="C7" s="248" t="s">
        <v>148</v>
      </c>
      <c r="D7" s="248" t="s">
        <v>148</v>
      </c>
      <c r="E7" s="248" t="s">
        <v>148</v>
      </c>
      <c r="F7" s="248" t="s">
        <v>148</v>
      </c>
      <c r="G7" s="248" t="s">
        <v>148</v>
      </c>
      <c r="H7" s="248" t="s">
        <v>1</v>
      </c>
      <c r="I7" s="248" t="s">
        <v>1</v>
      </c>
      <c r="J7" s="248" t="s">
        <v>1</v>
      </c>
      <c r="K7" s="248" t="s">
        <v>1</v>
      </c>
      <c r="N7" s="3056"/>
      <c r="O7" s="3056"/>
      <c r="P7" s="3056"/>
      <c r="Q7" s="3056"/>
      <c r="R7" s="3056"/>
      <c r="S7" s="285"/>
    </row>
    <row r="8" spans="1:22" s="284" customFormat="1" x14ac:dyDescent="0.2">
      <c r="A8" s="244"/>
      <c r="F8" s="251"/>
      <c r="H8" s="245"/>
      <c r="I8" s="575"/>
      <c r="J8" s="575"/>
      <c r="K8" s="575"/>
      <c r="N8" s="180"/>
      <c r="O8" s="187"/>
      <c r="P8" s="187"/>
      <c r="Q8" s="187"/>
      <c r="R8" s="187"/>
      <c r="S8" s="285"/>
    </row>
    <row r="9" spans="1:22" s="284" customFormat="1" x14ac:dyDescent="0.2">
      <c r="A9" s="285" t="s">
        <v>53</v>
      </c>
      <c r="B9" s="287">
        <v>9864.09</v>
      </c>
      <c r="C9" s="287">
        <v>5841.85</v>
      </c>
      <c r="D9" s="287">
        <v>1554.7700000000004</v>
      </c>
      <c r="E9" s="287">
        <v>9645</v>
      </c>
      <c r="F9" s="254">
        <v>24387</v>
      </c>
      <c r="G9" s="252">
        <v>42618</v>
      </c>
      <c r="H9" s="252">
        <v>30928</v>
      </c>
      <c r="I9" s="252">
        <f>'SCG Table C 2016'!$C$12</f>
        <v>30928</v>
      </c>
      <c r="J9" s="252">
        <f>'SCG Table C 2017'!$C$12</f>
        <v>26330</v>
      </c>
      <c r="K9" s="252">
        <f>'SCG Table C 2019'!$C$12</f>
        <v>85668</v>
      </c>
      <c r="N9" s="180"/>
      <c r="O9" s="129"/>
      <c r="P9" s="129"/>
      <c r="Q9" s="129"/>
      <c r="R9" s="129"/>
      <c r="S9" s="285"/>
    </row>
    <row r="10" spans="1:22" s="284" customFormat="1" x14ac:dyDescent="0.2">
      <c r="A10" s="285" t="s">
        <v>45</v>
      </c>
      <c r="B10" s="287">
        <v>177.56</v>
      </c>
      <c r="C10" s="287">
        <v>2204.6999999999998</v>
      </c>
      <c r="D10" s="287">
        <v>1761.91</v>
      </c>
      <c r="E10" s="287">
        <v>4294</v>
      </c>
      <c r="F10" s="254">
        <v>957.32999999999993</v>
      </c>
      <c r="G10" s="252">
        <v>630.02</v>
      </c>
      <c r="H10" s="252">
        <v>24762</v>
      </c>
      <c r="I10" s="252">
        <f>'SCG Table C 2016'!$E$12</f>
        <v>4762</v>
      </c>
      <c r="J10" s="252">
        <f>'SCG Table C 2017'!$E$12</f>
        <v>4762</v>
      </c>
      <c r="K10" s="252">
        <f>'SCG Table C 2019'!$E$12</f>
        <v>5701.26</v>
      </c>
      <c r="N10" s="180"/>
      <c r="O10" s="190"/>
      <c r="P10" s="190"/>
      <c r="Q10" s="190"/>
      <c r="R10" s="190"/>
      <c r="S10" s="285"/>
    </row>
    <row r="11" spans="1:22" s="284" customFormat="1" x14ac:dyDescent="0.2">
      <c r="A11" s="285" t="s">
        <v>202</v>
      </c>
      <c r="B11" s="287">
        <v>0</v>
      </c>
      <c r="C11" s="287">
        <v>8.66</v>
      </c>
      <c r="D11" s="287">
        <v>0</v>
      </c>
      <c r="E11" s="287">
        <v>0</v>
      </c>
      <c r="F11" s="254">
        <v>0</v>
      </c>
      <c r="G11" s="252">
        <v>966</v>
      </c>
      <c r="H11" s="252">
        <v>720</v>
      </c>
      <c r="I11" s="252">
        <f>'SCG Table C 2016'!$D$12</f>
        <v>720</v>
      </c>
      <c r="J11" s="252">
        <f>'SCG Table C 2017'!$D$12</f>
        <v>720</v>
      </c>
      <c r="K11" s="252">
        <f>'SCG Table C 2019'!$D$12</f>
        <v>720</v>
      </c>
      <c r="N11" s="180"/>
      <c r="O11" s="190"/>
      <c r="P11" s="190"/>
      <c r="Q11" s="190"/>
      <c r="R11" s="190"/>
      <c r="S11" s="285"/>
    </row>
    <row r="12" spans="1:22" s="284" customFormat="1" ht="14.25" x14ac:dyDescent="0.2">
      <c r="A12" s="285" t="s">
        <v>2</v>
      </c>
      <c r="B12" s="287">
        <v>174097.5</v>
      </c>
      <c r="C12" s="287">
        <v>84790</v>
      </c>
      <c r="D12" s="287">
        <v>360560</v>
      </c>
      <c r="E12" s="287">
        <v>102693</v>
      </c>
      <c r="F12" s="254">
        <v>565220.26</v>
      </c>
      <c r="G12" s="252">
        <v>225734.81</v>
      </c>
      <c r="H12" s="252">
        <v>250800</v>
      </c>
      <c r="I12" s="257">
        <f>'SCG Table C 2016'!$F$12</f>
        <v>708800</v>
      </c>
      <c r="J12" s="257">
        <f>'SCG Table C 2017'!$F$12</f>
        <v>602800</v>
      </c>
      <c r="K12" s="257">
        <f>'SCG Table C 2019'!$F$12</f>
        <v>997111</v>
      </c>
      <c r="L12" s="947" t="s">
        <v>326</v>
      </c>
      <c r="N12" s="180"/>
      <c r="O12" s="190"/>
      <c r="P12" s="190"/>
      <c r="Q12" s="190"/>
      <c r="R12" s="190"/>
      <c r="S12" s="285"/>
    </row>
    <row r="13" spans="1:22" s="284" customFormat="1" ht="14.25" x14ac:dyDescent="0.2">
      <c r="A13" s="285" t="s">
        <v>14</v>
      </c>
      <c r="B13" s="287">
        <v>3371.3</v>
      </c>
      <c r="C13" s="287">
        <v>1335.93</v>
      </c>
      <c r="D13" s="287">
        <v>706.53000000000009</v>
      </c>
      <c r="E13" s="287">
        <v>3110</v>
      </c>
      <c r="F13" s="254">
        <v>5083</v>
      </c>
      <c r="G13" s="252">
        <v>9470</v>
      </c>
      <c r="H13" s="252">
        <v>22080</v>
      </c>
      <c r="I13" s="252">
        <f>'SCG Table C 2016'!$G$12</f>
        <v>4080</v>
      </c>
      <c r="J13" s="252">
        <f>'SCG Table C 2017'!$G$12</f>
        <v>10080</v>
      </c>
      <c r="K13" s="252">
        <f>'SCG Table C 2019'!$G$12</f>
        <v>9136.2999999999993</v>
      </c>
      <c r="L13" s="947" t="s">
        <v>327</v>
      </c>
      <c r="N13" s="180"/>
      <c r="O13" s="190"/>
      <c r="P13" s="190"/>
      <c r="Q13" s="190"/>
      <c r="R13" s="190"/>
      <c r="S13" s="285"/>
    </row>
    <row r="14" spans="1:22" s="284" customFormat="1" ht="15" x14ac:dyDescent="0.35">
      <c r="A14" s="285" t="s">
        <v>46</v>
      </c>
      <c r="B14" s="292">
        <v>400.9</v>
      </c>
      <c r="C14" s="292">
        <v>152.4</v>
      </c>
      <c r="D14" s="292">
        <v>0</v>
      </c>
      <c r="E14" s="292">
        <v>0</v>
      </c>
      <c r="F14" s="263">
        <v>84</v>
      </c>
      <c r="G14" s="256">
        <v>1643</v>
      </c>
      <c r="H14" s="256">
        <v>1500</v>
      </c>
      <c r="I14" s="256">
        <f>'SCG Table C 2016'!$H$12</f>
        <v>1500</v>
      </c>
      <c r="J14" s="256">
        <f>'SCG Table C 2017'!$H$12</f>
        <v>1500</v>
      </c>
      <c r="K14" s="256">
        <f>'SCG Table C 2019'!$H$12</f>
        <v>1500</v>
      </c>
      <c r="L14" s="294"/>
      <c r="M14" s="294"/>
      <c r="N14" s="180"/>
      <c r="O14" s="191"/>
      <c r="P14" s="191"/>
      <c r="Q14" s="191"/>
      <c r="R14" s="191"/>
      <c r="S14" s="285"/>
    </row>
    <row r="15" spans="1:22" s="284" customFormat="1" x14ac:dyDescent="0.2">
      <c r="A15" s="285" t="s">
        <v>87</v>
      </c>
      <c r="B15" s="287">
        <f t="shared" ref="B15:G15" si="0">SUM(B9:B14)</f>
        <v>187911.34999999998</v>
      </c>
      <c r="C15" s="287">
        <f t="shared" si="0"/>
        <v>94333.54</v>
      </c>
      <c r="D15" s="287">
        <f t="shared" si="0"/>
        <v>364583.21</v>
      </c>
      <c r="E15" s="287">
        <f t="shared" si="0"/>
        <v>119742</v>
      </c>
      <c r="F15" s="546">
        <f t="shared" si="0"/>
        <v>595731.59</v>
      </c>
      <c r="G15" s="513">
        <f t="shared" si="0"/>
        <v>281061.83</v>
      </c>
      <c r="H15" s="252">
        <f>SUM(H9:H14)</f>
        <v>330790</v>
      </c>
      <c r="I15" s="504">
        <f>SUM(I9:I14)</f>
        <v>750790</v>
      </c>
      <c r="J15" s="504">
        <f>SUM(J9:J14)</f>
        <v>646192</v>
      </c>
      <c r="K15" s="504">
        <f>SUM(K9:K14)</f>
        <v>1099836.56</v>
      </c>
      <c r="L15" s="296" t="s">
        <v>201</v>
      </c>
      <c r="N15" s="186"/>
      <c r="O15" s="192"/>
      <c r="P15" s="192"/>
      <c r="Q15" s="192"/>
      <c r="R15" s="192"/>
      <c r="S15" s="285"/>
    </row>
    <row r="16" spans="1:22" s="284" customFormat="1" x14ac:dyDescent="0.2">
      <c r="A16" s="285"/>
      <c r="F16" s="255"/>
      <c r="H16" s="255"/>
      <c r="N16" s="297"/>
      <c r="O16" s="193"/>
      <c r="P16" s="297"/>
      <c r="Q16" s="297"/>
      <c r="R16" s="297"/>
      <c r="S16" s="285"/>
    </row>
    <row r="17" spans="1:21" s="284" customFormat="1" ht="15" x14ac:dyDescent="0.35">
      <c r="A17" s="298"/>
      <c r="F17" s="245"/>
      <c r="G17" s="294"/>
      <c r="H17" s="245"/>
      <c r="I17" s="294"/>
      <c r="J17" s="294"/>
      <c r="K17" s="294"/>
      <c r="L17" s="299"/>
      <c r="M17" s="294"/>
      <c r="N17" s="180"/>
      <c r="O17" s="185"/>
      <c r="P17" s="184"/>
      <c r="Q17" s="184"/>
      <c r="R17" s="184"/>
      <c r="S17" s="285"/>
    </row>
    <row r="18" spans="1:21" s="284" customFormat="1" ht="25.5" x14ac:dyDescent="0.2">
      <c r="A18" s="247" t="s">
        <v>83</v>
      </c>
      <c r="B18" s="264" t="s">
        <v>218</v>
      </c>
      <c r="C18" s="264" t="s">
        <v>257</v>
      </c>
      <c r="D18" s="264" t="s">
        <v>321</v>
      </c>
      <c r="E18" s="264" t="s">
        <v>479</v>
      </c>
      <c r="F18" s="264" t="s">
        <v>567</v>
      </c>
      <c r="G18" s="264" t="s">
        <v>568</v>
      </c>
      <c r="H18" s="264" t="s">
        <v>334</v>
      </c>
      <c r="I18" s="264" t="s">
        <v>564</v>
      </c>
      <c r="J18" s="264" t="s">
        <v>565</v>
      </c>
      <c r="K18" s="264" t="s">
        <v>566</v>
      </c>
      <c r="L18" s="296"/>
      <c r="N18" s="180"/>
      <c r="O18" s="185"/>
      <c r="P18" s="182"/>
      <c r="Q18" s="182"/>
      <c r="R18" s="182"/>
      <c r="S18" s="285"/>
      <c r="T18" s="285"/>
      <c r="U18" s="285"/>
    </row>
    <row r="19" spans="1:21" s="284" customFormat="1" x14ac:dyDescent="0.2">
      <c r="F19" s="245"/>
      <c r="H19" s="245"/>
      <c r="I19" s="180"/>
      <c r="J19" s="180"/>
      <c r="K19" s="180"/>
      <c r="L19" s="296"/>
      <c r="N19" s="180"/>
      <c r="O19" s="185"/>
      <c r="P19" s="185"/>
      <c r="Q19" s="185"/>
      <c r="R19" s="185"/>
      <c r="S19" s="180"/>
      <c r="T19" s="285"/>
      <c r="U19" s="285"/>
    </row>
    <row r="20" spans="1:21" s="284" customFormat="1" x14ac:dyDescent="0.2">
      <c r="A20" s="284" t="s">
        <v>49</v>
      </c>
      <c r="B20" s="307">
        <v>20308</v>
      </c>
      <c r="C20" s="307">
        <v>9381</v>
      </c>
      <c r="D20" s="307">
        <v>23981.51</v>
      </c>
      <c r="E20" s="307">
        <v>7833</v>
      </c>
      <c r="F20" s="550">
        <v>18934</v>
      </c>
      <c r="G20" s="307">
        <v>29745</v>
      </c>
      <c r="H20" s="531">
        <v>32726</v>
      </c>
      <c r="I20" s="506">
        <f>'2016 Summary Table B'!$M$22</f>
        <v>76888.887334292245</v>
      </c>
      <c r="J20" s="506">
        <f>'2017 Summary Table B'!$M$22</f>
        <v>68005.877732104709</v>
      </c>
      <c r="K20" s="506" t="e">
        <f>'2019 Summary Table B'!$M$22</f>
        <v>#REF!</v>
      </c>
      <c r="L20" s="296" t="s">
        <v>64</v>
      </c>
      <c r="N20" s="180"/>
      <c r="O20" s="185"/>
      <c r="P20" s="183"/>
      <c r="Q20" s="185"/>
      <c r="R20" s="183"/>
      <c r="S20" s="187"/>
      <c r="T20" s="285"/>
      <c r="U20" s="285"/>
    </row>
    <row r="21" spans="1:21" s="284" customFormat="1" x14ac:dyDescent="0.2">
      <c r="A21" s="284" t="s">
        <v>50</v>
      </c>
      <c r="B21" s="307">
        <v>507718</v>
      </c>
      <c r="C21" s="307">
        <v>234532</v>
      </c>
      <c r="D21" s="307">
        <v>599562.63</v>
      </c>
      <c r="E21" s="307">
        <v>187685</v>
      </c>
      <c r="F21" s="550">
        <v>456763</v>
      </c>
      <c r="G21" s="307">
        <v>705320</v>
      </c>
      <c r="H21" s="531">
        <v>818152</v>
      </c>
      <c r="I21" s="506">
        <f>'2016 Summary Table B'!$N$22</f>
        <v>1823190.5705633524</v>
      </c>
      <c r="J21" s="506">
        <f>'2017 Summary Table B'!$N$22</f>
        <v>1612556.4996797577</v>
      </c>
      <c r="K21" s="506" t="e">
        <f>'2019 Summary Table B'!$N$22</f>
        <v>#REF!</v>
      </c>
      <c r="L21" s="296" t="s">
        <v>10</v>
      </c>
      <c r="N21" s="180"/>
      <c r="O21" s="185"/>
      <c r="P21" s="183"/>
      <c r="Q21" s="183"/>
      <c r="R21" s="183"/>
      <c r="S21" s="182"/>
      <c r="T21" s="285"/>
      <c r="U21" s="285"/>
    </row>
    <row r="22" spans="1:21" s="284" customFormat="1" x14ac:dyDescent="0.2">
      <c r="B22" s="286"/>
      <c r="C22" s="286"/>
      <c r="D22" s="286"/>
      <c r="E22" s="286"/>
      <c r="F22" s="547"/>
      <c r="G22" s="286"/>
      <c r="H22" s="527"/>
      <c r="I22" s="180"/>
      <c r="J22" s="180"/>
      <c r="K22" s="180"/>
      <c r="L22" s="296"/>
      <c r="N22" s="180"/>
      <c r="O22" s="185"/>
      <c r="P22" s="182"/>
      <c r="Q22" s="182"/>
      <c r="R22" s="182"/>
      <c r="S22" s="183"/>
      <c r="T22" s="285"/>
      <c r="U22" s="285"/>
    </row>
    <row r="23" spans="1:21" s="284" customFormat="1" x14ac:dyDescent="0.2">
      <c r="A23" s="284" t="s">
        <v>51</v>
      </c>
      <c r="B23" s="559">
        <f t="shared" ref="B23:J23" si="1">SUM(B15/B20)</f>
        <v>9.2530702186330505</v>
      </c>
      <c r="C23" s="559">
        <f t="shared" si="1"/>
        <v>10.055808549195181</v>
      </c>
      <c r="D23" s="559">
        <f t="shared" si="1"/>
        <v>15.202679480983477</v>
      </c>
      <c r="E23" s="559">
        <f t="shared" si="1"/>
        <v>15.286863270777481</v>
      </c>
      <c r="F23" s="551">
        <f t="shared" si="1"/>
        <v>31.463588782085136</v>
      </c>
      <c r="G23" s="528">
        <f t="shared" si="1"/>
        <v>9.4490445453017315</v>
      </c>
      <c r="H23" s="528">
        <f t="shared" si="1"/>
        <v>10.107865305873005</v>
      </c>
      <c r="I23" s="269">
        <f>SUM(I15/I20)</f>
        <v>9.7646100240177311</v>
      </c>
      <c r="J23" s="269">
        <f t="shared" si="1"/>
        <v>9.5020022025969819</v>
      </c>
      <c r="K23" s="269" t="e">
        <f>SUM(K15/K20)</f>
        <v>#REF!</v>
      </c>
      <c r="L23" s="296" t="s">
        <v>65</v>
      </c>
      <c r="N23" s="180"/>
      <c r="O23" s="185"/>
      <c r="P23" s="182"/>
      <c r="Q23" s="182"/>
      <c r="R23" s="182"/>
      <c r="S23" s="183"/>
      <c r="T23" s="285"/>
      <c r="U23" s="285"/>
    </row>
    <row r="24" spans="1:21" s="284" customFormat="1" x14ac:dyDescent="0.2">
      <c r="A24" s="284" t="s">
        <v>52</v>
      </c>
      <c r="B24" s="559">
        <f t="shared" ref="B24:J24" si="2">SUM(B15/B21)</f>
        <v>0.37010968687342183</v>
      </c>
      <c r="C24" s="559">
        <f t="shared" si="2"/>
        <v>0.40222033667047563</v>
      </c>
      <c r="D24" s="559">
        <f t="shared" si="2"/>
        <v>0.60808194466689824</v>
      </c>
      <c r="E24" s="559">
        <f t="shared" si="2"/>
        <v>0.637994512081413</v>
      </c>
      <c r="F24" s="551">
        <f t="shared" si="2"/>
        <v>1.3042466005346316</v>
      </c>
      <c r="G24" s="528">
        <f t="shared" si="2"/>
        <v>0.39848838824930533</v>
      </c>
      <c r="H24" s="528">
        <f t="shared" si="2"/>
        <v>0.40431362387429232</v>
      </c>
      <c r="I24" s="269">
        <f>SUM(I15/I21)</f>
        <v>0.41180006748719167</v>
      </c>
      <c r="J24" s="269">
        <f t="shared" si="2"/>
        <v>0.40072518397236262</v>
      </c>
      <c r="K24" s="269" t="e">
        <f>SUM(K15/K21)</f>
        <v>#REF!</v>
      </c>
      <c r="L24" s="296" t="s">
        <v>66</v>
      </c>
      <c r="N24" s="285"/>
      <c r="O24" s="180"/>
      <c r="P24" s="185"/>
      <c r="Q24" s="184"/>
      <c r="R24" s="184"/>
      <c r="S24" s="184"/>
      <c r="T24" s="285"/>
      <c r="U24" s="285"/>
    </row>
    <row r="25" spans="1:21" s="284" customFormat="1" x14ac:dyDescent="0.2">
      <c r="B25" s="286"/>
      <c r="C25" s="286"/>
      <c r="D25" s="286"/>
      <c r="E25" s="286"/>
      <c r="F25" s="552"/>
      <c r="G25" s="286"/>
      <c r="H25" s="249"/>
      <c r="I25" s="245"/>
      <c r="J25" s="245"/>
      <c r="K25" s="245"/>
      <c r="L25" s="296"/>
      <c r="O25" s="180"/>
      <c r="P25" s="185"/>
      <c r="Q25" s="182"/>
      <c r="R25" s="182"/>
      <c r="S25" s="182"/>
      <c r="T25" s="285"/>
      <c r="U25" s="285"/>
    </row>
    <row r="26" spans="1:21" s="284" customFormat="1" x14ac:dyDescent="0.2">
      <c r="A26" s="284" t="s">
        <v>84</v>
      </c>
      <c r="B26" s="560">
        <v>444417.94126665383</v>
      </c>
      <c r="C26" s="560">
        <v>247331.94532198773</v>
      </c>
      <c r="D26" s="944">
        <v>460564.59646705695</v>
      </c>
      <c r="E26" s="560">
        <f>+E21/619898*298256</f>
        <v>90302.239013515136</v>
      </c>
      <c r="F26" s="561">
        <v>253107</v>
      </c>
      <c r="G26" s="560">
        <v>572962</v>
      </c>
      <c r="H26" s="257">
        <v>666505</v>
      </c>
      <c r="I26" s="257">
        <f>'2016 Summary Table B'!$F$22</f>
        <v>1118509.5433908661</v>
      </c>
      <c r="J26" s="257">
        <f>'2017 Summary Table B'!$F$22</f>
        <v>943569.76788111881</v>
      </c>
      <c r="K26" s="257" t="e">
        <f>'2019 Summary Table B'!$F$22</f>
        <v>#REF!</v>
      </c>
      <c r="L26" s="296" t="s">
        <v>67</v>
      </c>
      <c r="O26" s="180"/>
      <c r="P26" s="185"/>
      <c r="Q26" s="185"/>
      <c r="R26" s="185"/>
      <c r="S26" s="185"/>
      <c r="T26" s="285"/>
      <c r="U26" s="285"/>
    </row>
    <row r="27" spans="1:21" s="284" customFormat="1" x14ac:dyDescent="0.2">
      <c r="A27" s="284" t="s">
        <v>85</v>
      </c>
      <c r="B27" s="576">
        <f t="shared" ref="B27:G27" si="3">SUM(B26/B15)</f>
        <v>2.3650404367094051</v>
      </c>
      <c r="C27" s="576">
        <f t="shared" si="3"/>
        <v>2.6218876692424322</v>
      </c>
      <c r="D27" s="576">
        <f t="shared" si="3"/>
        <v>1.2632633205107193</v>
      </c>
      <c r="E27" s="576">
        <f t="shared" si="3"/>
        <v>0.75414005957404362</v>
      </c>
      <c r="F27" s="529">
        <f t="shared" si="3"/>
        <v>0.42486751457984628</v>
      </c>
      <c r="G27" s="529">
        <f t="shared" si="3"/>
        <v>2.0385621199435011</v>
      </c>
      <c r="H27" s="529">
        <f>SUM(H26/H15)</f>
        <v>2.0148886000181383</v>
      </c>
      <c r="I27" s="271">
        <f>SUM(I26/I15)</f>
        <v>1.4897768262641566</v>
      </c>
      <c r="J27" s="271">
        <f>SUM(J26/J15)</f>
        <v>1.4602003241778276</v>
      </c>
      <c r="K27" s="271" t="e">
        <f>SUM(K26/K15)</f>
        <v>#REF!</v>
      </c>
      <c r="L27" s="296" t="s">
        <v>68</v>
      </c>
      <c r="O27" s="180"/>
      <c r="P27" s="185"/>
      <c r="Q27" s="183"/>
      <c r="R27" s="185"/>
      <c r="S27" s="183"/>
      <c r="T27" s="285"/>
      <c r="U27" s="285"/>
    </row>
    <row r="28" spans="1:21" s="284" customFormat="1" x14ac:dyDescent="0.2">
      <c r="A28" s="284" t="s">
        <v>63</v>
      </c>
      <c r="B28" s="547">
        <v>71</v>
      </c>
      <c r="C28" s="547">
        <v>32</v>
      </c>
      <c r="D28" s="547">
        <v>114</v>
      </c>
      <c r="E28" s="547">
        <v>40</v>
      </c>
      <c r="F28" s="553">
        <v>116</v>
      </c>
      <c r="G28" s="308">
        <v>336</v>
      </c>
      <c r="H28" s="534">
        <v>116</v>
      </c>
      <c r="I28" s="506">
        <f>'2016 Summary Table B'!$K$22</f>
        <v>353.10839116131007</v>
      </c>
      <c r="J28" s="506">
        <f>'2017 Summary Table B'!$K$22</f>
        <v>304.70120885215579</v>
      </c>
      <c r="K28" s="506" t="e">
        <f>'2019 Summary Table B'!$K$22</f>
        <v>#REF!</v>
      </c>
      <c r="L28" s="296" t="s">
        <v>69</v>
      </c>
      <c r="O28" s="180"/>
      <c r="P28" s="185"/>
      <c r="Q28" s="183"/>
      <c r="R28" s="183"/>
      <c r="S28" s="183"/>
      <c r="T28" s="285"/>
      <c r="U28" s="285"/>
    </row>
    <row r="29" spans="1:21" s="284" customFormat="1" x14ac:dyDescent="0.2">
      <c r="A29" s="284" t="s">
        <v>74</v>
      </c>
      <c r="B29" s="550">
        <f t="shared" ref="B29:G29" si="4">B21/B28</f>
        <v>7150.9577464788736</v>
      </c>
      <c r="C29" s="550">
        <f t="shared" si="4"/>
        <v>7329.125</v>
      </c>
      <c r="D29" s="550">
        <f t="shared" si="4"/>
        <v>5259.3213157894734</v>
      </c>
      <c r="E29" s="550">
        <f t="shared" si="4"/>
        <v>4692.125</v>
      </c>
      <c r="F29" s="550">
        <f t="shared" si="4"/>
        <v>3937.6120689655172</v>
      </c>
      <c r="G29" s="282">
        <f t="shared" si="4"/>
        <v>2099.1666666666665</v>
      </c>
      <c r="H29" s="282">
        <f>SUM(H21/H28)</f>
        <v>7053.0344827586205</v>
      </c>
      <c r="I29" s="266">
        <f>SUM(I21/I28)</f>
        <v>5163.2603931251988</v>
      </c>
      <c r="J29" s="266">
        <f>SUM(J21/J28)</f>
        <v>5292.2550118998279</v>
      </c>
      <c r="K29" s="266" t="e">
        <f>SUM(K21/K28)</f>
        <v>#REF!</v>
      </c>
      <c r="L29" s="296" t="s">
        <v>70</v>
      </c>
      <c r="O29" s="180"/>
      <c r="P29" s="185"/>
      <c r="Q29" s="182"/>
      <c r="R29" s="182"/>
      <c r="S29" s="182"/>
      <c r="T29" s="285"/>
      <c r="U29" s="285"/>
    </row>
    <row r="30" spans="1:21" s="284" customFormat="1" x14ac:dyDescent="0.2">
      <c r="A30" s="284" t="s">
        <v>71</v>
      </c>
      <c r="B30" s="558">
        <f t="shared" ref="B30:G30" si="5">B15/B28</f>
        <v>2646.6387323943659</v>
      </c>
      <c r="C30" s="558">
        <f t="shared" si="5"/>
        <v>2947.9231249999998</v>
      </c>
      <c r="D30" s="558">
        <f t="shared" si="5"/>
        <v>3198.0983333333334</v>
      </c>
      <c r="E30" s="558">
        <f t="shared" si="5"/>
        <v>2993.55</v>
      </c>
      <c r="F30" s="558">
        <f t="shared" si="5"/>
        <v>5135.6171551724137</v>
      </c>
      <c r="G30" s="558">
        <f t="shared" si="5"/>
        <v>836.49354166666672</v>
      </c>
      <c r="H30" s="530">
        <f>SUM(H15/H28)</f>
        <v>2851.6379310344828</v>
      </c>
      <c r="I30" s="257">
        <f>SUM(I15/I28)</f>
        <v>2126.2309783429009</v>
      </c>
      <c r="J30" s="257">
        <f>SUM(J15/J28)</f>
        <v>2120.7398632722166</v>
      </c>
      <c r="K30" s="257" t="e">
        <f>SUM(K15/K28)</f>
        <v>#REF!</v>
      </c>
      <c r="L30" s="296" t="s">
        <v>72</v>
      </c>
      <c r="O30" s="180"/>
      <c r="P30" s="185"/>
      <c r="Q30" s="182"/>
      <c r="R30" s="182"/>
      <c r="S30" s="182"/>
      <c r="T30" s="285"/>
      <c r="U30" s="285"/>
    </row>
    <row r="31" spans="1:21" s="284" customFormat="1" x14ac:dyDescent="0.2">
      <c r="A31" s="284" t="s">
        <v>62</v>
      </c>
      <c r="B31" s="558">
        <f t="shared" ref="B31:G31" si="6">B26/B28</f>
        <v>6259.4076234739978</v>
      </c>
      <c r="C31" s="558">
        <f t="shared" si="6"/>
        <v>7729.1232913121166</v>
      </c>
      <c r="D31" s="558">
        <f t="shared" si="6"/>
        <v>4040.0403198864647</v>
      </c>
      <c r="E31" s="558">
        <f t="shared" si="6"/>
        <v>2257.5559753378784</v>
      </c>
      <c r="F31" s="558">
        <f t="shared" si="6"/>
        <v>2181.9568965517242</v>
      </c>
      <c r="G31" s="558">
        <f t="shared" si="6"/>
        <v>1705.2440476190477</v>
      </c>
      <c r="H31" s="530">
        <f>SUM(H26/H28)</f>
        <v>5745.7327586206893</v>
      </c>
      <c r="I31" s="257">
        <f>SUM(I26/I28)</f>
        <v>3167.6096388202195</v>
      </c>
      <c r="J31" s="257">
        <f>SUM(J26/J28)</f>
        <v>3096.7050358469328</v>
      </c>
      <c r="K31" s="257" t="e">
        <f>SUM(K26/K28)</f>
        <v>#REF!</v>
      </c>
      <c r="L31" s="296" t="s">
        <v>73</v>
      </c>
      <c r="O31" s="285"/>
      <c r="P31" s="285"/>
      <c r="Q31" s="285"/>
      <c r="R31" s="285"/>
      <c r="S31" s="285"/>
      <c r="T31" s="285"/>
      <c r="U31" s="285"/>
    </row>
    <row r="32" spans="1:21" s="284" customFormat="1" ht="14.25" x14ac:dyDescent="0.2">
      <c r="A32" s="704" t="s">
        <v>324</v>
      </c>
      <c r="B32" s="945">
        <f t="shared" ref="B32:J32" si="7">B12/B21</f>
        <v>0.3429019652641821</v>
      </c>
      <c r="C32" s="945">
        <f t="shared" si="7"/>
        <v>0.36152849078164173</v>
      </c>
      <c r="D32" s="945">
        <f t="shared" si="7"/>
        <v>0.60137170323640754</v>
      </c>
      <c r="E32" s="945">
        <f t="shared" si="7"/>
        <v>0.54715613927591444</v>
      </c>
      <c r="F32" s="945">
        <f t="shared" si="7"/>
        <v>1.2374475603321635</v>
      </c>
      <c r="G32" s="945">
        <f t="shared" si="7"/>
        <v>0.32004595077411668</v>
      </c>
      <c r="H32" s="945">
        <f t="shared" si="7"/>
        <v>0.30654450517752202</v>
      </c>
      <c r="I32" s="945">
        <f>I12/I21</f>
        <v>0.3887690137520764</v>
      </c>
      <c r="J32" s="945">
        <f t="shared" si="7"/>
        <v>0.37381635937699659</v>
      </c>
      <c r="K32" s="945" t="e">
        <f>K12/K21</f>
        <v>#REF!</v>
      </c>
      <c r="L32" s="557" t="s">
        <v>328</v>
      </c>
      <c r="O32" s="285"/>
      <c r="P32" s="285"/>
      <c r="Q32" s="285"/>
      <c r="R32" s="285"/>
      <c r="S32" s="285"/>
      <c r="T32" s="285"/>
      <c r="U32" s="285"/>
    </row>
    <row r="33" spans="1:22" s="284" customFormat="1" ht="14.25" x14ac:dyDescent="0.2">
      <c r="A33" s="704" t="s">
        <v>325</v>
      </c>
      <c r="B33" s="946">
        <f t="shared" ref="B33:J33" si="8">B13/B21</f>
        <v>6.6401033644661019E-3</v>
      </c>
      <c r="C33" s="946">
        <f t="shared" si="8"/>
        <v>5.6961523374209067E-3</v>
      </c>
      <c r="D33" s="946">
        <f t="shared" si="8"/>
        <v>1.1784090012414551E-3</v>
      </c>
      <c r="E33" s="946">
        <f t="shared" si="8"/>
        <v>1.657031728694355E-2</v>
      </c>
      <c r="F33" s="946">
        <f t="shared" si="8"/>
        <v>1.1128309429616672E-2</v>
      </c>
      <c r="G33" s="946">
        <f t="shared" si="8"/>
        <v>1.3426529802075654E-2</v>
      </c>
      <c r="H33" s="946">
        <f t="shared" si="8"/>
        <v>2.6987650216585671E-2</v>
      </c>
      <c r="I33" s="946">
        <f>I13/I21</f>
        <v>2.2378351807399431E-3</v>
      </c>
      <c r="J33" s="946">
        <f t="shared" si="8"/>
        <v>6.250943766622637E-3</v>
      </c>
      <c r="K33" s="946" t="e">
        <f>K13/K21</f>
        <v>#REF!</v>
      </c>
      <c r="L33" s="557" t="s">
        <v>329</v>
      </c>
      <c r="O33" s="285"/>
      <c r="P33" s="285"/>
      <c r="Q33" s="285"/>
      <c r="R33" s="285"/>
      <c r="S33" s="285"/>
      <c r="T33" s="285"/>
      <c r="U33" s="285"/>
    </row>
    <row r="34" spans="1:22" s="284" customFormat="1" x14ac:dyDescent="0.2">
      <c r="A34" s="247"/>
      <c r="F34" s="267"/>
      <c r="G34" s="296"/>
      <c r="H34" s="245"/>
      <c r="I34" s="296"/>
      <c r="J34" s="296"/>
      <c r="K34" s="296"/>
      <c r="M34" s="296"/>
      <c r="N34" s="180"/>
      <c r="O34" s="185"/>
      <c r="P34" s="182"/>
      <c r="Q34" s="182"/>
      <c r="R34" s="182"/>
      <c r="S34" s="285"/>
    </row>
    <row r="35" spans="1:22" s="284" customFormat="1" x14ac:dyDescent="0.2">
      <c r="A35" s="248" t="s">
        <v>194</v>
      </c>
      <c r="B35" s="304"/>
      <c r="C35" s="285"/>
      <c r="G35" s="276" t="s">
        <v>191</v>
      </c>
      <c r="K35" s="296"/>
      <c r="L35" s="245"/>
      <c r="M35" s="296"/>
      <c r="N35" s="296"/>
      <c r="P35" s="296"/>
      <c r="Q35" s="180"/>
      <c r="R35" s="185"/>
      <c r="S35" s="182"/>
      <c r="T35" s="182"/>
      <c r="U35" s="182"/>
      <c r="V35" s="285"/>
    </row>
    <row r="36" spans="1:22" s="284" customFormat="1" x14ac:dyDescent="0.2">
      <c r="A36" s="273" t="s">
        <v>185</v>
      </c>
      <c r="B36" s="250" t="s">
        <v>1</v>
      </c>
      <c r="C36" s="250" t="s">
        <v>186</v>
      </c>
      <c r="D36" s="250" t="s">
        <v>18</v>
      </c>
      <c r="G36" s="273" t="s">
        <v>185</v>
      </c>
      <c r="H36" s="250" t="s">
        <v>188</v>
      </c>
      <c r="I36" s="250" t="s">
        <v>186</v>
      </c>
      <c r="J36" s="250" t="s">
        <v>189</v>
      </c>
      <c r="K36" s="296"/>
      <c r="L36" s="245"/>
      <c r="M36" s="296"/>
      <c r="N36" s="296"/>
      <c r="P36" s="296"/>
    </row>
    <row r="37" spans="1:22" s="284" customFormat="1" x14ac:dyDescent="0.2">
      <c r="A37" s="273">
        <v>2009</v>
      </c>
      <c r="B37" s="274">
        <v>250000</v>
      </c>
      <c r="C37" s="541">
        <f>+B15</f>
        <v>187911.34999999998</v>
      </c>
      <c r="D37" s="275">
        <f t="shared" ref="D37:D42" si="9">IF(ISERROR(C37/B37),"-",(C37/B37))</f>
        <v>0.75164539999999991</v>
      </c>
      <c r="G37" s="273">
        <v>2009</v>
      </c>
      <c r="H37" s="278">
        <v>37800</v>
      </c>
      <c r="I37" s="540">
        <f>+B20</f>
        <v>20308</v>
      </c>
      <c r="J37" s="275">
        <f t="shared" ref="J37:J42" si="10">IF(ISERROR(I37/H37),"-",(I37/H37))</f>
        <v>0.5372486772486772</v>
      </c>
      <c r="K37" s="296"/>
      <c r="L37" s="245"/>
      <c r="M37" s="296"/>
      <c r="N37" s="296"/>
      <c r="P37" s="296"/>
    </row>
    <row r="38" spans="1:22" s="284" customFormat="1" x14ac:dyDescent="0.2">
      <c r="A38" s="273">
        <v>2010</v>
      </c>
      <c r="B38" s="274">
        <v>250000</v>
      </c>
      <c r="C38" s="541">
        <v>94333.54</v>
      </c>
      <c r="D38" s="275">
        <f t="shared" si="9"/>
        <v>0.37733415999999997</v>
      </c>
      <c r="G38" s="273">
        <v>2010</v>
      </c>
      <c r="H38" s="278">
        <v>30194</v>
      </c>
      <c r="I38" s="540">
        <v>9381</v>
      </c>
      <c r="J38" s="275">
        <f t="shared" si="10"/>
        <v>0.31069086573491422</v>
      </c>
      <c r="K38" s="296"/>
      <c r="L38" s="245"/>
      <c r="M38" s="296"/>
      <c r="N38" s="296"/>
      <c r="P38" s="296"/>
    </row>
    <row r="39" spans="1:22" s="284" customFormat="1" x14ac:dyDescent="0.2">
      <c r="A39" s="273">
        <v>2011</v>
      </c>
      <c r="B39" s="274">
        <v>300000</v>
      </c>
      <c r="C39" s="541">
        <v>364583.21</v>
      </c>
      <c r="D39" s="275">
        <f t="shared" si="9"/>
        <v>1.2152773666666667</v>
      </c>
      <c r="G39" s="273">
        <v>2011</v>
      </c>
      <c r="H39" s="278">
        <v>23301</v>
      </c>
      <c r="I39" s="540">
        <v>23981.51</v>
      </c>
      <c r="J39" s="275">
        <f t="shared" si="10"/>
        <v>1.0292051843268528</v>
      </c>
      <c r="K39" s="296"/>
      <c r="L39" s="245"/>
      <c r="M39" s="296"/>
      <c r="N39" s="296"/>
      <c r="P39" s="296"/>
    </row>
    <row r="40" spans="1:22" s="284" customFormat="1" x14ac:dyDescent="0.2">
      <c r="A40" s="273">
        <v>2012</v>
      </c>
      <c r="B40" s="541">
        <v>300000</v>
      </c>
      <c r="C40" s="549">
        <f>+E15</f>
        <v>119742</v>
      </c>
      <c r="D40" s="275">
        <f t="shared" si="9"/>
        <v>0.39913999999999999</v>
      </c>
      <c r="G40" s="273">
        <v>2012</v>
      </c>
      <c r="H40" s="540">
        <v>24796</v>
      </c>
      <c r="I40" s="278">
        <f>+E20</f>
        <v>7833</v>
      </c>
      <c r="J40" s="275">
        <f t="shared" si="10"/>
        <v>0.31589772543958705</v>
      </c>
      <c r="K40" s="296"/>
      <c r="L40" s="245"/>
      <c r="M40" s="296"/>
      <c r="N40" s="296"/>
      <c r="P40" s="296"/>
    </row>
    <row r="41" spans="1:22" s="284" customFormat="1" x14ac:dyDescent="0.2">
      <c r="A41" s="273">
        <v>2013</v>
      </c>
      <c r="B41" s="513">
        <v>340685</v>
      </c>
      <c r="C41" s="541">
        <f>F15</f>
        <v>595731.59</v>
      </c>
      <c r="D41" s="275">
        <f t="shared" si="9"/>
        <v>1.7486287626399752</v>
      </c>
      <c r="G41" s="273">
        <v>2013</v>
      </c>
      <c r="H41" s="554">
        <v>23439</v>
      </c>
      <c r="I41" s="278">
        <f>F20</f>
        <v>18934</v>
      </c>
      <c r="J41" s="275">
        <f t="shared" si="10"/>
        <v>0.80779896753274461</v>
      </c>
      <c r="K41" s="296"/>
      <c r="L41" s="245"/>
      <c r="M41" s="296"/>
      <c r="N41" s="296"/>
      <c r="P41" s="296"/>
    </row>
    <row r="42" spans="1:22" s="284" customFormat="1" x14ac:dyDescent="0.2">
      <c r="A42" s="273">
        <v>2014</v>
      </c>
      <c r="B42" s="274">
        <v>351535</v>
      </c>
      <c r="C42" s="274">
        <f>G15</f>
        <v>281061.83</v>
      </c>
      <c r="D42" s="275">
        <f t="shared" si="9"/>
        <v>0.7995273016911546</v>
      </c>
      <c r="G42" s="273">
        <v>2014</v>
      </c>
      <c r="H42" s="562">
        <v>39503</v>
      </c>
      <c r="I42" s="278">
        <f>G20</f>
        <v>29745</v>
      </c>
      <c r="J42" s="275">
        <f t="shared" si="10"/>
        <v>0.75298078626939724</v>
      </c>
      <c r="K42" s="296"/>
      <c r="L42" s="245"/>
      <c r="M42" s="296"/>
      <c r="N42" s="296"/>
      <c r="P42" s="296"/>
    </row>
    <row r="43" spans="1:22" s="284" customFormat="1" x14ac:dyDescent="0.2">
      <c r="A43" s="273">
        <v>2015</v>
      </c>
      <c r="B43" s="274">
        <f>H15</f>
        <v>330790</v>
      </c>
      <c r="C43" s="274"/>
      <c r="D43" s="275"/>
      <c r="G43" s="273">
        <v>2015</v>
      </c>
      <c r="H43" s="562">
        <f>H20</f>
        <v>32726</v>
      </c>
      <c r="I43" s="278"/>
      <c r="J43" s="275"/>
      <c r="K43" s="296"/>
      <c r="L43" s="245"/>
      <c r="M43" s="296"/>
      <c r="N43" s="296"/>
      <c r="P43" s="296"/>
    </row>
    <row r="44" spans="1:22" s="284" customFormat="1" x14ac:dyDescent="0.2">
      <c r="A44" s="273">
        <v>2016</v>
      </c>
      <c r="B44" s="513">
        <f>I15</f>
        <v>750790</v>
      </c>
      <c r="G44" s="273">
        <v>2016</v>
      </c>
      <c r="H44" s="562">
        <f>I20</f>
        <v>76888.887334292245</v>
      </c>
      <c r="I44" s="168"/>
      <c r="J44" s="168"/>
      <c r="K44" s="296"/>
      <c r="L44" s="245"/>
      <c r="M44" s="296"/>
      <c r="N44" s="296"/>
      <c r="P44" s="296"/>
    </row>
    <row r="45" spans="1:22" s="284" customFormat="1" x14ac:dyDescent="0.2">
      <c r="A45" s="273">
        <v>2017</v>
      </c>
      <c r="B45" s="513">
        <f>J15</f>
        <v>646192</v>
      </c>
      <c r="G45" s="273">
        <v>2017</v>
      </c>
      <c r="H45" s="562">
        <f>J20</f>
        <v>68005.877732104709</v>
      </c>
      <c r="I45" s="168"/>
      <c r="J45" s="168"/>
      <c r="K45" s="296"/>
      <c r="L45" s="245"/>
      <c r="M45" s="296"/>
      <c r="N45" s="296"/>
      <c r="P45" s="296"/>
    </row>
    <row r="46" spans="1:22" s="284" customFormat="1" x14ac:dyDescent="0.2">
      <c r="A46" s="273">
        <v>2018</v>
      </c>
      <c r="B46" s="513">
        <f>K15</f>
        <v>1099836.56</v>
      </c>
      <c r="G46" s="273">
        <v>2018</v>
      </c>
      <c r="H46" s="562" t="e">
        <f>K20</f>
        <v>#REF!</v>
      </c>
      <c r="I46" s="168"/>
      <c r="J46" s="168"/>
      <c r="K46" s="296"/>
      <c r="L46" s="245"/>
      <c r="M46" s="296"/>
      <c r="N46" s="296"/>
      <c r="P46" s="296"/>
    </row>
    <row r="47" spans="1:22" s="284" customFormat="1" x14ac:dyDescent="0.2">
      <c r="A47" s="273"/>
      <c r="G47" s="273"/>
      <c r="H47" s="168"/>
      <c r="I47" s="168"/>
      <c r="J47" s="168"/>
      <c r="K47" s="296"/>
      <c r="L47" s="245"/>
      <c r="M47" s="296"/>
      <c r="N47" s="296"/>
      <c r="P47" s="296"/>
    </row>
    <row r="48" spans="1:22" s="284" customFormat="1" x14ac:dyDescent="0.2">
      <c r="A48" s="276" t="s">
        <v>193</v>
      </c>
      <c r="G48" s="276" t="s">
        <v>190</v>
      </c>
      <c r="H48" s="168"/>
      <c r="I48" s="168"/>
      <c r="J48" s="168"/>
      <c r="K48" s="296"/>
      <c r="L48" s="245"/>
      <c r="M48" s="296"/>
      <c r="N48" s="296"/>
      <c r="P48" s="296"/>
    </row>
    <row r="49" spans="1:16" s="284" customFormat="1" x14ac:dyDescent="0.2">
      <c r="A49" s="273" t="s">
        <v>185</v>
      </c>
      <c r="B49" s="250" t="s">
        <v>188</v>
      </c>
      <c r="C49" s="250" t="s">
        <v>186</v>
      </c>
      <c r="D49" s="250" t="s">
        <v>189</v>
      </c>
      <c r="G49" s="273" t="s">
        <v>185</v>
      </c>
      <c r="H49" s="250" t="s">
        <v>188</v>
      </c>
      <c r="I49" s="250" t="s">
        <v>186</v>
      </c>
      <c r="J49" s="250" t="s">
        <v>189</v>
      </c>
      <c r="K49" s="296"/>
      <c r="L49" s="245"/>
      <c r="M49" s="296"/>
      <c r="N49" s="296"/>
      <c r="P49" s="296"/>
    </row>
    <row r="50" spans="1:16" s="284" customFormat="1" x14ac:dyDescent="0.2">
      <c r="A50" s="273">
        <v>2009</v>
      </c>
      <c r="B50" s="463">
        <v>150</v>
      </c>
      <c r="C50" s="463">
        <f>+B28</f>
        <v>71</v>
      </c>
      <c r="D50" s="275">
        <f t="shared" ref="D50:D55" si="11">IF(ISERROR(C50/B50),"-",(C50/B50))</f>
        <v>0.47333333333333333</v>
      </c>
      <c r="G50" s="273">
        <v>2009</v>
      </c>
      <c r="H50" s="540">
        <v>945000</v>
      </c>
      <c r="I50" s="540">
        <f>+B21</f>
        <v>507718</v>
      </c>
      <c r="J50" s="275">
        <f t="shared" ref="J50:J55" si="12">IF(ISERROR(I50/H50),"-",(I50/H50))</f>
        <v>0.53726772486772489</v>
      </c>
      <c r="K50" s="296"/>
      <c r="L50" s="245"/>
      <c r="M50" s="296"/>
      <c r="N50" s="296"/>
      <c r="P50" s="296"/>
    </row>
    <row r="51" spans="1:16" s="284" customFormat="1" x14ac:dyDescent="0.2">
      <c r="A51" s="273">
        <v>2010</v>
      </c>
      <c r="B51" s="463">
        <v>101</v>
      </c>
      <c r="C51" s="463">
        <v>32</v>
      </c>
      <c r="D51" s="275">
        <f t="shared" si="11"/>
        <v>0.31683168316831684</v>
      </c>
      <c r="G51" s="273">
        <v>2010</v>
      </c>
      <c r="H51" s="540">
        <v>754853</v>
      </c>
      <c r="I51" s="540">
        <v>234532</v>
      </c>
      <c r="J51" s="275">
        <f t="shared" si="12"/>
        <v>0.31069890428997432</v>
      </c>
      <c r="K51" s="296"/>
      <c r="L51" s="245"/>
      <c r="M51" s="296"/>
      <c r="N51" s="296"/>
      <c r="P51" s="296"/>
    </row>
    <row r="52" spans="1:16" s="284" customFormat="1" x14ac:dyDescent="0.2">
      <c r="A52" s="273">
        <v>2011</v>
      </c>
      <c r="B52" s="463">
        <v>54</v>
      </c>
      <c r="C52" s="463">
        <v>114</v>
      </c>
      <c r="D52" s="275">
        <f t="shared" si="11"/>
        <v>2.1111111111111112</v>
      </c>
      <c r="G52" s="273">
        <v>2011</v>
      </c>
      <c r="H52" s="540">
        <v>582520</v>
      </c>
      <c r="I52" s="540">
        <v>599562.63</v>
      </c>
      <c r="J52" s="275">
        <f t="shared" si="12"/>
        <v>1.0292567293826822</v>
      </c>
      <c r="K52" s="296"/>
      <c r="L52" s="245"/>
      <c r="M52" s="296"/>
      <c r="N52" s="296"/>
      <c r="P52" s="296"/>
    </row>
    <row r="53" spans="1:16" s="284" customFormat="1" x14ac:dyDescent="0.2">
      <c r="A53" s="273">
        <v>2012</v>
      </c>
      <c r="B53" s="463">
        <v>90</v>
      </c>
      <c r="C53" s="278">
        <f>+E28</f>
        <v>40</v>
      </c>
      <c r="D53" s="275">
        <f t="shared" si="11"/>
        <v>0.44444444444444442</v>
      </c>
      <c r="G53" s="273">
        <v>2012</v>
      </c>
      <c r="H53" s="540">
        <v>619898</v>
      </c>
      <c r="I53" s="556">
        <f>+E21</f>
        <v>187685</v>
      </c>
      <c r="J53" s="275">
        <f t="shared" si="12"/>
        <v>0.30276755208114886</v>
      </c>
      <c r="K53" s="296"/>
      <c r="L53" s="245"/>
      <c r="M53" s="296"/>
      <c r="N53" s="296"/>
      <c r="P53" s="296"/>
    </row>
    <row r="54" spans="1:16" s="284" customFormat="1" x14ac:dyDescent="0.2">
      <c r="A54" s="273">
        <v>2013</v>
      </c>
      <c r="B54" s="463">
        <v>126</v>
      </c>
      <c r="C54" s="463">
        <f>F28</f>
        <v>116</v>
      </c>
      <c r="D54" s="275">
        <f t="shared" si="11"/>
        <v>0.92063492063492058</v>
      </c>
      <c r="G54" s="273">
        <v>2013</v>
      </c>
      <c r="H54" s="562">
        <v>585977</v>
      </c>
      <c r="I54" s="556">
        <f>F21</f>
        <v>456763</v>
      </c>
      <c r="J54" s="275">
        <f t="shared" si="12"/>
        <v>0.77948963867182497</v>
      </c>
      <c r="K54" s="296"/>
      <c r="L54" s="245"/>
      <c r="M54" s="296"/>
      <c r="N54" s="296"/>
      <c r="P54" s="296"/>
    </row>
    <row r="55" spans="1:16" s="284" customFormat="1" x14ac:dyDescent="0.2">
      <c r="A55" s="273">
        <v>2014</v>
      </c>
      <c r="B55" s="278">
        <v>148</v>
      </c>
      <c r="C55" s="278">
        <f>G28</f>
        <v>336</v>
      </c>
      <c r="D55" s="275">
        <f t="shared" si="11"/>
        <v>2.2702702702702702</v>
      </c>
      <c r="G55" s="273">
        <v>2014</v>
      </c>
      <c r="H55" s="562">
        <v>987584</v>
      </c>
      <c r="I55" s="278">
        <f>G21</f>
        <v>705320</v>
      </c>
      <c r="J55" s="275">
        <f t="shared" si="12"/>
        <v>0.71418735013932988</v>
      </c>
      <c r="K55" s="296"/>
      <c r="L55" s="245"/>
      <c r="M55" s="296"/>
      <c r="N55" s="296"/>
      <c r="P55" s="296"/>
    </row>
    <row r="56" spans="1:16" s="284" customFormat="1" x14ac:dyDescent="0.2">
      <c r="A56" s="273">
        <v>2015</v>
      </c>
      <c r="B56" s="278">
        <f>H28</f>
        <v>116</v>
      </c>
      <c r="C56" s="278"/>
      <c r="D56" s="275"/>
      <c r="G56" s="273">
        <v>2015</v>
      </c>
      <c r="H56" s="562">
        <f>H21</f>
        <v>818152</v>
      </c>
      <c r="I56" s="278"/>
      <c r="J56" s="275"/>
      <c r="K56" s="296"/>
      <c r="L56" s="245"/>
      <c r="M56" s="296"/>
      <c r="N56" s="296"/>
      <c r="P56" s="296"/>
    </row>
    <row r="57" spans="1:16" s="284" customFormat="1" x14ac:dyDescent="0.2">
      <c r="A57" s="273">
        <v>2016</v>
      </c>
      <c r="B57" s="278">
        <f>I28</f>
        <v>353.10839116131007</v>
      </c>
      <c r="G57" s="273">
        <v>2016</v>
      </c>
      <c r="H57" s="562">
        <f>I21</f>
        <v>1823190.5705633524</v>
      </c>
      <c r="I57" s="245"/>
      <c r="J57" s="296"/>
      <c r="K57" s="296"/>
      <c r="L57" s="245"/>
      <c r="M57" s="296"/>
      <c r="N57" s="296"/>
      <c r="P57" s="296"/>
    </row>
    <row r="58" spans="1:16" s="284" customFormat="1" x14ac:dyDescent="0.2">
      <c r="A58" s="273">
        <v>2017</v>
      </c>
      <c r="B58" s="278">
        <f>J28</f>
        <v>304.70120885215579</v>
      </c>
      <c r="G58" s="273">
        <v>2017</v>
      </c>
      <c r="H58" s="562">
        <f>J21</f>
        <v>1612556.4996797577</v>
      </c>
      <c r="I58" s="245"/>
      <c r="J58" s="296"/>
      <c r="K58" s="296"/>
      <c r="L58" s="245"/>
      <c r="M58" s="296"/>
      <c r="N58" s="296"/>
      <c r="P58" s="296"/>
    </row>
    <row r="59" spans="1:16" s="284" customFormat="1" x14ac:dyDescent="0.2">
      <c r="A59" s="273">
        <v>2018</v>
      </c>
      <c r="B59" s="278" t="e">
        <f>K28</f>
        <v>#REF!</v>
      </c>
      <c r="G59" s="273">
        <v>2018</v>
      </c>
      <c r="H59" s="562" t="e">
        <f>K21</f>
        <v>#REF!</v>
      </c>
      <c r="I59" s="245"/>
      <c r="J59" s="296"/>
      <c r="K59" s="296"/>
      <c r="L59" s="245"/>
      <c r="M59" s="296"/>
      <c r="N59" s="296"/>
      <c r="P59" s="296"/>
    </row>
    <row r="60" spans="1:16" s="284" customFormat="1" x14ac:dyDescent="0.2">
      <c r="I60" s="245"/>
      <c r="J60" s="296"/>
      <c r="K60" s="296"/>
      <c r="L60" s="245"/>
      <c r="M60" s="296"/>
      <c r="N60" s="296"/>
      <c r="P60" s="296"/>
    </row>
    <row r="61" spans="1:16" s="284" customFormat="1" x14ac:dyDescent="0.2">
      <c r="I61" s="245"/>
      <c r="J61" s="296"/>
      <c r="K61" s="296"/>
      <c r="L61" s="245"/>
      <c r="M61" s="296"/>
      <c r="N61" s="296"/>
      <c r="P61" s="296"/>
    </row>
    <row r="62" spans="1:16" s="284" customFormat="1" x14ac:dyDescent="0.2">
      <c r="I62" s="245"/>
      <c r="J62" s="296"/>
      <c r="K62" s="296"/>
      <c r="L62" s="245"/>
      <c r="M62" s="296"/>
      <c r="N62" s="296"/>
      <c r="P62" s="296"/>
    </row>
    <row r="63" spans="1:16" s="284" customFormat="1" x14ac:dyDescent="0.2">
      <c r="I63" s="245"/>
      <c r="J63" s="296"/>
      <c r="K63" s="296"/>
      <c r="L63" s="245"/>
      <c r="M63" s="296"/>
      <c r="N63" s="296"/>
      <c r="P63" s="296"/>
    </row>
    <row r="64" spans="1:16" x14ac:dyDescent="0.2">
      <c r="E64" s="3"/>
      <c r="F64" s="3"/>
      <c r="G64" s="3"/>
      <c r="H64" s="3"/>
      <c r="I64" s="245"/>
      <c r="J64" s="296"/>
      <c r="K64" s="296"/>
      <c r="M64" s="296"/>
      <c r="N64" s="296"/>
      <c r="P64" s="181"/>
    </row>
    <row r="65" spans="5:16" x14ac:dyDescent="0.2">
      <c r="E65" s="3"/>
      <c r="F65" s="3"/>
      <c r="G65" s="3"/>
      <c r="H65" s="3"/>
      <c r="I65" s="245"/>
      <c r="J65" s="296"/>
      <c r="K65" s="296"/>
      <c r="M65" s="296"/>
      <c r="N65" s="296"/>
      <c r="P65" s="181"/>
    </row>
    <row r="66" spans="5:16" x14ac:dyDescent="0.2">
      <c r="E66" s="3"/>
      <c r="F66" s="3"/>
      <c r="G66" s="3"/>
      <c r="H66" s="3"/>
      <c r="I66" s="245"/>
      <c r="J66" s="296"/>
      <c r="K66" s="296"/>
      <c r="M66" s="296"/>
      <c r="N66" s="296"/>
      <c r="P66" s="181"/>
    </row>
    <row r="67" spans="5:16" x14ac:dyDescent="0.2">
      <c r="I67" s="245"/>
      <c r="J67" s="296"/>
      <c r="K67" s="296"/>
      <c r="M67" s="296"/>
      <c r="N67" s="296"/>
    </row>
    <row r="68" spans="5:16" x14ac:dyDescent="0.2">
      <c r="I68" s="245"/>
      <c r="J68" s="296"/>
      <c r="K68" s="296"/>
      <c r="M68" s="296"/>
      <c r="N68" s="296"/>
    </row>
    <row r="69" spans="5:16" x14ac:dyDescent="0.2">
      <c r="I69" s="245"/>
      <c r="J69" s="296"/>
      <c r="K69" s="296"/>
      <c r="M69" s="296"/>
      <c r="N69" s="296"/>
    </row>
    <row r="70" spans="5:16" x14ac:dyDescent="0.2">
      <c r="I70" s="245"/>
      <c r="J70" s="296"/>
      <c r="K70" s="296"/>
      <c r="M70" s="296"/>
      <c r="N70" s="296"/>
    </row>
    <row r="71" spans="5:16" x14ac:dyDescent="0.2">
      <c r="I71" s="245"/>
      <c r="J71" s="296"/>
      <c r="K71" s="296"/>
      <c r="M71" s="296"/>
      <c r="N71" s="296"/>
    </row>
    <row r="72" spans="5:16" x14ac:dyDescent="0.2">
      <c r="I72" s="245"/>
      <c r="J72" s="296"/>
      <c r="K72" s="296"/>
      <c r="M72" s="296"/>
      <c r="N72" s="296"/>
    </row>
    <row r="73" spans="5:16" x14ac:dyDescent="0.2">
      <c r="I73" s="245"/>
      <c r="J73" s="296"/>
      <c r="K73" s="296"/>
      <c r="M73" s="296"/>
      <c r="N73" s="296"/>
    </row>
    <row r="74" spans="5:16" x14ac:dyDescent="0.2">
      <c r="I74" s="245"/>
      <c r="J74" s="181"/>
      <c r="K74" s="181"/>
      <c r="M74" s="181"/>
      <c r="N74" s="181"/>
    </row>
    <row r="75" spans="5:16" x14ac:dyDescent="0.2">
      <c r="I75" s="245"/>
    </row>
    <row r="76" spans="5:16" x14ac:dyDescent="0.2">
      <c r="I76" s="245"/>
    </row>
    <row r="77" spans="5:16" x14ac:dyDescent="0.2">
      <c r="I77" s="245"/>
    </row>
    <row r="78" spans="5:16" x14ac:dyDescent="0.2">
      <c r="I78" s="245"/>
    </row>
    <row r="79" spans="5:16" x14ac:dyDescent="0.2">
      <c r="I79" s="245"/>
    </row>
    <row r="80" spans="5:16" x14ac:dyDescent="0.2">
      <c r="I80" s="245"/>
    </row>
    <row r="81" spans="9:9" x14ac:dyDescent="0.2">
      <c r="I81" s="245"/>
    </row>
    <row r="82" spans="9:9" x14ac:dyDescent="0.2">
      <c r="I82" s="245"/>
    </row>
    <row r="83" spans="9:9" x14ac:dyDescent="0.2">
      <c r="I83" s="245"/>
    </row>
    <row r="84" spans="9:9" x14ac:dyDescent="0.2">
      <c r="I84" s="245"/>
    </row>
    <row r="85" spans="9:9" x14ac:dyDescent="0.2">
      <c r="I85" s="245"/>
    </row>
    <row r="86" spans="9:9" x14ac:dyDescent="0.2">
      <c r="I86" s="245"/>
    </row>
    <row r="87" spans="9:9" x14ac:dyDescent="0.2">
      <c r="I87" s="245"/>
    </row>
    <row r="88" spans="9:9" x14ac:dyDescent="0.2">
      <c r="I88" s="245"/>
    </row>
    <row r="89" spans="9:9" x14ac:dyDescent="0.2">
      <c r="I89" s="245"/>
    </row>
    <row r="90" spans="9:9" x14ac:dyDescent="0.2">
      <c r="I90" s="245"/>
    </row>
    <row r="91" spans="9:9" x14ac:dyDescent="0.2">
      <c r="I91" s="245"/>
    </row>
    <row r="92" spans="9:9" x14ac:dyDescent="0.2">
      <c r="I92" s="245"/>
    </row>
    <row r="93" spans="9:9" x14ac:dyDescent="0.2">
      <c r="I93" s="245"/>
    </row>
    <row r="94" spans="9:9" x14ac:dyDescent="0.2">
      <c r="I94" s="245"/>
    </row>
    <row r="95" spans="9:9" x14ac:dyDescent="0.2">
      <c r="I95" s="245"/>
    </row>
    <row r="96" spans="9:9" x14ac:dyDescent="0.2">
      <c r="I96" s="245"/>
    </row>
    <row r="97" spans="9:9" x14ac:dyDescent="0.2">
      <c r="I97" s="245"/>
    </row>
    <row r="98" spans="9:9" x14ac:dyDescent="0.2">
      <c r="I98" s="245"/>
    </row>
    <row r="99" spans="9:9" x14ac:dyDescent="0.2">
      <c r="I99" s="245"/>
    </row>
    <row r="100" spans="9:9" x14ac:dyDescent="0.2">
      <c r="I100" s="245"/>
    </row>
    <row r="101" spans="9:9" x14ac:dyDescent="0.2">
      <c r="I101" s="245"/>
    </row>
    <row r="102" spans="9:9" x14ac:dyDescent="0.2">
      <c r="I102" s="245"/>
    </row>
    <row r="103" spans="9:9" x14ac:dyDescent="0.2">
      <c r="I103" s="245"/>
    </row>
    <row r="104" spans="9:9" x14ac:dyDescent="0.2">
      <c r="I104" s="245"/>
    </row>
    <row r="105" spans="9:9" x14ac:dyDescent="0.2">
      <c r="I105" s="245"/>
    </row>
    <row r="106" spans="9:9" x14ac:dyDescent="0.2">
      <c r="I106" s="245"/>
    </row>
    <row r="107" spans="9:9" x14ac:dyDescent="0.2">
      <c r="I107" s="245"/>
    </row>
    <row r="108" spans="9:9" x14ac:dyDescent="0.2">
      <c r="I108" s="245"/>
    </row>
    <row r="109" spans="9:9" x14ac:dyDescent="0.2">
      <c r="I109" s="245"/>
    </row>
    <row r="110" spans="9:9" x14ac:dyDescent="0.2">
      <c r="I110" s="245"/>
    </row>
    <row r="111" spans="9:9" x14ac:dyDescent="0.2">
      <c r="I111" s="245"/>
    </row>
    <row r="112" spans="9:9" x14ac:dyDescent="0.2">
      <c r="I112" s="245"/>
    </row>
    <row r="113" spans="9:9" x14ac:dyDescent="0.2">
      <c r="I113" s="168"/>
    </row>
    <row r="114" spans="9:9" x14ac:dyDescent="0.2">
      <c r="I114" s="168"/>
    </row>
  </sheetData>
  <mergeCells count="2">
    <mergeCell ref="N7:R7"/>
    <mergeCell ref="A1:L1"/>
  </mergeCells>
  <phoneticPr fontId="10" type="noConversion"/>
  <pageMargins left="0.98" right="0.75" top="1.1499999999999999" bottom="1" header="0.5" footer="0.5"/>
  <pageSetup scale="66" fitToHeight="0" orientation="landscape" r:id="rId1"/>
  <headerFooter alignWithMargins="0">
    <oddFooter>&amp;C&amp;1#&amp;"Calibri"&amp;12&amp;K008000Internal Use</oddFooter>
  </headerFooter>
  <rowBreaks count="1" manualBreakCount="1">
    <brk id="34" max="11"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7">
    <tabColor indexed="44"/>
    <pageSetUpPr fitToPage="1"/>
  </sheetPr>
  <dimension ref="A1:Q103"/>
  <sheetViews>
    <sheetView zoomScaleNormal="100" workbookViewId="0">
      <selection activeCell="W61" sqref="W61"/>
    </sheetView>
  </sheetViews>
  <sheetFormatPr defaultRowHeight="12.75" x14ac:dyDescent="0.2"/>
  <cols>
    <col min="1" max="1" width="39.28515625" style="168" bestFit="1" customWidth="1"/>
    <col min="2" max="3" width="13.42578125" style="168" customWidth="1"/>
    <col min="4" max="4" width="13.42578125" style="3" customWidth="1"/>
    <col min="5" max="6" width="13.42578125" style="168" customWidth="1"/>
    <col min="7" max="7" width="9.5703125" style="245" bestFit="1" customWidth="1"/>
    <col min="8" max="9" width="9.85546875" style="168" customWidth="1"/>
    <col min="10" max="10" width="9.5703125" style="168" bestFit="1" customWidth="1"/>
    <col min="11" max="11" width="9.140625" style="168"/>
    <col min="12" max="12" width="14.140625" style="168" customWidth="1"/>
    <col min="13" max="13" width="3.28515625" style="168" customWidth="1"/>
    <col min="14" max="14" width="3.7109375" style="168" customWidth="1"/>
    <col min="15" max="15" width="3.5703125" style="168" customWidth="1"/>
    <col min="16" max="16" width="10.7109375" style="168" customWidth="1"/>
    <col min="17" max="17" width="12.28515625" style="168" customWidth="1"/>
    <col min="18" max="16384" width="9.140625" style="168"/>
  </cols>
  <sheetData>
    <row r="1" spans="1:17" ht="15.75" x14ac:dyDescent="0.25">
      <c r="A1" s="3055" t="s">
        <v>77</v>
      </c>
      <c r="B1" s="3055"/>
      <c r="C1" s="3055"/>
      <c r="D1" s="3055"/>
      <c r="E1" s="3055"/>
      <c r="F1" s="3055"/>
      <c r="G1" s="3055"/>
      <c r="H1" s="1914"/>
      <c r="I1" s="1914"/>
      <c r="J1" s="1914"/>
      <c r="K1" s="1914"/>
      <c r="L1" s="170"/>
      <c r="M1" s="170"/>
      <c r="N1" s="170"/>
      <c r="O1" s="170"/>
      <c r="P1" s="170"/>
      <c r="Q1" s="170"/>
    </row>
    <row r="2" spans="1:17" x14ac:dyDescent="0.2">
      <c r="A2" s="169"/>
      <c r="L2" s="170"/>
      <c r="M2" s="170"/>
      <c r="N2" s="170"/>
      <c r="O2" s="170"/>
      <c r="P2" s="170"/>
      <c r="Q2" s="170"/>
    </row>
    <row r="3" spans="1:17" ht="15.75" x14ac:dyDescent="0.25">
      <c r="A3" s="172" t="s">
        <v>531</v>
      </c>
      <c r="L3" s="170"/>
      <c r="M3" s="170"/>
      <c r="N3" s="170"/>
      <c r="O3" s="170"/>
      <c r="P3" s="170"/>
      <c r="Q3" s="170"/>
    </row>
    <row r="4" spans="1:17" x14ac:dyDescent="0.2">
      <c r="A4" s="169"/>
      <c r="L4" s="170"/>
      <c r="M4" s="170"/>
      <c r="N4" s="170"/>
      <c r="O4" s="170"/>
      <c r="P4" s="170"/>
      <c r="Q4" s="170"/>
    </row>
    <row r="5" spans="1:17" x14ac:dyDescent="0.2">
      <c r="A5" s="173"/>
      <c r="D5" s="171"/>
      <c r="E5" s="284"/>
      <c r="F5" s="284"/>
      <c r="G5" s="794"/>
      <c r="H5" s="284"/>
      <c r="I5" s="284"/>
      <c r="L5" s="170"/>
      <c r="M5" s="170"/>
      <c r="N5" s="170"/>
      <c r="O5" s="170"/>
      <c r="P5" s="170"/>
      <c r="Q5" s="170"/>
    </row>
    <row r="6" spans="1:17" s="284" customFormat="1" x14ac:dyDescent="0.2">
      <c r="A6" s="242"/>
      <c r="B6" s="243">
        <v>2014</v>
      </c>
      <c r="C6" s="243">
        <v>2015</v>
      </c>
      <c r="D6" s="243">
        <v>2016</v>
      </c>
      <c r="E6" s="243">
        <v>2017</v>
      </c>
      <c r="F6" s="243">
        <v>2018</v>
      </c>
      <c r="I6" s="285"/>
      <c r="J6" s="285"/>
      <c r="K6" s="285"/>
      <c r="L6" s="285"/>
      <c r="M6" s="285"/>
      <c r="N6" s="285"/>
    </row>
    <row r="7" spans="1:17" s="284" customFormat="1" x14ac:dyDescent="0.2">
      <c r="A7" s="247" t="s">
        <v>44</v>
      </c>
      <c r="B7" s="248" t="s">
        <v>148</v>
      </c>
      <c r="C7" s="248" t="s">
        <v>1</v>
      </c>
      <c r="D7" s="248" t="s">
        <v>1</v>
      </c>
      <c r="E7" s="248" t="s">
        <v>1</v>
      </c>
      <c r="F7" s="248" t="s">
        <v>1</v>
      </c>
      <c r="I7" s="3056"/>
      <c r="J7" s="3056"/>
      <c r="K7" s="3056"/>
      <c r="L7" s="3056"/>
      <c r="M7" s="3056"/>
      <c r="N7" s="285"/>
    </row>
    <row r="8" spans="1:17" s="284" customFormat="1" x14ac:dyDescent="0.2">
      <c r="A8" s="244"/>
      <c r="C8" s="245"/>
      <c r="D8" s="575"/>
      <c r="E8" s="575"/>
      <c r="F8" s="575"/>
      <c r="I8" s="180"/>
      <c r="J8" s="187"/>
      <c r="K8" s="187"/>
      <c r="L8" s="187"/>
      <c r="M8" s="187"/>
      <c r="N8" s="285"/>
    </row>
    <row r="9" spans="1:17" s="284" customFormat="1" x14ac:dyDescent="0.2">
      <c r="A9" s="285" t="s">
        <v>53</v>
      </c>
      <c r="B9" s="252">
        <v>11560</v>
      </c>
      <c r="C9" s="252">
        <v>32495</v>
      </c>
      <c r="D9" s="252">
        <f>'SCG Table C 2016'!$C$16</f>
        <v>0</v>
      </c>
      <c r="E9" s="252">
        <f>'SCG Table C 2017'!$C$16</f>
        <v>0</v>
      </c>
      <c r="F9" s="252">
        <f>'SCG Table C 2019'!$C$16</f>
        <v>17848</v>
      </c>
      <c r="I9" s="180"/>
      <c r="J9" s="129"/>
      <c r="K9" s="129"/>
      <c r="L9" s="129"/>
      <c r="M9" s="129"/>
      <c r="N9" s="285"/>
    </row>
    <row r="10" spans="1:17" s="284" customFormat="1" x14ac:dyDescent="0.2">
      <c r="A10" s="285" t="s">
        <v>45</v>
      </c>
      <c r="B10" s="252">
        <v>101963</v>
      </c>
      <c r="C10" s="252">
        <v>341974</v>
      </c>
      <c r="D10" s="252">
        <f>'SCG Table C 2016'!$E$16</f>
        <v>106598</v>
      </c>
      <c r="E10" s="252">
        <f>'SCG Table C 2017'!$E$16</f>
        <v>0</v>
      </c>
      <c r="F10" s="252">
        <f>'SCG Table C 2019'!$E$16</f>
        <v>161827.93</v>
      </c>
      <c r="I10" s="180"/>
      <c r="J10" s="190"/>
      <c r="K10" s="190"/>
      <c r="L10" s="190"/>
      <c r="M10" s="190"/>
      <c r="N10" s="285"/>
    </row>
    <row r="11" spans="1:17" s="284" customFormat="1" x14ac:dyDescent="0.2">
      <c r="A11" s="285" t="s">
        <v>202</v>
      </c>
      <c r="B11" s="252">
        <v>0</v>
      </c>
      <c r="C11" s="252">
        <v>217425</v>
      </c>
      <c r="D11" s="252">
        <f>'SCG Table C 2016'!$D$16</f>
        <v>0</v>
      </c>
      <c r="E11" s="252">
        <f>'SCG Table C 2017'!$D$16</f>
        <v>0</v>
      </c>
      <c r="F11" s="252">
        <f>'SCG Table C 2019'!$D$16</f>
        <v>0</v>
      </c>
      <c r="I11" s="180"/>
      <c r="J11" s="190"/>
      <c r="K11" s="190"/>
      <c r="L11" s="190"/>
      <c r="M11" s="190"/>
      <c r="N11" s="285"/>
    </row>
    <row r="12" spans="1:17" s="284" customFormat="1" ht="14.25" x14ac:dyDescent="0.2">
      <c r="A12" s="285" t="s">
        <v>2</v>
      </c>
      <c r="B12" s="252">
        <v>0</v>
      </c>
      <c r="C12" s="252">
        <v>0</v>
      </c>
      <c r="D12" s="257">
        <f>'SCG Table C 2016'!$F$16</f>
        <v>0</v>
      </c>
      <c r="E12" s="257">
        <f>'SCG Table C 2017'!$F$16</f>
        <v>0</v>
      </c>
      <c r="F12" s="257">
        <f>'SCG Table C 2019'!$F$16</f>
        <v>0</v>
      </c>
      <c r="G12" s="947" t="s">
        <v>326</v>
      </c>
      <c r="I12" s="180"/>
      <c r="J12" s="190"/>
      <c r="K12" s="190"/>
      <c r="L12" s="190"/>
      <c r="M12" s="190"/>
      <c r="N12" s="285"/>
    </row>
    <row r="13" spans="1:17" s="284" customFormat="1" ht="14.25" x14ac:dyDescent="0.2">
      <c r="A13" s="285" t="s">
        <v>14</v>
      </c>
      <c r="B13" s="252">
        <v>0</v>
      </c>
      <c r="C13" s="252">
        <v>24375</v>
      </c>
      <c r="D13" s="252">
        <f>'SCG Table C 2016'!$G$16</f>
        <v>0</v>
      </c>
      <c r="E13" s="252">
        <f>'SCG Table C 2017'!$G$16</f>
        <v>0</v>
      </c>
      <c r="F13" s="252">
        <f>'SCG Table C 2019'!$G$16</f>
        <v>0</v>
      </c>
      <c r="G13" s="947" t="s">
        <v>327</v>
      </c>
      <c r="I13" s="180"/>
      <c r="J13" s="190"/>
      <c r="K13" s="190"/>
      <c r="L13" s="190"/>
      <c r="M13" s="190"/>
      <c r="N13" s="285"/>
    </row>
    <row r="14" spans="1:17" s="284" customFormat="1" ht="15" x14ac:dyDescent="0.35">
      <c r="A14" s="285" t="s">
        <v>46</v>
      </c>
      <c r="B14" s="256">
        <v>0</v>
      </c>
      <c r="C14" s="256">
        <v>4387</v>
      </c>
      <c r="D14" s="256">
        <f>'SCG Table C 2016'!$H$16</f>
        <v>0</v>
      </c>
      <c r="E14" s="256">
        <f>'SCG Table C 2017'!$H$16</f>
        <v>0</v>
      </c>
      <c r="F14" s="256">
        <f>'SCG Table C 2019'!$H$16</f>
        <v>0</v>
      </c>
      <c r="G14" s="294"/>
      <c r="H14" s="294"/>
      <c r="I14" s="180"/>
      <c r="J14" s="191"/>
      <c r="K14" s="191"/>
      <c r="L14" s="191"/>
      <c r="M14" s="191"/>
      <c r="N14" s="285"/>
    </row>
    <row r="15" spans="1:17" s="284" customFormat="1" x14ac:dyDescent="0.2">
      <c r="A15" s="285" t="s">
        <v>87</v>
      </c>
      <c r="B15" s="513">
        <f>SUM(B9:B14)</f>
        <v>113523</v>
      </c>
      <c r="C15" s="252">
        <f>SUM(C9:C14)</f>
        <v>620656</v>
      </c>
      <c r="D15" s="504">
        <f>SUM(D9:D14)</f>
        <v>106598</v>
      </c>
      <c r="E15" s="504">
        <f>SUM(E9:E14)</f>
        <v>0</v>
      </c>
      <c r="F15" s="504">
        <f>SUM(F9:F14)</f>
        <v>179675.93</v>
      </c>
      <c r="G15" s="296" t="s">
        <v>201</v>
      </c>
      <c r="I15" s="186"/>
      <c r="J15" s="192"/>
      <c r="K15" s="192"/>
      <c r="L15" s="192"/>
      <c r="M15" s="192"/>
      <c r="N15" s="285"/>
    </row>
    <row r="16" spans="1:17" s="284" customFormat="1" x14ac:dyDescent="0.2">
      <c r="A16" s="285"/>
      <c r="C16" s="255"/>
      <c r="I16" s="297"/>
      <c r="J16" s="193"/>
      <c r="K16" s="297"/>
      <c r="L16" s="297"/>
      <c r="M16" s="297"/>
      <c r="N16" s="285"/>
    </row>
    <row r="17" spans="1:16" s="284" customFormat="1" ht="15" x14ac:dyDescent="0.35">
      <c r="A17" s="298"/>
      <c r="B17" s="294"/>
      <c r="C17" s="245"/>
      <c r="D17" s="294"/>
      <c r="E17" s="294"/>
      <c r="F17" s="294"/>
      <c r="G17" s="299"/>
      <c r="H17" s="294"/>
      <c r="I17" s="180"/>
      <c r="J17" s="185"/>
      <c r="K17" s="184"/>
      <c r="L17" s="184"/>
      <c r="M17" s="184"/>
      <c r="N17" s="285"/>
    </row>
    <row r="18" spans="1:16" s="284" customFormat="1" x14ac:dyDescent="0.2">
      <c r="A18" s="247" t="s">
        <v>83</v>
      </c>
      <c r="B18" s="272"/>
      <c r="C18" s="264" t="s">
        <v>334</v>
      </c>
      <c r="D18" s="264" t="s">
        <v>564</v>
      </c>
      <c r="E18" s="264" t="s">
        <v>565</v>
      </c>
      <c r="F18" s="264" t="s">
        <v>566</v>
      </c>
      <c r="G18" s="296"/>
      <c r="I18" s="180"/>
      <c r="J18" s="185"/>
      <c r="K18" s="182"/>
      <c r="L18" s="182"/>
      <c r="M18" s="182"/>
      <c r="N18" s="285"/>
      <c r="O18" s="285"/>
      <c r="P18" s="285"/>
    </row>
    <row r="19" spans="1:16" s="284" customFormat="1" x14ac:dyDescent="0.2">
      <c r="B19" s="285"/>
      <c r="C19" s="245"/>
      <c r="D19" s="180"/>
      <c r="E19" s="180"/>
      <c r="F19" s="180"/>
      <c r="G19" s="296"/>
      <c r="I19" s="180"/>
      <c r="J19" s="185"/>
      <c r="K19" s="185"/>
      <c r="L19" s="185"/>
      <c r="M19" s="185"/>
      <c r="N19" s="180"/>
      <c r="O19" s="285"/>
      <c r="P19" s="285"/>
    </row>
    <row r="20" spans="1:16" s="284" customFormat="1" x14ac:dyDescent="0.2">
      <c r="A20" s="284" t="s">
        <v>49</v>
      </c>
      <c r="B20" s="2237"/>
      <c r="C20" s="531">
        <v>145424</v>
      </c>
      <c r="D20" s="506">
        <f>'2016 Summary Table B'!$M$19</f>
        <v>42500</v>
      </c>
      <c r="E20" s="506">
        <f>'2017 Summary Table B'!$M$19</f>
        <v>0</v>
      </c>
      <c r="F20" s="506" t="e">
        <f>'2019 Summary Table B'!$M$19</f>
        <v>#REF!</v>
      </c>
      <c r="G20" s="296" t="s">
        <v>64</v>
      </c>
      <c r="I20" s="180"/>
      <c r="J20" s="185"/>
      <c r="K20" s="183"/>
      <c r="L20" s="185"/>
      <c r="M20" s="183"/>
      <c r="N20" s="187"/>
      <c r="O20" s="285"/>
      <c r="P20" s="285"/>
    </row>
    <row r="21" spans="1:16" s="284" customFormat="1" x14ac:dyDescent="0.2">
      <c r="A21" s="284" t="s">
        <v>50</v>
      </c>
      <c r="B21" s="2237"/>
      <c r="C21" s="531">
        <v>1454241</v>
      </c>
      <c r="D21" s="506">
        <f>'2016 Summary Table B'!$N$19</f>
        <v>157250</v>
      </c>
      <c r="E21" s="506">
        <f>'2017 Summary Table B'!$N$19</f>
        <v>0</v>
      </c>
      <c r="F21" s="506" t="e">
        <f>'2019 Summary Table B'!$N$19</f>
        <v>#REF!</v>
      </c>
      <c r="G21" s="296" t="s">
        <v>10</v>
      </c>
      <c r="I21" s="180"/>
      <c r="J21" s="185"/>
      <c r="K21" s="183"/>
      <c r="L21" s="183"/>
      <c r="M21" s="183"/>
      <c r="N21" s="182"/>
      <c r="O21" s="285"/>
      <c r="P21" s="285"/>
    </row>
    <row r="22" spans="1:16" s="284" customFormat="1" x14ac:dyDescent="0.2">
      <c r="B22" s="2238"/>
      <c r="C22" s="527"/>
      <c r="D22" s="180"/>
      <c r="E22" s="180"/>
      <c r="F22" s="180"/>
      <c r="G22" s="296"/>
      <c r="I22" s="180"/>
      <c r="J22" s="185"/>
      <c r="K22" s="182"/>
      <c r="L22" s="182"/>
      <c r="M22" s="182"/>
      <c r="N22" s="183"/>
      <c r="O22" s="285"/>
      <c r="P22" s="285"/>
    </row>
    <row r="23" spans="1:16" s="284" customFormat="1" x14ac:dyDescent="0.2">
      <c r="A23" s="284" t="s">
        <v>51</v>
      </c>
      <c r="B23" s="2239"/>
      <c r="C23" s="528">
        <f>SUM(C15/C20)</f>
        <v>4.2679062603146658</v>
      </c>
      <c r="D23" s="269">
        <f>SUM(D15/D20)</f>
        <v>2.5081882352941176</v>
      </c>
      <c r="E23" s="269" t="e">
        <f>SUM(E15/E20)</f>
        <v>#DIV/0!</v>
      </c>
      <c r="F23" s="269" t="e">
        <f>SUM(F15/F20)</f>
        <v>#REF!</v>
      </c>
      <c r="G23" s="296" t="s">
        <v>65</v>
      </c>
      <c r="I23" s="180"/>
      <c r="J23" s="185"/>
      <c r="K23" s="182"/>
      <c r="L23" s="182"/>
      <c r="M23" s="182"/>
      <c r="N23" s="183"/>
      <c r="O23" s="285"/>
      <c r="P23" s="285"/>
    </row>
    <row r="24" spans="1:16" s="284" customFormat="1" x14ac:dyDescent="0.2">
      <c r="A24" s="284" t="s">
        <v>52</v>
      </c>
      <c r="B24" s="2239"/>
      <c r="C24" s="528">
        <f>SUM(C15/C21)</f>
        <v>0.42679033255148219</v>
      </c>
      <c r="D24" s="269">
        <f>SUM(D15/D21)</f>
        <v>0.67788871224165337</v>
      </c>
      <c r="E24" s="269" t="e">
        <f>SUM(E15/E21)</f>
        <v>#DIV/0!</v>
      </c>
      <c r="F24" s="269" t="e">
        <f>SUM(F15/F21)</f>
        <v>#REF!</v>
      </c>
      <c r="G24" s="296" t="s">
        <v>66</v>
      </c>
      <c r="I24" s="285"/>
      <c r="J24" s="180"/>
      <c r="K24" s="185"/>
      <c r="L24" s="184"/>
      <c r="M24" s="184"/>
      <c r="N24" s="184"/>
      <c r="O24" s="285"/>
      <c r="P24" s="285"/>
    </row>
    <row r="25" spans="1:16" s="284" customFormat="1" x14ac:dyDescent="0.2">
      <c r="B25" s="2238"/>
      <c r="C25" s="249"/>
      <c r="D25" s="245"/>
      <c r="E25" s="245"/>
      <c r="F25" s="245"/>
      <c r="G25" s="296"/>
      <c r="J25" s="180"/>
      <c r="K25" s="185"/>
      <c r="L25" s="182"/>
      <c r="M25" s="182"/>
      <c r="N25" s="182"/>
      <c r="O25" s="285"/>
      <c r="P25" s="285"/>
    </row>
    <row r="26" spans="1:16" s="284" customFormat="1" x14ac:dyDescent="0.2">
      <c r="A26" s="284" t="s">
        <v>84</v>
      </c>
      <c r="B26" s="2240"/>
      <c r="C26" s="257">
        <v>1889169</v>
      </c>
      <c r="D26" s="257">
        <f>'2016 Summary Table B'!$F$19</f>
        <v>101239.28383890328</v>
      </c>
      <c r="E26" s="257">
        <f>'2017 Summary Table B'!$F$19</f>
        <v>0</v>
      </c>
      <c r="F26" s="257" t="e">
        <f>'2019 Summary Table B'!$F$19</f>
        <v>#REF!</v>
      </c>
      <c r="G26" s="296" t="s">
        <v>67</v>
      </c>
      <c r="J26" s="180"/>
      <c r="K26" s="185"/>
      <c r="L26" s="185"/>
      <c r="M26" s="185"/>
      <c r="N26" s="185"/>
      <c r="O26" s="285"/>
      <c r="P26" s="285"/>
    </row>
    <row r="27" spans="1:16" s="284" customFormat="1" x14ac:dyDescent="0.2">
      <c r="A27" s="284" t="s">
        <v>85</v>
      </c>
      <c r="B27" s="2241"/>
      <c r="C27" s="529">
        <f>SUM(C26/C15)</f>
        <v>3.0438262096878144</v>
      </c>
      <c r="D27" s="271">
        <f>SUM(D26/D15)</f>
        <v>0.94972967446765688</v>
      </c>
      <c r="E27" s="271" t="e">
        <f>SUM(E26/E15)</f>
        <v>#DIV/0!</v>
      </c>
      <c r="F27" s="271" t="e">
        <f>SUM(F26/F15)</f>
        <v>#REF!</v>
      </c>
      <c r="G27" s="296" t="s">
        <v>68</v>
      </c>
      <c r="J27" s="180"/>
      <c r="K27" s="185"/>
      <c r="L27" s="183"/>
      <c r="M27" s="185"/>
      <c r="N27" s="183"/>
      <c r="O27" s="285"/>
      <c r="P27" s="285"/>
    </row>
    <row r="28" spans="1:16" s="284" customFormat="1" x14ac:dyDescent="0.2">
      <c r="A28" s="284" t="s">
        <v>63</v>
      </c>
      <c r="B28" s="2242"/>
      <c r="C28" s="534">
        <v>2500</v>
      </c>
      <c r="D28" s="506">
        <f>'2016 Summary Table B'!$K$19</f>
        <v>12500</v>
      </c>
      <c r="E28" s="506">
        <f>'2017 Summary Table B'!$K$19</f>
        <v>0</v>
      </c>
      <c r="F28" s="506" t="e">
        <f>'2019 Summary Table B'!$K$19</f>
        <v>#REF!</v>
      </c>
      <c r="G28" s="296" t="s">
        <v>69</v>
      </c>
      <c r="J28" s="180"/>
      <c r="K28" s="185"/>
      <c r="L28" s="183"/>
      <c r="M28" s="183"/>
      <c r="N28" s="183"/>
      <c r="O28" s="285"/>
      <c r="P28" s="285"/>
    </row>
    <row r="29" spans="1:16" s="284" customFormat="1" x14ac:dyDescent="0.2">
      <c r="A29" s="284" t="s">
        <v>74</v>
      </c>
      <c r="B29" s="2243"/>
      <c r="C29" s="282">
        <f>SUM(C21/C28)</f>
        <v>581.69640000000004</v>
      </c>
      <c r="D29" s="266">
        <f>SUM(D21/D28)</f>
        <v>12.58</v>
      </c>
      <c r="E29" s="266" t="e">
        <f>SUM(E21/E28)</f>
        <v>#DIV/0!</v>
      </c>
      <c r="F29" s="266" t="e">
        <f>SUM(F21/F28)</f>
        <v>#REF!</v>
      </c>
      <c r="G29" s="296" t="s">
        <v>70</v>
      </c>
      <c r="J29" s="180"/>
      <c r="K29" s="185"/>
      <c r="L29" s="182"/>
      <c r="M29" s="182"/>
      <c r="N29" s="182"/>
      <c r="O29" s="285"/>
      <c r="P29" s="285"/>
    </row>
    <row r="30" spans="1:16" s="284" customFormat="1" x14ac:dyDescent="0.2">
      <c r="A30" s="284" t="s">
        <v>71</v>
      </c>
      <c r="B30" s="2244"/>
      <c r="C30" s="530">
        <f>SUM(C15/C28)</f>
        <v>248.26240000000001</v>
      </c>
      <c r="D30" s="257">
        <f>SUM(D15/D28)</f>
        <v>8.5278399999999994</v>
      </c>
      <c r="E30" s="257" t="e">
        <f>SUM(E15/E28)</f>
        <v>#DIV/0!</v>
      </c>
      <c r="F30" s="257" t="e">
        <f>SUM(F15/F28)</f>
        <v>#REF!</v>
      </c>
      <c r="G30" s="296" t="s">
        <v>72</v>
      </c>
      <c r="J30" s="180"/>
      <c r="K30" s="185"/>
      <c r="L30" s="182"/>
      <c r="M30" s="182"/>
      <c r="N30" s="182"/>
      <c r="O30" s="285"/>
      <c r="P30" s="285"/>
    </row>
    <row r="31" spans="1:16" s="284" customFormat="1" x14ac:dyDescent="0.2">
      <c r="A31" s="284" t="s">
        <v>62</v>
      </c>
      <c r="B31" s="2244"/>
      <c r="C31" s="530">
        <f>SUM(C26/C28)</f>
        <v>755.66759999999999</v>
      </c>
      <c r="D31" s="257">
        <f>SUM(D26/D28)</f>
        <v>8.0991427071122626</v>
      </c>
      <c r="E31" s="257" t="e">
        <f>SUM(E26/E28)</f>
        <v>#DIV/0!</v>
      </c>
      <c r="F31" s="257" t="e">
        <f>SUM(F26/F28)</f>
        <v>#REF!</v>
      </c>
      <c r="G31" s="296" t="s">
        <v>73</v>
      </c>
      <c r="J31" s="285"/>
      <c r="K31" s="285"/>
      <c r="L31" s="285"/>
      <c r="M31" s="285"/>
      <c r="N31" s="285"/>
      <c r="O31" s="285"/>
      <c r="P31" s="285"/>
    </row>
    <row r="32" spans="1:16" s="284" customFormat="1" ht="14.25" x14ac:dyDescent="0.2">
      <c r="A32" s="704" t="s">
        <v>324</v>
      </c>
      <c r="B32" s="2245"/>
      <c r="C32" s="945">
        <f>C12/C21</f>
        <v>0</v>
      </c>
      <c r="D32" s="945">
        <f>D12/D21</f>
        <v>0</v>
      </c>
      <c r="E32" s="945" t="e">
        <f>E12/E21</f>
        <v>#DIV/0!</v>
      </c>
      <c r="F32" s="945" t="e">
        <f>F12/F21</f>
        <v>#REF!</v>
      </c>
      <c r="G32" s="557" t="s">
        <v>328</v>
      </c>
      <c r="J32" s="285"/>
      <c r="K32" s="285"/>
      <c r="L32" s="285"/>
      <c r="M32" s="285"/>
      <c r="N32" s="285"/>
      <c r="O32" s="285"/>
      <c r="P32" s="285"/>
    </row>
    <row r="33" spans="1:17" s="284" customFormat="1" ht="14.25" x14ac:dyDescent="0.2">
      <c r="A33" s="704" t="s">
        <v>325</v>
      </c>
      <c r="B33" s="2246"/>
      <c r="C33" s="946">
        <f>C13/C21</f>
        <v>1.6761320853971248E-2</v>
      </c>
      <c r="D33" s="946">
        <f>D13/D21</f>
        <v>0</v>
      </c>
      <c r="E33" s="946" t="e">
        <f>E13/E21</f>
        <v>#DIV/0!</v>
      </c>
      <c r="F33" s="946" t="e">
        <f>F13/F21</f>
        <v>#REF!</v>
      </c>
      <c r="G33" s="557" t="s">
        <v>329</v>
      </c>
      <c r="J33" s="285"/>
      <c r="K33" s="285"/>
      <c r="L33" s="285"/>
      <c r="M33" s="285"/>
      <c r="N33" s="285"/>
      <c r="O33" s="285"/>
      <c r="P33" s="285"/>
    </row>
    <row r="34" spans="1:17" s="284" customFormat="1" x14ac:dyDescent="0.2">
      <c r="A34" s="247"/>
      <c r="B34" s="296"/>
      <c r="C34" s="245"/>
      <c r="D34" s="296"/>
      <c r="E34" s="296"/>
      <c r="F34" s="296"/>
      <c r="H34" s="296"/>
      <c r="I34" s="180"/>
      <c r="J34" s="185"/>
      <c r="K34" s="182"/>
      <c r="L34" s="182"/>
      <c r="M34" s="182"/>
      <c r="N34" s="285"/>
    </row>
    <row r="35" spans="1:17" s="284" customFormat="1" x14ac:dyDescent="0.2">
      <c r="A35" s="248"/>
      <c r="B35" s="304"/>
      <c r="C35" s="285"/>
      <c r="G35" s="276"/>
      <c r="K35" s="296"/>
      <c r="L35" s="180"/>
      <c r="M35" s="185"/>
      <c r="N35" s="182"/>
      <c r="O35" s="182"/>
      <c r="P35" s="182"/>
      <c r="Q35" s="285"/>
    </row>
    <row r="36" spans="1:17" s="284" customFormat="1" x14ac:dyDescent="0.2">
      <c r="A36" s="273"/>
      <c r="B36" s="250"/>
      <c r="C36" s="250"/>
      <c r="D36" s="250"/>
      <c r="G36" s="273"/>
      <c r="H36" s="250"/>
      <c r="I36" s="250"/>
      <c r="J36" s="250"/>
      <c r="K36" s="296"/>
    </row>
    <row r="37" spans="1:17" s="284" customFormat="1" x14ac:dyDescent="0.2">
      <c r="A37" s="273"/>
      <c r="B37" s="274"/>
      <c r="C37" s="274"/>
      <c r="D37" s="275"/>
      <c r="G37" s="273"/>
      <c r="H37" s="562"/>
      <c r="I37" s="278"/>
      <c r="J37" s="275"/>
      <c r="K37" s="296"/>
    </row>
    <row r="38" spans="1:17" s="284" customFormat="1" x14ac:dyDescent="0.2">
      <c r="A38" s="273"/>
      <c r="B38" s="274"/>
      <c r="C38" s="274"/>
      <c r="D38" s="275"/>
      <c r="G38" s="273"/>
      <c r="H38" s="562"/>
      <c r="I38" s="278"/>
      <c r="J38" s="275"/>
      <c r="K38" s="296"/>
    </row>
    <row r="39" spans="1:17" s="284" customFormat="1" x14ac:dyDescent="0.2">
      <c r="A39" s="273"/>
      <c r="B39" s="513"/>
      <c r="G39" s="273"/>
      <c r="H39" s="562"/>
      <c r="I39" s="168"/>
      <c r="J39" s="168"/>
      <c r="K39" s="296"/>
    </row>
    <row r="40" spans="1:17" s="284" customFormat="1" x14ac:dyDescent="0.2">
      <c r="A40" s="273"/>
      <c r="B40" s="513"/>
      <c r="G40" s="273"/>
      <c r="H40" s="562"/>
      <c r="I40" s="168"/>
      <c r="J40" s="168"/>
      <c r="K40" s="296"/>
    </row>
    <row r="41" spans="1:17" s="284" customFormat="1" x14ac:dyDescent="0.2">
      <c r="A41" s="273"/>
      <c r="B41" s="513"/>
      <c r="G41" s="273"/>
      <c r="H41" s="562"/>
      <c r="I41" s="168"/>
      <c r="J41" s="168"/>
      <c r="K41" s="296"/>
    </row>
    <row r="42" spans="1:17" s="284" customFormat="1" x14ac:dyDescent="0.2">
      <c r="A42" s="273"/>
      <c r="G42" s="273"/>
      <c r="H42" s="168"/>
      <c r="I42" s="168"/>
      <c r="J42" s="168"/>
      <c r="K42" s="296"/>
    </row>
    <row r="43" spans="1:17" s="284" customFormat="1" x14ac:dyDescent="0.2">
      <c r="A43" s="276"/>
      <c r="G43" s="276"/>
      <c r="H43" s="168"/>
      <c r="I43" s="168"/>
      <c r="J43" s="168"/>
      <c r="K43" s="296"/>
    </row>
    <row r="44" spans="1:17" s="284" customFormat="1" x14ac:dyDescent="0.2">
      <c r="A44" s="273"/>
      <c r="B44" s="250"/>
      <c r="C44" s="250"/>
      <c r="D44" s="250"/>
      <c r="G44" s="273"/>
      <c r="H44" s="250"/>
      <c r="I44" s="250"/>
      <c r="J44" s="250"/>
      <c r="K44" s="296"/>
    </row>
    <row r="45" spans="1:17" s="284" customFormat="1" x14ac:dyDescent="0.2">
      <c r="A45" s="273"/>
      <c r="B45" s="278"/>
      <c r="C45" s="278"/>
      <c r="D45" s="275"/>
      <c r="G45" s="273"/>
      <c r="H45" s="562"/>
      <c r="I45" s="278"/>
      <c r="J45" s="275"/>
      <c r="K45" s="296"/>
    </row>
    <row r="46" spans="1:17" s="284" customFormat="1" x14ac:dyDescent="0.2">
      <c r="A46" s="273"/>
      <c r="B46" s="278"/>
      <c r="G46" s="273"/>
      <c r="H46" s="562"/>
      <c r="I46" s="245"/>
      <c r="J46" s="296"/>
      <c r="K46" s="296"/>
    </row>
    <row r="47" spans="1:17" s="284" customFormat="1" x14ac:dyDescent="0.2">
      <c r="A47" s="273"/>
      <c r="B47" s="278"/>
      <c r="G47" s="273"/>
      <c r="H47" s="562"/>
      <c r="I47" s="245"/>
      <c r="J47" s="296"/>
      <c r="K47" s="296"/>
    </row>
    <row r="48" spans="1:17" s="284" customFormat="1" x14ac:dyDescent="0.2">
      <c r="A48" s="273"/>
      <c r="B48" s="278"/>
      <c r="G48" s="273"/>
      <c r="H48" s="562"/>
      <c r="I48" s="245"/>
      <c r="J48" s="296"/>
      <c r="K48" s="296"/>
    </row>
    <row r="49" spans="2:11" s="284" customFormat="1" x14ac:dyDescent="0.2">
      <c r="D49" s="245"/>
      <c r="E49" s="296"/>
      <c r="F49" s="296"/>
      <c r="G49" s="245"/>
      <c r="H49" s="296"/>
      <c r="I49" s="296"/>
      <c r="K49" s="296"/>
    </row>
    <row r="50" spans="2:11" s="284" customFormat="1" x14ac:dyDescent="0.2">
      <c r="D50" s="245"/>
      <c r="E50" s="296"/>
      <c r="F50" s="296"/>
      <c r="G50" s="245"/>
      <c r="H50" s="296"/>
      <c r="I50" s="296"/>
      <c r="K50" s="296"/>
    </row>
    <row r="51" spans="2:11" s="284" customFormat="1" x14ac:dyDescent="0.2">
      <c r="D51" s="245"/>
      <c r="E51" s="296"/>
      <c r="F51" s="296"/>
      <c r="G51" s="245"/>
      <c r="H51" s="296"/>
      <c r="I51" s="296"/>
      <c r="K51" s="296"/>
    </row>
    <row r="52" spans="2:11" s="284" customFormat="1" x14ac:dyDescent="0.2">
      <c r="D52" s="245"/>
      <c r="E52" s="296"/>
      <c r="F52" s="296"/>
      <c r="G52" s="245"/>
      <c r="H52" s="296"/>
      <c r="I52" s="296"/>
      <c r="K52" s="296"/>
    </row>
    <row r="53" spans="2:11" x14ac:dyDescent="0.2">
      <c r="B53" s="3"/>
      <c r="C53" s="3"/>
      <c r="D53" s="245"/>
      <c r="E53" s="296"/>
      <c r="F53" s="296"/>
      <c r="H53" s="296"/>
      <c r="I53" s="296"/>
      <c r="K53" s="181"/>
    </row>
    <row r="54" spans="2:11" x14ac:dyDescent="0.2">
      <c r="B54" s="3"/>
      <c r="C54" s="3"/>
      <c r="D54" s="245"/>
      <c r="E54" s="296"/>
      <c r="F54" s="296"/>
      <c r="H54" s="296"/>
      <c r="I54" s="296"/>
      <c r="K54" s="181"/>
    </row>
    <row r="55" spans="2:11" x14ac:dyDescent="0.2">
      <c r="B55" s="3"/>
      <c r="C55" s="3"/>
      <c r="D55" s="245"/>
      <c r="E55" s="296"/>
      <c r="F55" s="296"/>
      <c r="H55" s="296"/>
      <c r="I55" s="296"/>
      <c r="K55" s="181"/>
    </row>
    <row r="56" spans="2:11" x14ac:dyDescent="0.2">
      <c r="D56" s="245"/>
      <c r="E56" s="296"/>
      <c r="F56" s="296"/>
      <c r="H56" s="296"/>
      <c r="I56" s="296"/>
    </row>
    <row r="57" spans="2:11" x14ac:dyDescent="0.2">
      <c r="D57" s="245"/>
      <c r="E57" s="296"/>
      <c r="F57" s="296"/>
      <c r="H57" s="296"/>
      <c r="I57" s="296"/>
    </row>
    <row r="58" spans="2:11" x14ac:dyDescent="0.2">
      <c r="D58" s="245"/>
      <c r="E58" s="296"/>
      <c r="F58" s="296"/>
      <c r="H58" s="296"/>
      <c r="I58" s="296"/>
    </row>
    <row r="59" spans="2:11" x14ac:dyDescent="0.2">
      <c r="D59" s="245"/>
      <c r="E59" s="296"/>
      <c r="F59" s="296"/>
      <c r="H59" s="296"/>
      <c r="I59" s="296"/>
    </row>
    <row r="60" spans="2:11" x14ac:dyDescent="0.2">
      <c r="D60" s="245"/>
      <c r="E60" s="296"/>
      <c r="F60" s="296"/>
      <c r="H60" s="296"/>
      <c r="I60" s="296"/>
    </row>
    <row r="61" spans="2:11" x14ac:dyDescent="0.2">
      <c r="D61" s="245"/>
      <c r="E61" s="296"/>
      <c r="F61" s="296"/>
      <c r="H61" s="296"/>
      <c r="I61" s="296"/>
    </row>
    <row r="62" spans="2:11" x14ac:dyDescent="0.2">
      <c r="D62" s="245"/>
      <c r="E62" s="296"/>
      <c r="F62" s="296"/>
      <c r="H62" s="296"/>
      <c r="I62" s="296"/>
    </row>
    <row r="63" spans="2:11" x14ac:dyDescent="0.2">
      <c r="D63" s="245"/>
      <c r="E63" s="181"/>
      <c r="F63" s="181"/>
      <c r="H63" s="181"/>
      <c r="I63" s="181"/>
    </row>
    <row r="64" spans="2:11" x14ac:dyDescent="0.2">
      <c r="D64" s="245"/>
    </row>
    <row r="65" spans="4:4" x14ac:dyDescent="0.2">
      <c r="D65" s="245"/>
    </row>
    <row r="66" spans="4:4" x14ac:dyDescent="0.2">
      <c r="D66" s="245"/>
    </row>
    <row r="67" spans="4:4" x14ac:dyDescent="0.2">
      <c r="D67" s="245"/>
    </row>
    <row r="68" spans="4:4" x14ac:dyDescent="0.2">
      <c r="D68" s="245"/>
    </row>
    <row r="69" spans="4:4" x14ac:dyDescent="0.2">
      <c r="D69" s="245"/>
    </row>
    <row r="70" spans="4:4" x14ac:dyDescent="0.2">
      <c r="D70" s="245"/>
    </row>
    <row r="71" spans="4:4" x14ac:dyDescent="0.2">
      <c r="D71" s="245"/>
    </row>
    <row r="72" spans="4:4" x14ac:dyDescent="0.2">
      <c r="D72" s="245"/>
    </row>
    <row r="73" spans="4:4" x14ac:dyDescent="0.2">
      <c r="D73" s="245"/>
    </row>
    <row r="74" spans="4:4" x14ac:dyDescent="0.2">
      <c r="D74" s="245"/>
    </row>
    <row r="75" spans="4:4" x14ac:dyDescent="0.2">
      <c r="D75" s="245"/>
    </row>
    <row r="76" spans="4:4" x14ac:dyDescent="0.2">
      <c r="D76" s="245"/>
    </row>
    <row r="77" spans="4:4" x14ac:dyDescent="0.2">
      <c r="D77" s="245"/>
    </row>
    <row r="78" spans="4:4" x14ac:dyDescent="0.2">
      <c r="D78" s="245"/>
    </row>
    <row r="79" spans="4:4" x14ac:dyDescent="0.2">
      <c r="D79" s="245"/>
    </row>
    <row r="80" spans="4:4" x14ac:dyDescent="0.2">
      <c r="D80" s="245"/>
    </row>
    <row r="81" spans="4:4" x14ac:dyDescent="0.2">
      <c r="D81" s="245"/>
    </row>
    <row r="82" spans="4:4" x14ac:dyDescent="0.2">
      <c r="D82" s="245"/>
    </row>
    <row r="83" spans="4:4" x14ac:dyDescent="0.2">
      <c r="D83" s="245"/>
    </row>
    <row r="84" spans="4:4" x14ac:dyDescent="0.2">
      <c r="D84" s="245"/>
    </row>
    <row r="85" spans="4:4" x14ac:dyDescent="0.2">
      <c r="D85" s="245"/>
    </row>
    <row r="86" spans="4:4" x14ac:dyDescent="0.2">
      <c r="D86" s="245"/>
    </row>
    <row r="87" spans="4:4" x14ac:dyDescent="0.2">
      <c r="D87" s="245"/>
    </row>
    <row r="88" spans="4:4" x14ac:dyDescent="0.2">
      <c r="D88" s="245"/>
    </row>
    <row r="89" spans="4:4" x14ac:dyDescent="0.2">
      <c r="D89" s="245"/>
    </row>
    <row r="90" spans="4:4" x14ac:dyDescent="0.2">
      <c r="D90" s="245"/>
    </row>
    <row r="91" spans="4:4" x14ac:dyDescent="0.2">
      <c r="D91" s="245"/>
    </row>
    <row r="92" spans="4:4" x14ac:dyDescent="0.2">
      <c r="D92" s="245"/>
    </row>
    <row r="93" spans="4:4" x14ac:dyDescent="0.2">
      <c r="D93" s="245"/>
    </row>
    <row r="94" spans="4:4" x14ac:dyDescent="0.2">
      <c r="D94" s="245"/>
    </row>
    <row r="95" spans="4:4" x14ac:dyDescent="0.2">
      <c r="D95" s="245"/>
    </row>
    <row r="96" spans="4:4" x14ac:dyDescent="0.2">
      <c r="D96" s="245"/>
    </row>
    <row r="97" spans="4:4" x14ac:dyDescent="0.2">
      <c r="D97" s="245"/>
    </row>
    <row r="98" spans="4:4" x14ac:dyDescent="0.2">
      <c r="D98" s="245"/>
    </row>
    <row r="99" spans="4:4" x14ac:dyDescent="0.2">
      <c r="D99" s="245"/>
    </row>
    <row r="100" spans="4:4" x14ac:dyDescent="0.2">
      <c r="D100" s="245"/>
    </row>
    <row r="101" spans="4:4" x14ac:dyDescent="0.2">
      <c r="D101" s="245"/>
    </row>
    <row r="102" spans="4:4" x14ac:dyDescent="0.2">
      <c r="D102" s="168"/>
    </row>
    <row r="103" spans="4:4" x14ac:dyDescent="0.2">
      <c r="D103" s="168"/>
    </row>
  </sheetData>
  <mergeCells count="2">
    <mergeCell ref="A1:G1"/>
    <mergeCell ref="I7:M7"/>
  </mergeCells>
  <pageMargins left="0.98" right="0.75" top="1.1499999999999999" bottom="1" header="0.5" footer="0.5"/>
  <pageSetup fitToHeight="0" orientation="landscape" r:id="rId1"/>
  <headerFooter alignWithMargins="0">
    <oddFooter>&amp;C&amp;1#&amp;"Calibri"&amp;12&amp;K008000Internal Use</oddFooter>
  </headerFooter>
  <rowBreaks count="1" manualBreakCount="1">
    <brk id="34" max="11"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28">
    <tabColor indexed="47"/>
    <pageSetUpPr fitToPage="1"/>
  </sheetPr>
  <dimension ref="A1:O78"/>
  <sheetViews>
    <sheetView zoomScaleNormal="100" workbookViewId="0">
      <selection activeCell="W61" sqref="W61"/>
    </sheetView>
  </sheetViews>
  <sheetFormatPr defaultRowHeight="12.75" x14ac:dyDescent="0.2"/>
  <cols>
    <col min="1" max="1" width="39.42578125" style="168" bestFit="1" customWidth="1"/>
    <col min="2" max="9" width="13.42578125" style="168" customWidth="1"/>
    <col min="10" max="12" width="13.42578125" style="245" customWidth="1"/>
    <col min="13" max="14" width="11.28515625" style="168" customWidth="1"/>
    <col min="15" max="15" width="6.85546875" style="168" customWidth="1"/>
    <col min="16" max="16384" width="9.140625" style="168"/>
  </cols>
  <sheetData>
    <row r="1" spans="1:15" ht="15.75" x14ac:dyDescent="0.25">
      <c r="A1" s="3055" t="s">
        <v>76</v>
      </c>
      <c r="B1" s="3055"/>
      <c r="C1" s="3055"/>
      <c r="D1" s="3055"/>
      <c r="E1" s="3055"/>
      <c r="F1" s="3055"/>
      <c r="G1" s="3055"/>
      <c r="H1" s="3055"/>
      <c r="I1" s="3055"/>
      <c r="J1" s="3055"/>
      <c r="K1" s="3055"/>
      <c r="L1" s="3055"/>
      <c r="M1" s="3055"/>
      <c r="N1" s="1914"/>
      <c r="O1" s="1914"/>
    </row>
    <row r="2" spans="1:15" x14ac:dyDescent="0.2">
      <c r="A2" s="169"/>
    </row>
    <row r="3" spans="1:15" ht="15.75" x14ac:dyDescent="0.25">
      <c r="A3" s="172" t="s">
        <v>199</v>
      </c>
    </row>
    <row r="4" spans="1:15" x14ac:dyDescent="0.2">
      <c r="A4" s="169"/>
      <c r="O4" s="245"/>
    </row>
    <row r="5" spans="1:15" x14ac:dyDescent="0.2">
      <c r="A5" s="173"/>
      <c r="I5" s="284"/>
      <c r="J5" s="794"/>
      <c r="K5" s="794"/>
      <c r="L5" s="794"/>
      <c r="M5" s="284"/>
      <c r="N5" s="284"/>
      <c r="O5" s="245"/>
    </row>
    <row r="6" spans="1:15" s="284" customFormat="1" x14ac:dyDescent="0.2">
      <c r="A6" s="242"/>
      <c r="B6" s="243">
        <v>2008</v>
      </c>
      <c r="C6" s="243">
        <v>2009</v>
      </c>
      <c r="D6" s="243">
        <v>2010</v>
      </c>
      <c r="E6" s="243">
        <v>2011</v>
      </c>
      <c r="F6" s="243">
        <v>2012</v>
      </c>
      <c r="G6" s="243">
        <v>2013</v>
      </c>
      <c r="H6" s="243">
        <v>2014</v>
      </c>
      <c r="I6" s="243">
        <v>2015</v>
      </c>
      <c r="J6" s="243">
        <v>2016</v>
      </c>
      <c r="K6" s="243">
        <v>2017</v>
      </c>
      <c r="L6" s="243">
        <v>2018</v>
      </c>
      <c r="M6" s="245"/>
    </row>
    <row r="7" spans="1:15" s="284"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c r="M7" s="245"/>
    </row>
    <row r="8" spans="1:15" s="284" customFormat="1" x14ac:dyDescent="0.2">
      <c r="A8" s="244"/>
      <c r="H8" s="245"/>
      <c r="I8" s="575"/>
      <c r="J8" s="575"/>
      <c r="K8" s="575"/>
      <c r="L8" s="575"/>
      <c r="M8" s="245"/>
    </row>
    <row r="9" spans="1:15" s="284" customFormat="1" x14ac:dyDescent="0.2">
      <c r="A9" s="285" t="s">
        <v>53</v>
      </c>
      <c r="B9" s="287">
        <v>42149.1</v>
      </c>
      <c r="C9" s="254">
        <v>69173.09</v>
      </c>
      <c r="D9" s="254">
        <v>80731.56</v>
      </c>
      <c r="E9" s="254">
        <v>97768.880000000019</v>
      </c>
      <c r="F9" s="254">
        <v>134891</v>
      </c>
      <c r="G9" s="252">
        <v>148596.12</v>
      </c>
      <c r="H9" s="252">
        <v>234862.86</v>
      </c>
      <c r="I9" s="252">
        <v>335000</v>
      </c>
      <c r="J9" s="252">
        <f>'CNG Table C 2016'!$C$21</f>
        <v>335000</v>
      </c>
      <c r="K9" s="252">
        <f>'CNG Table C 2017'!$C$21</f>
        <v>180628</v>
      </c>
      <c r="L9" s="252">
        <f>'CNG Table C 2019'!$C$20</f>
        <v>118968</v>
      </c>
      <c r="M9" s="245"/>
    </row>
    <row r="10" spans="1:15" s="284" customFormat="1" x14ac:dyDescent="0.2">
      <c r="A10" s="285" t="s">
        <v>45</v>
      </c>
      <c r="B10" s="289">
        <v>33480</v>
      </c>
      <c r="C10" s="254">
        <v>15628.76</v>
      </c>
      <c r="D10" s="254">
        <v>18192.54</v>
      </c>
      <c r="E10" s="254">
        <v>10335.610000000002</v>
      </c>
      <c r="F10" s="254">
        <v>7076</v>
      </c>
      <c r="G10" s="252">
        <v>5645.75</v>
      </c>
      <c r="H10" s="252">
        <v>92647</v>
      </c>
      <c r="I10" s="252">
        <v>125000</v>
      </c>
      <c r="J10" s="252">
        <f>'CNG Table C 2016'!$E$21</f>
        <v>186889</v>
      </c>
      <c r="K10" s="252">
        <f>'CNG Table C 2017'!$E$21</f>
        <v>86400</v>
      </c>
      <c r="L10" s="252">
        <f>'CNG Table C 2019'!$E$20</f>
        <v>88470.37</v>
      </c>
      <c r="M10" s="245"/>
    </row>
    <row r="11" spans="1:15" s="284" customFormat="1" x14ac:dyDescent="0.2">
      <c r="A11" s="285" t="s">
        <v>202</v>
      </c>
      <c r="B11" s="290"/>
      <c r="C11" s="254"/>
      <c r="D11" s="254">
        <v>0</v>
      </c>
      <c r="E11" s="254">
        <v>0</v>
      </c>
      <c r="F11" s="254">
        <v>0</v>
      </c>
      <c r="G11" s="252">
        <v>0</v>
      </c>
      <c r="H11" s="252">
        <v>0</v>
      </c>
      <c r="I11" s="252">
        <v>10251</v>
      </c>
      <c r="J11" s="252">
        <f>'CNG Table C 2016'!$D$21</f>
        <v>11177</v>
      </c>
      <c r="K11" s="252">
        <f>'CNG Table C 2017'!$D$21</f>
        <v>10251</v>
      </c>
      <c r="L11" s="252">
        <f>'CNG Table C 2019'!$D$20</f>
        <v>10251</v>
      </c>
      <c r="M11" s="245"/>
    </row>
    <row r="12" spans="1:15" s="284" customFormat="1" ht="14.25" x14ac:dyDescent="0.2">
      <c r="A12" s="285" t="s">
        <v>2</v>
      </c>
      <c r="B12" s="289">
        <v>162180.87</v>
      </c>
      <c r="C12" s="254">
        <v>484854.17</v>
      </c>
      <c r="D12" s="254">
        <v>621551.88</v>
      </c>
      <c r="E12" s="254">
        <v>762855.91999999993</v>
      </c>
      <c r="F12" s="254">
        <v>1104881</v>
      </c>
      <c r="G12" s="252">
        <v>1016106.98</v>
      </c>
      <c r="H12" s="252">
        <v>1533049.4399999997</v>
      </c>
      <c r="I12" s="257">
        <v>1814710</v>
      </c>
      <c r="J12" s="257">
        <f>'CNG Table C 2016'!$F$21</f>
        <v>2269593</v>
      </c>
      <c r="K12" s="257">
        <f>'CNG Table C 2017'!$F$21</f>
        <v>1968821.1454644352</v>
      </c>
      <c r="L12" s="257">
        <f>'CNG Table C 2019'!$F$20</f>
        <v>1714964.0046612399</v>
      </c>
      <c r="M12" s="947" t="s">
        <v>326</v>
      </c>
    </row>
    <row r="13" spans="1:15" s="284" customFormat="1" ht="14.25" x14ac:dyDescent="0.2">
      <c r="A13" s="285" t="s">
        <v>14</v>
      </c>
      <c r="B13" s="289">
        <v>2951.85</v>
      </c>
      <c r="C13" s="254">
        <v>830.63</v>
      </c>
      <c r="D13" s="254">
        <v>4012.44</v>
      </c>
      <c r="E13" s="254">
        <v>1257.27</v>
      </c>
      <c r="F13" s="254">
        <v>727</v>
      </c>
      <c r="G13" s="252">
        <v>1901</v>
      </c>
      <c r="H13" s="252">
        <v>19373</v>
      </c>
      <c r="I13" s="252">
        <v>41004</v>
      </c>
      <c r="J13" s="252">
        <f>'CNG Table C 2016'!$G$21</f>
        <v>11177</v>
      </c>
      <c r="K13" s="252">
        <f>'CNG Table C 2017'!$G$21</f>
        <v>198173</v>
      </c>
      <c r="L13" s="252">
        <f>'CNG Table C 2019'!$G$20</f>
        <v>198173</v>
      </c>
      <c r="M13" s="947" t="s">
        <v>327</v>
      </c>
    </row>
    <row r="14" spans="1:15" s="284" customFormat="1" ht="15" x14ac:dyDescent="0.35">
      <c r="A14" s="285" t="s">
        <v>46</v>
      </c>
      <c r="B14" s="293">
        <v>1144.3800000000001</v>
      </c>
      <c r="C14" s="525">
        <v>1938.12</v>
      </c>
      <c r="D14" s="525">
        <v>2810.45</v>
      </c>
      <c r="E14" s="525">
        <v>1231.1199999999997</v>
      </c>
      <c r="F14" s="263">
        <v>14376</v>
      </c>
      <c r="G14" s="256">
        <v>4956.6400000000003</v>
      </c>
      <c r="H14" s="256">
        <v>5183.3599999999997</v>
      </c>
      <c r="I14" s="256">
        <v>20502</v>
      </c>
      <c r="J14" s="256">
        <f>'CNG Table C 2016'!$H$21</f>
        <v>11177</v>
      </c>
      <c r="K14" s="256">
        <f>'CNG Table C 2017'!$H$21</f>
        <v>20502</v>
      </c>
      <c r="L14" s="256">
        <f>'CNG Table C 2019'!$H$20</f>
        <v>20502</v>
      </c>
      <c r="M14" s="245"/>
    </row>
    <row r="15" spans="1:15" s="284" customFormat="1" x14ac:dyDescent="0.2">
      <c r="A15" s="285" t="s">
        <v>47</v>
      </c>
      <c r="B15" s="287">
        <f t="shared" ref="B15:J15" si="0">SUM(B9:B14)</f>
        <v>241906.2</v>
      </c>
      <c r="C15" s="287">
        <f t="shared" si="0"/>
        <v>572424.77</v>
      </c>
      <c r="D15" s="287">
        <f t="shared" si="0"/>
        <v>727298.86999999988</v>
      </c>
      <c r="E15" s="287">
        <f t="shared" si="0"/>
        <v>873448.79999999993</v>
      </c>
      <c r="F15" s="287">
        <f t="shared" si="0"/>
        <v>1261951</v>
      </c>
      <c r="G15" s="513">
        <f t="shared" si="0"/>
        <v>1177206.49</v>
      </c>
      <c r="H15" s="252">
        <f>SUM(H9:H14)</f>
        <v>1885115.66</v>
      </c>
      <c r="I15" s="504">
        <f t="shared" si="0"/>
        <v>2346467</v>
      </c>
      <c r="J15" s="504">
        <f t="shared" si="0"/>
        <v>2825013</v>
      </c>
      <c r="K15" s="504">
        <f>SUM(K9:K14)</f>
        <v>2464775.1454644352</v>
      </c>
      <c r="L15" s="504">
        <f>SUM(L9:L14)</f>
        <v>2151328.3746612398</v>
      </c>
      <c r="M15" s="246" t="s">
        <v>201</v>
      </c>
    </row>
    <row r="16" spans="1:15" s="284" customFormat="1" x14ac:dyDescent="0.2">
      <c r="A16" s="285"/>
      <c r="B16" s="260"/>
      <c r="H16" s="255"/>
      <c r="M16" s="245"/>
    </row>
    <row r="17" spans="1:15" s="284" customFormat="1" ht="15" x14ac:dyDescent="0.35">
      <c r="A17" s="298"/>
      <c r="B17" s="289"/>
      <c r="G17" s="294"/>
      <c r="H17" s="245"/>
      <c r="I17" s="294"/>
      <c r="J17" s="294"/>
      <c r="K17" s="294"/>
      <c r="L17" s="294"/>
      <c r="M17" s="263"/>
    </row>
    <row r="18" spans="1:15" s="284" customFormat="1" x14ac:dyDescent="0.2">
      <c r="A18" s="247" t="s">
        <v>83</v>
      </c>
      <c r="B18" s="264" t="s">
        <v>208</v>
      </c>
      <c r="C18" s="264" t="s">
        <v>220</v>
      </c>
      <c r="D18" s="264" t="s">
        <v>258</v>
      </c>
      <c r="E18" s="264" t="s">
        <v>314</v>
      </c>
      <c r="F18" s="264" t="s">
        <v>478</v>
      </c>
      <c r="G18" s="264" t="s">
        <v>562</v>
      </c>
      <c r="H18" s="264" t="s">
        <v>563</v>
      </c>
      <c r="I18" s="264" t="s">
        <v>334</v>
      </c>
      <c r="J18" s="264" t="s">
        <v>564</v>
      </c>
      <c r="K18" s="264" t="s">
        <v>565</v>
      </c>
      <c r="L18" s="264" t="s">
        <v>566</v>
      </c>
      <c r="M18" s="246"/>
      <c r="N18" s="285"/>
      <c r="O18" s="285"/>
    </row>
    <row r="19" spans="1:15" s="284" customFormat="1" x14ac:dyDescent="0.2">
      <c r="H19" s="245"/>
      <c r="I19" s="180"/>
      <c r="J19" s="180"/>
      <c r="K19" s="180"/>
      <c r="L19" s="180"/>
      <c r="M19" s="246"/>
      <c r="N19" s="285"/>
      <c r="O19" s="285"/>
    </row>
    <row r="20" spans="1:15" s="284" customFormat="1" x14ac:dyDescent="0.2">
      <c r="A20" s="284" t="s">
        <v>49</v>
      </c>
      <c r="B20" s="542">
        <v>24169</v>
      </c>
      <c r="C20" s="301">
        <v>88706</v>
      </c>
      <c r="D20" s="301">
        <v>106425</v>
      </c>
      <c r="E20" s="301">
        <v>153570</v>
      </c>
      <c r="F20" s="301">
        <v>308313</v>
      </c>
      <c r="G20" s="301">
        <v>399489</v>
      </c>
      <c r="H20" s="531">
        <v>274016</v>
      </c>
      <c r="I20" s="506">
        <v>392822</v>
      </c>
      <c r="J20" s="506">
        <f>'2016 Summary Table B'!$M$32</f>
        <v>466061.33248177893</v>
      </c>
      <c r="K20" s="506">
        <f>'2017 Summary Table B'!$M$32</f>
        <v>281433.75311723334</v>
      </c>
      <c r="L20" s="506" t="e">
        <f>'2019 Summary Table B'!$M$32</f>
        <v>#REF!</v>
      </c>
      <c r="M20" s="246" t="s">
        <v>64</v>
      </c>
      <c r="N20" s="285"/>
      <c r="O20" s="285"/>
    </row>
    <row r="21" spans="1:15" s="284" customFormat="1" x14ac:dyDescent="0.2">
      <c r="A21" s="284" t="s">
        <v>50</v>
      </c>
      <c r="B21" s="542">
        <v>361044</v>
      </c>
      <c r="C21" s="301">
        <v>1350926</v>
      </c>
      <c r="D21" s="301">
        <v>1578228</v>
      </c>
      <c r="E21" s="301">
        <v>2343463</v>
      </c>
      <c r="F21" s="301">
        <v>4293701</v>
      </c>
      <c r="G21" s="301">
        <v>6670427</v>
      </c>
      <c r="H21" s="531">
        <v>4233430</v>
      </c>
      <c r="I21" s="506">
        <v>6033722</v>
      </c>
      <c r="J21" s="506">
        <f>'2016 Summary Table B'!$N$32</f>
        <v>7508165.4789902028</v>
      </c>
      <c r="K21" s="506">
        <f>'2017 Summary Table B'!$N$32</f>
        <v>4415479.4884411609</v>
      </c>
      <c r="L21" s="506" t="e">
        <f>'2019 Summary Table B'!$N$32</f>
        <v>#REF!</v>
      </c>
      <c r="M21" s="246" t="s">
        <v>10</v>
      </c>
      <c r="N21" s="285"/>
      <c r="O21" s="285"/>
    </row>
    <row r="22" spans="1:15" s="284" customFormat="1" x14ac:dyDescent="0.2">
      <c r="H22" s="527"/>
      <c r="I22" s="180"/>
      <c r="J22" s="180"/>
      <c r="K22" s="180"/>
      <c r="L22" s="180"/>
      <c r="M22" s="246"/>
      <c r="N22" s="285"/>
      <c r="O22" s="285"/>
    </row>
    <row r="23" spans="1:15" s="284" customFormat="1" x14ac:dyDescent="0.2">
      <c r="A23" s="284" t="s">
        <v>51</v>
      </c>
      <c r="B23" s="305">
        <f t="shared" ref="B23:J23" si="1">SUM(B15/B20)</f>
        <v>10.008945343208243</v>
      </c>
      <c r="C23" s="305">
        <f t="shared" si="1"/>
        <v>6.453055824859649</v>
      </c>
      <c r="D23" s="305">
        <f t="shared" si="1"/>
        <v>6.8339099835564943</v>
      </c>
      <c r="E23" s="305">
        <f t="shared" si="1"/>
        <v>5.6876264895487392</v>
      </c>
      <c r="F23" s="269">
        <f t="shared" si="1"/>
        <v>4.0930839763487104</v>
      </c>
      <c r="G23" s="269">
        <f t="shared" si="1"/>
        <v>2.9467807373920181</v>
      </c>
      <c r="H23" s="528">
        <f t="shared" si="1"/>
        <v>6.8795824331425903</v>
      </c>
      <c r="I23" s="269">
        <f t="shared" si="1"/>
        <v>5.973359435062191</v>
      </c>
      <c r="J23" s="269">
        <f t="shared" si="1"/>
        <v>6.0614618787548658</v>
      </c>
      <c r="K23" s="269">
        <f>SUM(K15/K20)</f>
        <v>8.7579230215421759</v>
      </c>
      <c r="L23" s="269" t="e">
        <f>SUM(L15/L20)</f>
        <v>#REF!</v>
      </c>
      <c r="M23" s="246" t="s">
        <v>65</v>
      </c>
      <c r="N23" s="285"/>
      <c r="O23" s="285"/>
    </row>
    <row r="24" spans="1:15" s="284" customFormat="1" x14ac:dyDescent="0.2">
      <c r="A24" s="284" t="s">
        <v>52</v>
      </c>
      <c r="B24" s="305">
        <f t="shared" ref="B24:G24" si="2">SUM(B15/B21)</f>
        <v>0.67001861268986607</v>
      </c>
      <c r="C24" s="305">
        <f t="shared" si="2"/>
        <v>0.42372770233158591</v>
      </c>
      <c r="D24" s="305">
        <f t="shared" si="2"/>
        <v>0.46083257298691943</v>
      </c>
      <c r="E24" s="305">
        <f t="shared" si="2"/>
        <v>0.37271712845476968</v>
      </c>
      <c r="F24" s="269">
        <f t="shared" si="2"/>
        <v>0.29390751708141766</v>
      </c>
      <c r="G24" s="269">
        <f t="shared" si="2"/>
        <v>0.17648142914988801</v>
      </c>
      <c r="H24" s="528">
        <f>SUM(H15/H21)</f>
        <v>0.4452927437090019</v>
      </c>
      <c r="I24" s="269">
        <f>SUM(I15/I21)</f>
        <v>0.38889212993240324</v>
      </c>
      <c r="J24" s="269">
        <f>SUM(J15/J21)</f>
        <v>0.37625875560483052</v>
      </c>
      <c r="K24" s="269">
        <f>SUM(K15/K21)</f>
        <v>0.55821234181173796</v>
      </c>
      <c r="L24" s="269" t="e">
        <f>SUM(L15/L21)</f>
        <v>#REF!</v>
      </c>
      <c r="M24" s="246" t="s">
        <v>66</v>
      </c>
      <c r="N24" s="285"/>
      <c r="O24" s="285"/>
    </row>
    <row r="25" spans="1:15" s="284" customFormat="1" x14ac:dyDescent="0.2">
      <c r="H25" s="249"/>
      <c r="I25" s="245"/>
      <c r="J25" s="245"/>
      <c r="K25" s="245"/>
      <c r="L25" s="245"/>
      <c r="M25" s="246"/>
      <c r="N25" s="285"/>
      <c r="O25" s="285"/>
    </row>
    <row r="26" spans="1:15" s="284" customFormat="1" x14ac:dyDescent="0.2">
      <c r="A26" s="284" t="s">
        <v>84</v>
      </c>
      <c r="B26" s="579">
        <f>C26/C21*B21</f>
        <v>288198.06219860213</v>
      </c>
      <c r="C26" s="295">
        <v>1078356.8079616579</v>
      </c>
      <c r="D26" s="295">
        <v>1411282.7780504513</v>
      </c>
      <c r="E26" s="513">
        <v>1835583.6734912954</v>
      </c>
      <c r="F26" s="295">
        <f>+F21/3777694*1985291</f>
        <v>2256468.0866134209</v>
      </c>
      <c r="G26" s="295">
        <v>3644327</v>
      </c>
      <c r="H26" s="257">
        <v>3448197</v>
      </c>
      <c r="I26" s="747">
        <v>5668248</v>
      </c>
      <c r="J26" s="747">
        <f>'2016 Summary Table B'!$F$32</f>
        <v>5182366.8514234871</v>
      </c>
      <c r="K26" s="747">
        <f>'2017 Summary Table B'!$F$32</f>
        <v>2967473.2544098711</v>
      </c>
      <c r="L26" s="747" t="e">
        <f>'2019 Summary Table B'!$F$32</f>
        <v>#REF!</v>
      </c>
      <c r="M26" s="246" t="s">
        <v>67</v>
      </c>
      <c r="N26" s="285"/>
      <c r="O26" s="285"/>
    </row>
    <row r="27" spans="1:15" s="284" customFormat="1" x14ac:dyDescent="0.2">
      <c r="A27" s="284" t="s">
        <v>85</v>
      </c>
      <c r="B27" s="306">
        <f t="shared" ref="B27:G27" si="3">SUM(B26/B15)</f>
        <v>1.1913628596480872</v>
      </c>
      <c r="C27" s="306">
        <f t="shared" si="3"/>
        <v>1.8838402257848796</v>
      </c>
      <c r="D27" s="306">
        <f t="shared" si="3"/>
        <v>1.9404440681317867</v>
      </c>
      <c r="E27" s="306">
        <f t="shared" si="3"/>
        <v>2.1015355147219799</v>
      </c>
      <c r="F27" s="271">
        <f t="shared" si="3"/>
        <v>1.7880790035535619</v>
      </c>
      <c r="G27" s="271">
        <f t="shared" si="3"/>
        <v>3.095741512604131</v>
      </c>
      <c r="H27" s="529">
        <f>SUM(H26/H15)</f>
        <v>1.8291699937392703</v>
      </c>
      <c r="I27" s="271">
        <f>SUM(I26/I15)</f>
        <v>2.4156521272193472</v>
      </c>
      <c r="J27" s="271">
        <f>SUM(J26/J15)</f>
        <v>1.8344577003445601</v>
      </c>
      <c r="K27" s="271">
        <f>SUM(K26/K15)</f>
        <v>1.2039529284732027</v>
      </c>
      <c r="L27" s="271" t="e">
        <f>SUM(L26/L15)</f>
        <v>#REF!</v>
      </c>
      <c r="M27" s="246" t="s">
        <v>68</v>
      </c>
      <c r="N27" s="285"/>
      <c r="O27" s="285"/>
    </row>
    <row r="28" spans="1:15" s="284" customFormat="1" x14ac:dyDescent="0.2">
      <c r="A28" s="284" t="s">
        <v>214</v>
      </c>
      <c r="B28" s="307">
        <v>9</v>
      </c>
      <c r="C28" s="307">
        <v>26</v>
      </c>
      <c r="D28" s="307">
        <v>33</v>
      </c>
      <c r="E28" s="307">
        <v>46</v>
      </c>
      <c r="F28" s="301">
        <v>93</v>
      </c>
      <c r="G28" s="301">
        <v>125</v>
      </c>
      <c r="H28" s="534">
        <v>97</v>
      </c>
      <c r="I28" s="506">
        <v>61</v>
      </c>
      <c r="J28" s="506">
        <f>'2016 Summary Table B'!$K$32</f>
        <v>266.72823723636435</v>
      </c>
      <c r="K28" s="506">
        <f>'2017 Summary Table B'!$K$32</f>
        <v>231.38077777090803</v>
      </c>
      <c r="L28" s="506" t="e">
        <f>'2019 Summary Table B'!$K$32</f>
        <v>#REF!</v>
      </c>
      <c r="M28" s="246" t="s">
        <v>69</v>
      </c>
      <c r="N28" s="285"/>
      <c r="O28" s="285"/>
    </row>
    <row r="29" spans="1:15" s="284" customFormat="1" x14ac:dyDescent="0.2">
      <c r="A29" s="284" t="s">
        <v>215</v>
      </c>
      <c r="B29" s="308">
        <f>SUM(B21/B28)</f>
        <v>40116</v>
      </c>
      <c r="C29" s="308">
        <f>SUM(C21/C28)</f>
        <v>51958.692307692305</v>
      </c>
      <c r="D29" s="308">
        <f>SUM(D21/D28)</f>
        <v>47825.090909090912</v>
      </c>
      <c r="E29" s="308">
        <f>SUM(E21/E28)</f>
        <v>50944.84782608696</v>
      </c>
      <c r="F29" s="312">
        <f>F21/F28</f>
        <v>46168.827956989247</v>
      </c>
      <c r="G29" s="312">
        <f>G21/G28</f>
        <v>53363.415999999997</v>
      </c>
      <c r="H29" s="282">
        <f>SUM(H21/H28)</f>
        <v>43643.608247422679</v>
      </c>
      <c r="I29" s="266">
        <f>SUM(I21/I28)</f>
        <v>98913.475409836072</v>
      </c>
      <c r="J29" s="266">
        <f>SUM(J21/J28)</f>
        <v>28149.121205854008</v>
      </c>
      <c r="K29" s="266">
        <f>SUM(K21/K28)</f>
        <v>19083.173334359533</v>
      </c>
      <c r="L29" s="266" t="e">
        <f>SUM(L21/L28)</f>
        <v>#REF!</v>
      </c>
      <c r="M29" s="246" t="s">
        <v>70</v>
      </c>
      <c r="N29" s="285"/>
      <c r="O29" s="285"/>
    </row>
    <row r="30" spans="1:15" s="284" customFormat="1" x14ac:dyDescent="0.2">
      <c r="A30" s="284" t="s">
        <v>216</v>
      </c>
      <c r="B30" s="295">
        <f>SUM(B15/B28)</f>
        <v>26878.466666666667</v>
      </c>
      <c r="C30" s="295">
        <f>SUM(C15/C28)</f>
        <v>22016.337307692309</v>
      </c>
      <c r="D30" s="295">
        <f>SUM(D15/D28)</f>
        <v>22039.359696969692</v>
      </c>
      <c r="E30" s="295">
        <f>SUM(E15/E28)</f>
        <v>18988.017391304347</v>
      </c>
      <c r="F30" s="283">
        <f>F15/F28</f>
        <v>13569.365591397849</v>
      </c>
      <c r="G30" s="283">
        <f>G15/G28</f>
        <v>9417.6519200000002</v>
      </c>
      <c r="H30" s="530">
        <f>SUM(H15/H28)</f>
        <v>19434.18206185567</v>
      </c>
      <c r="I30" s="257">
        <f>SUM(I15/I28)</f>
        <v>38466.672131147541</v>
      </c>
      <c r="J30" s="257">
        <f>SUM(J15/J28)</f>
        <v>10591.353316284176</v>
      </c>
      <c r="K30" s="257">
        <f>SUM(K15/K28)</f>
        <v>10652.462876172147</v>
      </c>
      <c r="L30" s="257" t="e">
        <f>SUM(L15/L28)</f>
        <v>#REF!</v>
      </c>
      <c r="M30" s="246" t="s">
        <v>72</v>
      </c>
      <c r="N30" s="285"/>
      <c r="O30" s="285"/>
    </row>
    <row r="31" spans="1:15" s="284" customFormat="1" x14ac:dyDescent="0.2">
      <c r="A31" s="284" t="s">
        <v>217</v>
      </c>
      <c r="B31" s="295">
        <f>SUM(B26/B28)</f>
        <v>32022.006910955792</v>
      </c>
      <c r="C31" s="295">
        <f>SUM(C26/C28)</f>
        <v>41475.261844679146</v>
      </c>
      <c r="D31" s="295">
        <f>SUM(D26/D28)</f>
        <v>42766.144789407612</v>
      </c>
      <c r="E31" s="295">
        <f>SUM(E26/E28)</f>
        <v>39903.992901984682</v>
      </c>
      <c r="F31" s="283">
        <f>F26/F28</f>
        <v>24263.097705520653</v>
      </c>
      <c r="G31" s="283">
        <f>G26/G28</f>
        <v>29154.616000000002</v>
      </c>
      <c r="H31" s="530">
        <f>SUM(H26/H28)</f>
        <v>35548.422680412368</v>
      </c>
      <c r="I31" s="257">
        <f>SUM(I26/I28)</f>
        <v>92922.098360655742</v>
      </c>
      <c r="J31" s="257">
        <f>SUM(J26/J28)</f>
        <v>19429.389648127402</v>
      </c>
      <c r="K31" s="257">
        <f>SUM(K26/K28)</f>
        <v>12825.063875219532</v>
      </c>
      <c r="L31" s="257" t="e">
        <f>SUM(L26/L28)</f>
        <v>#REF!</v>
      </c>
      <c r="M31" s="246" t="s">
        <v>73</v>
      </c>
      <c r="N31" s="285"/>
      <c r="O31" s="285"/>
    </row>
    <row r="32" spans="1:15" s="284" customFormat="1" ht="14.25" x14ac:dyDescent="0.2">
      <c r="A32" s="704" t="s">
        <v>324</v>
      </c>
      <c r="B32" s="945">
        <f t="shared" ref="B32:J32" si="4">B12/B21</f>
        <v>0.44919973742812508</v>
      </c>
      <c r="C32" s="945">
        <f t="shared" si="4"/>
        <v>0.3589050547550347</v>
      </c>
      <c r="D32" s="945">
        <f t="shared" si="4"/>
        <v>0.39382895247074567</v>
      </c>
      <c r="E32" s="945">
        <f t="shared" si="4"/>
        <v>0.32552505416129884</v>
      </c>
      <c r="F32" s="945">
        <f t="shared" si="4"/>
        <v>0.25732602246872804</v>
      </c>
      <c r="G32" s="945">
        <f t="shared" si="4"/>
        <v>0.15233012519288494</v>
      </c>
      <c r="H32" s="945">
        <f t="shared" si="4"/>
        <v>0.36212939389572985</v>
      </c>
      <c r="I32" s="945">
        <f t="shared" si="4"/>
        <v>0.30076128797448737</v>
      </c>
      <c r="J32" s="945">
        <f t="shared" si="4"/>
        <v>0.30228329494746897</v>
      </c>
      <c r="K32" s="945">
        <f>K12/K21</f>
        <v>0.44589067860430875</v>
      </c>
      <c r="L32" s="945" t="e">
        <f>L12/L21</f>
        <v>#REF!</v>
      </c>
      <c r="M32" s="557" t="s">
        <v>328</v>
      </c>
      <c r="N32" s="285"/>
      <c r="O32" s="285"/>
    </row>
    <row r="33" spans="1:15" s="284" customFormat="1" ht="14.25" x14ac:dyDescent="0.2">
      <c r="A33" s="704" t="s">
        <v>325</v>
      </c>
      <c r="B33" s="946">
        <f t="shared" ref="B33:J33" si="5">B13/B21</f>
        <v>8.1758733007611262E-3</v>
      </c>
      <c r="C33" s="946">
        <f t="shared" si="5"/>
        <v>6.148597332496377E-4</v>
      </c>
      <c r="D33" s="946">
        <f t="shared" si="5"/>
        <v>2.5423703039104614E-3</v>
      </c>
      <c r="E33" s="946">
        <f t="shared" si="5"/>
        <v>5.3650089632309103E-4</v>
      </c>
      <c r="F33" s="946">
        <f t="shared" si="5"/>
        <v>1.6931779832829534E-4</v>
      </c>
      <c r="G33" s="946">
        <f t="shared" si="5"/>
        <v>2.8498925181251515E-4</v>
      </c>
      <c r="H33" s="946">
        <f t="shared" si="5"/>
        <v>4.5761947168135534E-3</v>
      </c>
      <c r="I33" s="946">
        <f t="shared" si="5"/>
        <v>6.7958053088955708E-3</v>
      </c>
      <c r="J33" s="946">
        <f t="shared" si="5"/>
        <v>1.4886459323886973E-3</v>
      </c>
      <c r="K33" s="946">
        <f>K13/K21</f>
        <v>4.4881422395637242E-2</v>
      </c>
      <c r="L33" s="946" t="e">
        <f>L13/L21</f>
        <v>#REF!</v>
      </c>
      <c r="M33" s="557" t="s">
        <v>329</v>
      </c>
      <c r="N33" s="285"/>
      <c r="O33" s="285"/>
    </row>
    <row r="34" spans="1:15" s="284" customFormat="1" x14ac:dyDescent="0.2">
      <c r="A34" s="247"/>
      <c r="B34" s="300"/>
      <c r="C34" s="250"/>
      <c r="D34" s="250"/>
      <c r="I34" s="296"/>
      <c r="J34" s="245"/>
      <c r="K34" s="245"/>
      <c r="L34" s="245"/>
      <c r="M34" s="296"/>
      <c r="N34" s="296"/>
      <c r="O34" s="245"/>
    </row>
    <row r="35" spans="1:15" s="284" customFormat="1" x14ac:dyDescent="0.2">
      <c r="A35" s="248" t="s">
        <v>194</v>
      </c>
      <c r="B35" s="270"/>
      <c r="C35" s="244"/>
      <c r="D35" s="245"/>
      <c r="G35" s="276" t="s">
        <v>191</v>
      </c>
      <c r="H35" s="245"/>
      <c r="I35" s="245"/>
      <c r="J35" s="245"/>
      <c r="K35" s="245"/>
      <c r="L35" s="245"/>
      <c r="M35" s="296"/>
      <c r="N35" s="296"/>
      <c r="O35" s="245"/>
    </row>
    <row r="36" spans="1:15" s="284" customFormat="1" x14ac:dyDescent="0.2">
      <c r="A36" s="273" t="s">
        <v>185</v>
      </c>
      <c r="B36" s="250" t="s">
        <v>1</v>
      </c>
      <c r="C36" s="250" t="s">
        <v>186</v>
      </c>
      <c r="D36" s="250" t="s">
        <v>18</v>
      </c>
      <c r="G36" s="273" t="s">
        <v>185</v>
      </c>
      <c r="H36" s="250" t="s">
        <v>188</v>
      </c>
      <c r="I36" s="250" t="s">
        <v>186</v>
      </c>
      <c r="J36" s="250" t="s">
        <v>189</v>
      </c>
      <c r="K36" s="245"/>
      <c r="L36" s="245"/>
      <c r="M36" s="296"/>
      <c r="N36" s="296"/>
      <c r="O36" s="245"/>
    </row>
    <row r="37" spans="1:15" s="284" customFormat="1" x14ac:dyDescent="0.2">
      <c r="A37" s="273">
        <v>2008</v>
      </c>
      <c r="B37" s="274">
        <v>200584</v>
      </c>
      <c r="C37" s="283">
        <f>B15</f>
        <v>241906.2</v>
      </c>
      <c r="D37" s="275">
        <f t="shared" ref="D37:D43" si="6">IF(ISERROR(C37/B37),"-",(C37/B37))</f>
        <v>1.206009452398995</v>
      </c>
      <c r="G37" s="273">
        <v>2008</v>
      </c>
      <c r="H37" s="283" t="s">
        <v>187</v>
      </c>
      <c r="I37" s="278">
        <f>B20</f>
        <v>24169</v>
      </c>
      <c r="J37" s="275" t="str">
        <f t="shared" ref="J37:J43" si="7">IF(ISERROR(I37/H37),"-",(I37/H37))</f>
        <v>-</v>
      </c>
      <c r="K37" s="245"/>
      <c r="L37" s="245"/>
      <c r="M37" s="296"/>
      <c r="N37" s="296"/>
      <c r="O37" s="245"/>
    </row>
    <row r="38" spans="1:15" s="284" customFormat="1" x14ac:dyDescent="0.2">
      <c r="A38" s="273">
        <v>2009</v>
      </c>
      <c r="B38" s="274">
        <v>700000</v>
      </c>
      <c r="C38" s="283">
        <v>572425</v>
      </c>
      <c r="D38" s="275">
        <f t="shared" si="6"/>
        <v>0.81774999999999998</v>
      </c>
      <c r="G38" s="273">
        <v>2009</v>
      </c>
      <c r="H38" s="278">
        <v>86402</v>
      </c>
      <c r="I38" s="278">
        <v>88706</v>
      </c>
      <c r="J38" s="532">
        <f t="shared" si="7"/>
        <v>1.0266660493970048</v>
      </c>
      <c r="K38" s="245"/>
      <c r="L38" s="245"/>
      <c r="M38" s="296"/>
      <c r="N38" s="296"/>
      <c r="O38" s="245"/>
    </row>
    <row r="39" spans="1:15" s="284" customFormat="1" x14ac:dyDescent="0.2">
      <c r="A39" s="273">
        <v>2010</v>
      </c>
      <c r="B39" s="274">
        <v>858726</v>
      </c>
      <c r="C39" s="283">
        <v>727298.87</v>
      </c>
      <c r="D39" s="275">
        <f t="shared" si="6"/>
        <v>0.84695102978132719</v>
      </c>
      <c r="G39" s="273">
        <v>2010</v>
      </c>
      <c r="H39" s="278">
        <v>146926</v>
      </c>
      <c r="I39" s="278">
        <v>106425</v>
      </c>
      <c r="J39" s="532">
        <f t="shared" si="7"/>
        <v>0.72434422770646445</v>
      </c>
      <c r="K39" s="245"/>
      <c r="L39" s="245"/>
      <c r="M39" s="296"/>
      <c r="N39" s="296"/>
      <c r="O39" s="245"/>
    </row>
    <row r="40" spans="1:15" s="284" customFormat="1" x14ac:dyDescent="0.2">
      <c r="A40" s="273">
        <v>2011</v>
      </c>
      <c r="B40" s="274">
        <v>1140000</v>
      </c>
      <c r="C40" s="283">
        <v>873448.79999999993</v>
      </c>
      <c r="D40" s="275">
        <f t="shared" si="6"/>
        <v>0.76618315789473679</v>
      </c>
      <c r="G40" s="273">
        <v>2011</v>
      </c>
      <c r="H40" s="278">
        <v>146926</v>
      </c>
      <c r="I40" s="278">
        <v>153570</v>
      </c>
      <c r="J40" s="532">
        <f t="shared" si="7"/>
        <v>1.045220042742605</v>
      </c>
      <c r="K40" s="245"/>
      <c r="L40" s="245"/>
      <c r="M40" s="296"/>
      <c r="N40" s="296"/>
      <c r="O40" s="245"/>
    </row>
    <row r="41" spans="1:15" s="284" customFormat="1" x14ac:dyDescent="0.2">
      <c r="A41" s="273">
        <v>2012</v>
      </c>
      <c r="B41" s="283">
        <v>1240000</v>
      </c>
      <c r="C41" s="274">
        <f>+F15</f>
        <v>1261951</v>
      </c>
      <c r="D41" s="275">
        <f t="shared" si="6"/>
        <v>1.0177024193548387</v>
      </c>
      <c r="G41" s="273">
        <v>2012</v>
      </c>
      <c r="H41" s="554">
        <v>249408</v>
      </c>
      <c r="I41" s="278">
        <f>+F20</f>
        <v>308313</v>
      </c>
      <c r="J41" s="532">
        <f t="shared" si="7"/>
        <v>1.2361792725173211</v>
      </c>
      <c r="K41" s="245"/>
      <c r="L41" s="245"/>
      <c r="M41" s="296"/>
      <c r="N41" s="296"/>
      <c r="O41" s="245"/>
    </row>
    <row r="42" spans="1:15" s="284" customFormat="1" x14ac:dyDescent="0.2">
      <c r="A42" s="273">
        <v>2013</v>
      </c>
      <c r="B42" s="309">
        <v>1240000</v>
      </c>
      <c r="C42" s="313">
        <f>G15</f>
        <v>1177206.49</v>
      </c>
      <c r="D42" s="275">
        <f t="shared" si="6"/>
        <v>0.94936007258064514</v>
      </c>
      <c r="G42" s="273">
        <v>2013</v>
      </c>
      <c r="H42" s="554">
        <v>196178</v>
      </c>
      <c r="I42" s="278">
        <f>G20</f>
        <v>399489</v>
      </c>
      <c r="J42" s="532">
        <f t="shared" si="7"/>
        <v>2.0363598364750382</v>
      </c>
      <c r="K42" s="245"/>
      <c r="L42" s="245"/>
      <c r="M42" s="296"/>
      <c r="N42" s="296"/>
      <c r="O42" s="245"/>
    </row>
    <row r="43" spans="1:15" s="284" customFormat="1" x14ac:dyDescent="0.2">
      <c r="A43" s="273">
        <v>2014</v>
      </c>
      <c r="B43" s="274">
        <v>1957423</v>
      </c>
      <c r="C43" s="274">
        <f>H15</f>
        <v>1885115.66</v>
      </c>
      <c r="D43" s="275">
        <f t="shared" si="6"/>
        <v>0.96305993134851275</v>
      </c>
      <c r="G43" s="273">
        <v>2014</v>
      </c>
      <c r="H43" s="562">
        <v>316759</v>
      </c>
      <c r="I43" s="278">
        <f>H20</f>
        <v>274016</v>
      </c>
      <c r="J43" s="275">
        <f t="shared" si="7"/>
        <v>0.86506145050337957</v>
      </c>
      <c r="K43" s="245"/>
      <c r="L43" s="245"/>
      <c r="M43" s="296"/>
      <c r="N43" s="296"/>
      <c r="O43" s="245"/>
    </row>
    <row r="44" spans="1:15" s="284" customFormat="1" x14ac:dyDescent="0.2">
      <c r="A44" s="273">
        <v>2015</v>
      </c>
      <c r="B44" s="274">
        <f>I15</f>
        <v>2346467</v>
      </c>
      <c r="C44" s="274"/>
      <c r="D44" s="275"/>
      <c r="G44" s="273">
        <v>2015</v>
      </c>
      <c r="H44" s="562">
        <f>I20</f>
        <v>392822</v>
      </c>
      <c r="I44" s="278"/>
      <c r="J44" s="275"/>
      <c r="K44" s="245"/>
      <c r="L44" s="245"/>
      <c r="M44" s="296"/>
      <c r="N44" s="296"/>
      <c r="O44" s="245"/>
    </row>
    <row r="45" spans="1:15" s="284" customFormat="1" x14ac:dyDescent="0.2">
      <c r="A45" s="273">
        <v>2016</v>
      </c>
      <c r="B45" s="274">
        <f>J15</f>
        <v>2825013</v>
      </c>
      <c r="C45" s="274"/>
      <c r="D45" s="275"/>
      <c r="G45" s="273">
        <v>2016</v>
      </c>
      <c r="H45" s="278">
        <f>J20</f>
        <v>466061.33248177893</v>
      </c>
      <c r="I45" s="168"/>
      <c r="J45" s="168"/>
      <c r="K45" s="245"/>
      <c r="L45" s="245"/>
      <c r="M45" s="296"/>
      <c r="N45" s="296"/>
      <c r="O45" s="245"/>
    </row>
    <row r="46" spans="1:15" s="284" customFormat="1" x14ac:dyDescent="0.2">
      <c r="A46" s="273">
        <v>2017</v>
      </c>
      <c r="B46" s="274">
        <f>K15</f>
        <v>2464775.1454644352</v>
      </c>
      <c r="C46" s="274"/>
      <c r="D46" s="275"/>
      <c r="G46" s="273">
        <v>2017</v>
      </c>
      <c r="H46" s="278">
        <f>K20</f>
        <v>281433.75311723334</v>
      </c>
      <c r="I46" s="168"/>
      <c r="J46" s="168"/>
      <c r="K46" s="245"/>
      <c r="L46" s="245"/>
      <c r="M46" s="296"/>
      <c r="N46" s="296"/>
      <c r="O46" s="245"/>
    </row>
    <row r="47" spans="1:15" s="284" customFormat="1" x14ac:dyDescent="0.2">
      <c r="A47" s="273">
        <v>2018</v>
      </c>
      <c r="B47" s="274">
        <f>L15</f>
        <v>2151328.3746612398</v>
      </c>
      <c r="C47" s="274"/>
      <c r="D47" s="275"/>
      <c r="G47" s="273">
        <v>2018</v>
      </c>
      <c r="H47" s="278" t="e">
        <f>L20</f>
        <v>#REF!</v>
      </c>
      <c r="I47" s="168"/>
      <c r="J47" s="168"/>
      <c r="K47" s="245"/>
      <c r="L47" s="245"/>
      <c r="M47" s="296"/>
      <c r="N47" s="296"/>
      <c r="O47" s="245"/>
    </row>
    <row r="48" spans="1:15" s="284" customFormat="1" x14ac:dyDescent="0.2">
      <c r="A48" s="273"/>
      <c r="B48" s="245"/>
      <c r="C48" s="245"/>
      <c r="D48" s="245"/>
      <c r="G48" s="273"/>
      <c r="H48" s="168"/>
      <c r="I48" s="168"/>
      <c r="J48" s="168"/>
      <c r="K48" s="245"/>
      <c r="L48" s="245"/>
      <c r="M48" s="296"/>
      <c r="N48" s="296"/>
      <c r="O48" s="245"/>
    </row>
    <row r="49" spans="1:15" s="284" customFormat="1" x14ac:dyDescent="0.2">
      <c r="A49" s="276" t="s">
        <v>193</v>
      </c>
      <c r="B49" s="245"/>
      <c r="C49" s="245"/>
      <c r="D49" s="245"/>
      <c r="G49" s="276" t="s">
        <v>190</v>
      </c>
      <c r="H49" s="168"/>
      <c r="I49" s="168"/>
      <c r="J49" s="168"/>
      <c r="K49" s="245"/>
      <c r="L49" s="245"/>
      <c r="M49" s="296"/>
      <c r="N49" s="296"/>
      <c r="O49" s="245"/>
    </row>
    <row r="50" spans="1:15" s="284" customFormat="1" x14ac:dyDescent="0.2">
      <c r="A50" s="273" t="s">
        <v>185</v>
      </c>
      <c r="B50" s="250" t="s">
        <v>188</v>
      </c>
      <c r="C50" s="250" t="s">
        <v>186</v>
      </c>
      <c r="D50" s="250" t="s">
        <v>189</v>
      </c>
      <c r="G50" s="273" t="s">
        <v>185</v>
      </c>
      <c r="H50" s="250" t="s">
        <v>188</v>
      </c>
      <c r="I50" s="250" t="s">
        <v>186</v>
      </c>
      <c r="J50" s="250" t="s">
        <v>189</v>
      </c>
      <c r="K50" s="245"/>
      <c r="L50" s="245"/>
      <c r="M50" s="296"/>
      <c r="N50" s="296"/>
      <c r="O50" s="245"/>
    </row>
    <row r="51" spans="1:15" s="284" customFormat="1" x14ac:dyDescent="0.2">
      <c r="A51" s="273">
        <v>2008</v>
      </c>
      <c r="B51" s="283" t="s">
        <v>187</v>
      </c>
      <c r="C51" s="278">
        <v>9</v>
      </c>
      <c r="D51" s="275" t="str">
        <f t="shared" ref="D51:D57" si="8">IF(ISERROR(C51/B51),"-",(C51/B51))</f>
        <v>-</v>
      </c>
      <c r="G51" s="273">
        <v>2008</v>
      </c>
      <c r="H51" s="278" t="s">
        <v>187</v>
      </c>
      <c r="I51" s="278">
        <f>B21</f>
        <v>361044</v>
      </c>
      <c r="J51" s="275" t="str">
        <f t="shared" ref="J51:J57" si="9">IF(ISERROR(I51/H51),"-",(I51/H51))</f>
        <v>-</v>
      </c>
      <c r="K51" s="245"/>
      <c r="L51" s="245"/>
      <c r="M51" s="296"/>
      <c r="N51" s="296"/>
      <c r="O51" s="245"/>
    </row>
    <row r="52" spans="1:15" s="284" customFormat="1" x14ac:dyDescent="0.2">
      <c r="A52" s="273">
        <v>2009</v>
      </c>
      <c r="B52" s="278">
        <v>27</v>
      </c>
      <c r="C52" s="278">
        <v>26</v>
      </c>
      <c r="D52" s="275">
        <f t="shared" si="8"/>
        <v>0.96296296296296291</v>
      </c>
      <c r="G52" s="273">
        <v>2009</v>
      </c>
      <c r="H52" s="278">
        <v>1296024</v>
      </c>
      <c r="I52" s="278">
        <v>1350926</v>
      </c>
      <c r="J52" s="275">
        <f t="shared" si="9"/>
        <v>1.0423618698419166</v>
      </c>
      <c r="K52" s="245"/>
      <c r="L52" s="245"/>
      <c r="M52" s="296"/>
      <c r="N52" s="296"/>
      <c r="O52" s="245"/>
    </row>
    <row r="53" spans="1:15" s="284" customFormat="1" x14ac:dyDescent="0.2">
      <c r="A53" s="273">
        <v>2010</v>
      </c>
      <c r="B53" s="278">
        <v>48</v>
      </c>
      <c r="C53" s="278">
        <v>33</v>
      </c>
      <c r="D53" s="275">
        <f t="shared" si="8"/>
        <v>0.6875</v>
      </c>
      <c r="G53" s="273">
        <v>2010</v>
      </c>
      <c r="H53" s="278">
        <v>1874444</v>
      </c>
      <c r="I53" s="278">
        <v>1578228</v>
      </c>
      <c r="J53" s="275">
        <f t="shared" si="9"/>
        <v>0.84197127254801962</v>
      </c>
      <c r="K53" s="245"/>
      <c r="L53" s="245"/>
      <c r="M53" s="296"/>
      <c r="N53" s="296"/>
      <c r="O53" s="245"/>
    </row>
    <row r="54" spans="1:15" s="284" customFormat="1" x14ac:dyDescent="0.2">
      <c r="A54" s="273">
        <v>2011</v>
      </c>
      <c r="B54" s="278">
        <v>39</v>
      </c>
      <c r="C54" s="278">
        <v>46</v>
      </c>
      <c r="D54" s="275">
        <f t="shared" si="8"/>
        <v>1.1794871794871795</v>
      </c>
      <c r="G54" s="273">
        <v>2011</v>
      </c>
      <c r="H54" s="278">
        <v>2251551</v>
      </c>
      <c r="I54" s="278">
        <v>2343463</v>
      </c>
      <c r="J54" s="275">
        <f t="shared" si="9"/>
        <v>1.0408216380619404</v>
      </c>
      <c r="K54" s="245"/>
      <c r="L54" s="245"/>
      <c r="M54" s="296"/>
      <c r="N54" s="296"/>
      <c r="O54" s="245"/>
    </row>
    <row r="55" spans="1:15" s="284" customFormat="1" x14ac:dyDescent="0.2">
      <c r="A55" s="273">
        <v>2012</v>
      </c>
      <c r="B55" s="278">
        <v>65</v>
      </c>
      <c r="C55" s="278">
        <f>+F28</f>
        <v>93</v>
      </c>
      <c r="D55" s="275">
        <f t="shared" si="8"/>
        <v>1.4307692307692308</v>
      </c>
      <c r="G55" s="273">
        <v>2012</v>
      </c>
      <c r="H55" s="562">
        <v>3777694</v>
      </c>
      <c r="I55" s="556">
        <f>+F21</f>
        <v>4293701</v>
      </c>
      <c r="J55" s="275">
        <f t="shared" si="9"/>
        <v>1.1365931173885444</v>
      </c>
      <c r="K55" s="245"/>
      <c r="L55" s="245"/>
      <c r="M55" s="296"/>
      <c r="N55" s="296"/>
      <c r="O55" s="245"/>
    </row>
    <row r="56" spans="1:15" s="284" customFormat="1" x14ac:dyDescent="0.2">
      <c r="A56" s="273">
        <v>2013</v>
      </c>
      <c r="B56" s="278">
        <v>31</v>
      </c>
      <c r="C56" s="278">
        <f>G28</f>
        <v>125</v>
      </c>
      <c r="D56" s="275">
        <f t="shared" si="8"/>
        <v>4.032258064516129</v>
      </c>
      <c r="G56" s="273">
        <v>2013</v>
      </c>
      <c r="H56" s="562">
        <v>3013291</v>
      </c>
      <c r="I56" s="562">
        <f>G21</f>
        <v>6670427</v>
      </c>
      <c r="J56" s="275">
        <f t="shared" si="9"/>
        <v>2.2136683778632729</v>
      </c>
      <c r="K56" s="245"/>
      <c r="L56" s="245"/>
      <c r="M56" s="296"/>
      <c r="N56" s="296"/>
      <c r="O56" s="245"/>
    </row>
    <row r="57" spans="1:15" s="284" customFormat="1" x14ac:dyDescent="0.2">
      <c r="A57" s="273">
        <v>2014</v>
      </c>
      <c r="B57" s="278">
        <v>49</v>
      </c>
      <c r="C57" s="278">
        <f>H28</f>
        <v>97</v>
      </c>
      <c r="D57" s="275">
        <f t="shared" si="8"/>
        <v>1.9795918367346939</v>
      </c>
      <c r="G57" s="273">
        <v>2014</v>
      </c>
      <c r="H57" s="562">
        <v>4865394</v>
      </c>
      <c r="I57" s="278">
        <f>H21</f>
        <v>4233430</v>
      </c>
      <c r="J57" s="275">
        <f t="shared" si="9"/>
        <v>0.87011041654591592</v>
      </c>
      <c r="K57" s="245"/>
      <c r="L57" s="245"/>
      <c r="M57" s="296"/>
      <c r="N57" s="296"/>
      <c r="O57" s="245"/>
    </row>
    <row r="58" spans="1:15" s="284" customFormat="1" x14ac:dyDescent="0.2">
      <c r="A58" s="273">
        <v>2015</v>
      </c>
      <c r="B58" s="278">
        <f>I28</f>
        <v>61</v>
      </c>
      <c r="C58" s="278"/>
      <c r="D58" s="275"/>
      <c r="G58" s="273">
        <v>2015</v>
      </c>
      <c r="H58" s="562">
        <f>I21</f>
        <v>6033722</v>
      </c>
      <c r="I58" s="278"/>
      <c r="J58" s="275"/>
      <c r="K58" s="245"/>
      <c r="L58" s="245"/>
      <c r="M58" s="296"/>
      <c r="N58" s="296"/>
      <c r="O58" s="245"/>
    </row>
    <row r="59" spans="1:15" s="284" customFormat="1" x14ac:dyDescent="0.2">
      <c r="A59" s="273">
        <v>2016</v>
      </c>
      <c r="B59" s="278">
        <f>J28</f>
        <v>266.72823723636435</v>
      </c>
      <c r="C59" s="245"/>
      <c r="D59" s="245"/>
      <c r="G59" s="273">
        <v>2016</v>
      </c>
      <c r="H59" s="562">
        <f>J21</f>
        <v>7508165.4789902028</v>
      </c>
      <c r="I59" s="296"/>
      <c r="J59" s="245"/>
      <c r="K59" s="245"/>
      <c r="L59" s="245"/>
      <c r="M59" s="296"/>
      <c r="N59" s="296"/>
      <c r="O59" s="245"/>
    </row>
    <row r="60" spans="1:15" s="284" customFormat="1" x14ac:dyDescent="0.2">
      <c r="A60" s="273">
        <v>2017</v>
      </c>
      <c r="B60" s="278">
        <f>K28</f>
        <v>231.38077777090803</v>
      </c>
      <c r="G60" s="273">
        <v>2017</v>
      </c>
      <c r="H60" s="562">
        <f>K21</f>
        <v>4415479.4884411609</v>
      </c>
      <c r="I60" s="296"/>
      <c r="J60" s="245"/>
      <c r="K60" s="245"/>
      <c r="L60" s="245"/>
      <c r="M60" s="296"/>
      <c r="N60" s="296"/>
      <c r="O60" s="245"/>
    </row>
    <row r="61" spans="1:15" s="284" customFormat="1" x14ac:dyDescent="0.2">
      <c r="A61" s="273">
        <v>2018</v>
      </c>
      <c r="B61" s="278" t="e">
        <f>L28</f>
        <v>#REF!</v>
      </c>
      <c r="G61" s="273">
        <v>2018</v>
      </c>
      <c r="H61" s="562" t="e">
        <f>L21</f>
        <v>#REF!</v>
      </c>
      <c r="I61" s="296"/>
      <c r="J61" s="245"/>
      <c r="K61" s="245"/>
      <c r="L61" s="245"/>
      <c r="M61" s="296"/>
      <c r="N61" s="296"/>
      <c r="O61" s="245"/>
    </row>
    <row r="62" spans="1:15" s="284" customFormat="1" x14ac:dyDescent="0.2">
      <c r="I62" s="296"/>
      <c r="J62" s="245"/>
      <c r="K62" s="245"/>
      <c r="L62" s="245"/>
      <c r="M62" s="296"/>
      <c r="N62" s="296"/>
      <c r="O62" s="245"/>
    </row>
    <row r="63" spans="1:15" s="284" customFormat="1" x14ac:dyDescent="0.2">
      <c r="I63" s="296"/>
      <c r="J63" s="245"/>
      <c r="K63" s="245"/>
      <c r="L63" s="245"/>
      <c r="M63" s="296"/>
      <c r="N63" s="296"/>
      <c r="O63" s="245"/>
    </row>
    <row r="64" spans="1:15" s="284" customFormat="1" x14ac:dyDescent="0.2">
      <c r="I64" s="296"/>
      <c r="J64" s="245"/>
      <c r="K64" s="245"/>
      <c r="L64" s="245"/>
      <c r="M64" s="296"/>
      <c r="N64" s="296"/>
      <c r="O64" s="245"/>
    </row>
    <row r="65" spans="5:15" s="284" customFormat="1" x14ac:dyDescent="0.2">
      <c r="I65" s="296"/>
      <c r="J65" s="245"/>
      <c r="K65" s="245"/>
      <c r="L65" s="245"/>
      <c r="M65" s="296"/>
      <c r="N65" s="296"/>
      <c r="O65" s="245"/>
    </row>
    <row r="66" spans="5:15" s="284" customFormat="1" x14ac:dyDescent="0.2">
      <c r="I66" s="296"/>
      <c r="J66" s="245"/>
      <c r="K66" s="245"/>
      <c r="L66" s="245"/>
      <c r="M66" s="296"/>
      <c r="N66" s="296"/>
      <c r="O66" s="245"/>
    </row>
    <row r="67" spans="5:15" x14ac:dyDescent="0.2">
      <c r="E67" s="3"/>
      <c r="F67" s="3"/>
      <c r="G67" s="3"/>
      <c r="H67" s="3"/>
      <c r="I67" s="296"/>
      <c r="M67" s="296"/>
      <c r="N67" s="296"/>
    </row>
    <row r="68" spans="5:15" x14ac:dyDescent="0.2">
      <c r="E68" s="3"/>
      <c r="F68" s="3"/>
      <c r="G68" s="3"/>
      <c r="H68" s="3"/>
      <c r="I68" s="296"/>
      <c r="M68" s="296"/>
      <c r="N68" s="296"/>
    </row>
    <row r="69" spans="5:15" x14ac:dyDescent="0.2">
      <c r="E69" s="3"/>
      <c r="F69" s="3"/>
      <c r="G69" s="3"/>
      <c r="H69" s="3"/>
      <c r="I69" s="296"/>
      <c r="M69" s="296"/>
      <c r="N69" s="296"/>
    </row>
    <row r="70" spans="5:15" x14ac:dyDescent="0.2">
      <c r="I70" s="296"/>
      <c r="M70" s="296"/>
      <c r="N70" s="296"/>
    </row>
    <row r="71" spans="5:15" x14ac:dyDescent="0.2">
      <c r="I71" s="296"/>
      <c r="M71" s="296"/>
      <c r="N71" s="296"/>
    </row>
    <row r="72" spans="5:15" x14ac:dyDescent="0.2">
      <c r="I72" s="296"/>
      <c r="M72" s="296"/>
      <c r="N72" s="296"/>
    </row>
    <row r="73" spans="5:15" x14ac:dyDescent="0.2">
      <c r="I73" s="296"/>
      <c r="M73" s="296"/>
      <c r="N73" s="296"/>
    </row>
    <row r="74" spans="5:15" x14ac:dyDescent="0.2">
      <c r="I74" s="296"/>
      <c r="M74" s="296"/>
      <c r="N74" s="296"/>
    </row>
    <row r="75" spans="5:15" x14ac:dyDescent="0.2">
      <c r="I75" s="296"/>
      <c r="M75" s="296"/>
      <c r="N75" s="296"/>
    </row>
    <row r="76" spans="5:15" x14ac:dyDescent="0.2">
      <c r="I76" s="296"/>
      <c r="M76" s="296"/>
      <c r="N76" s="296"/>
    </row>
    <row r="77" spans="5:15" x14ac:dyDescent="0.2">
      <c r="I77" s="296"/>
      <c r="M77" s="296"/>
      <c r="N77" s="296"/>
    </row>
    <row r="78" spans="5:15" x14ac:dyDescent="0.2">
      <c r="I78" s="181"/>
      <c r="M78" s="181"/>
      <c r="N78" s="181"/>
    </row>
  </sheetData>
  <mergeCells count="1">
    <mergeCell ref="A1:M1"/>
  </mergeCells>
  <phoneticPr fontId="10" type="noConversion"/>
  <pageMargins left="0.98" right="0.75" top="1.1499999999999999" bottom="1" header="0.5" footer="0.5"/>
  <pageSetup scale="60" fitToHeight="0" orientation="landscape" r:id="rId1"/>
  <headerFooter alignWithMargins="0">
    <oddFooter>&amp;C&amp;1#&amp;"Calibri"&amp;12&amp;K008000Internal Use</oddFooter>
  </headerFooter>
  <rowBreaks count="1" manualBreakCount="1">
    <brk id="3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6"/>
  <dimension ref="A1:C45"/>
  <sheetViews>
    <sheetView workbookViewId="0">
      <selection activeCell="A22" sqref="A22"/>
    </sheetView>
  </sheetViews>
  <sheetFormatPr defaultRowHeight="12.75" x14ac:dyDescent="0.2"/>
  <cols>
    <col min="2" max="2" width="43.7109375" bestFit="1" customWidth="1"/>
    <col min="3" max="3" width="12" customWidth="1"/>
  </cols>
  <sheetData>
    <row r="1" spans="1:3" x14ac:dyDescent="0.2">
      <c r="A1" s="2488" t="s">
        <v>698</v>
      </c>
    </row>
    <row r="2" spans="1:3" x14ac:dyDescent="0.2">
      <c r="A2" s="2488" t="s">
        <v>693</v>
      </c>
    </row>
    <row r="5" spans="1:3" x14ac:dyDescent="0.2">
      <c r="A5" s="2489" t="s">
        <v>694</v>
      </c>
      <c r="B5" s="2490" t="s">
        <v>695</v>
      </c>
      <c r="C5" s="2489" t="s">
        <v>696</v>
      </c>
    </row>
    <row r="6" spans="1:3" x14ac:dyDescent="0.2">
      <c r="A6" s="2496">
        <v>0</v>
      </c>
      <c r="B6" s="37" t="s">
        <v>697</v>
      </c>
      <c r="C6" s="2497">
        <v>43214</v>
      </c>
    </row>
    <row r="7" spans="1:3" ht="25.5" x14ac:dyDescent="0.2">
      <c r="A7" s="2496">
        <v>1</v>
      </c>
      <c r="B7" s="2495" t="s">
        <v>699</v>
      </c>
      <c r="C7" s="2497">
        <v>43256</v>
      </c>
    </row>
    <row r="8" spans="1:3" ht="63.75" x14ac:dyDescent="0.2">
      <c r="A8" s="2496"/>
      <c r="B8" s="2494" t="s">
        <v>700</v>
      </c>
      <c r="C8" s="2497">
        <v>43256</v>
      </c>
    </row>
    <row r="9" spans="1:3" x14ac:dyDescent="0.2">
      <c r="A9" s="2"/>
      <c r="B9" s="2492"/>
      <c r="C9" s="2491"/>
    </row>
    <row r="10" spans="1:3" x14ac:dyDescent="0.2">
      <c r="A10" s="2"/>
      <c r="B10" s="2492"/>
      <c r="C10" s="2491"/>
    </row>
    <row r="11" spans="1:3" x14ac:dyDescent="0.2">
      <c r="A11" s="2"/>
      <c r="B11" s="2493"/>
      <c r="C11" s="2491"/>
    </row>
    <row r="12" spans="1:3" x14ac:dyDescent="0.2">
      <c r="A12" s="2"/>
      <c r="B12" s="2494"/>
      <c r="C12" s="2491"/>
    </row>
    <row r="13" spans="1:3" x14ac:dyDescent="0.2">
      <c r="A13" s="2"/>
      <c r="B13" s="2494"/>
      <c r="C13" s="2491"/>
    </row>
    <row r="14" spans="1:3" x14ac:dyDescent="0.2">
      <c r="A14" s="2"/>
      <c r="B14" s="2494"/>
      <c r="C14" s="2491"/>
    </row>
    <row r="15" spans="1:3" x14ac:dyDescent="0.2">
      <c r="A15" s="2"/>
      <c r="B15" s="2494"/>
      <c r="C15" s="2491"/>
    </row>
    <row r="16" spans="1:3" x14ac:dyDescent="0.2">
      <c r="A16" s="2"/>
      <c r="B16" s="2494"/>
      <c r="C16" s="2491"/>
    </row>
    <row r="17" spans="1:3" x14ac:dyDescent="0.2">
      <c r="A17" s="2"/>
      <c r="B17" s="2494"/>
      <c r="C17" s="2491"/>
    </row>
    <row r="18" spans="1:3" x14ac:dyDescent="0.2">
      <c r="A18" s="2"/>
      <c r="B18" s="2494"/>
      <c r="C18" s="2491"/>
    </row>
    <row r="19" spans="1:3" x14ac:dyDescent="0.2">
      <c r="A19" s="2"/>
      <c r="B19" s="2494"/>
      <c r="C19" s="2491"/>
    </row>
    <row r="20" spans="1:3" x14ac:dyDescent="0.2">
      <c r="A20" s="2"/>
      <c r="B20" s="2494"/>
      <c r="C20" s="2491"/>
    </row>
    <row r="21" spans="1:3" x14ac:dyDescent="0.2">
      <c r="A21" s="2"/>
      <c r="B21" s="2494"/>
      <c r="C21" s="2491"/>
    </row>
    <row r="22" spans="1:3" x14ac:dyDescent="0.2">
      <c r="A22" s="2"/>
      <c r="B22" s="2494"/>
      <c r="C22" s="2491"/>
    </row>
    <row r="23" spans="1:3" x14ac:dyDescent="0.2">
      <c r="A23" s="2"/>
      <c r="B23" s="2494"/>
      <c r="C23" s="2491"/>
    </row>
    <row r="24" spans="1:3" x14ac:dyDescent="0.2">
      <c r="A24" s="2"/>
      <c r="B24" s="2494"/>
      <c r="C24" s="2491"/>
    </row>
    <row r="25" spans="1:3" x14ac:dyDescent="0.2">
      <c r="A25" s="2"/>
      <c r="B25" s="2494"/>
      <c r="C25" s="2491"/>
    </row>
    <row r="26" spans="1:3" x14ac:dyDescent="0.2">
      <c r="A26" s="2"/>
      <c r="B26" s="2494"/>
      <c r="C26" s="2491"/>
    </row>
    <row r="27" spans="1:3" x14ac:dyDescent="0.2">
      <c r="A27" s="2"/>
      <c r="B27" s="2494"/>
      <c r="C27" s="2491"/>
    </row>
    <row r="28" spans="1:3" x14ac:dyDescent="0.2">
      <c r="A28" s="2"/>
      <c r="B28" s="2494"/>
      <c r="C28" s="2491"/>
    </row>
    <row r="29" spans="1:3" x14ac:dyDescent="0.2">
      <c r="A29" s="2"/>
      <c r="B29" s="2494"/>
      <c r="C29" s="2491"/>
    </row>
    <row r="30" spans="1:3" x14ac:dyDescent="0.2">
      <c r="A30" s="2"/>
      <c r="B30" s="2494"/>
      <c r="C30" s="2491"/>
    </row>
    <row r="31" spans="1:3" x14ac:dyDescent="0.2">
      <c r="A31" s="2"/>
      <c r="B31" s="2494"/>
      <c r="C31" s="2491"/>
    </row>
    <row r="32" spans="1:3" x14ac:dyDescent="0.2">
      <c r="A32" s="2"/>
      <c r="B32" s="2494"/>
      <c r="C32" s="2491"/>
    </row>
    <row r="33" spans="1:3" x14ac:dyDescent="0.2">
      <c r="A33" s="2"/>
      <c r="B33" s="2494"/>
      <c r="C33" s="2491"/>
    </row>
    <row r="34" spans="1:3" x14ac:dyDescent="0.2">
      <c r="A34" s="2"/>
      <c r="B34" s="2494"/>
      <c r="C34" s="2491"/>
    </row>
    <row r="35" spans="1:3" x14ac:dyDescent="0.2">
      <c r="A35" s="2"/>
      <c r="B35" s="2494"/>
      <c r="C35" s="2491"/>
    </row>
    <row r="36" spans="1:3" x14ac:dyDescent="0.2">
      <c r="A36" s="2"/>
      <c r="B36" s="2494"/>
      <c r="C36" s="2491"/>
    </row>
    <row r="37" spans="1:3" x14ac:dyDescent="0.2">
      <c r="A37" s="2"/>
      <c r="B37" s="2494"/>
      <c r="C37" s="2491"/>
    </row>
    <row r="38" spans="1:3" x14ac:dyDescent="0.2">
      <c r="A38" s="2"/>
      <c r="B38" s="2494"/>
      <c r="C38" s="2491"/>
    </row>
    <row r="39" spans="1:3" x14ac:dyDescent="0.2">
      <c r="A39" s="2"/>
      <c r="B39" s="2494"/>
      <c r="C39" s="2491"/>
    </row>
    <row r="40" spans="1:3" x14ac:dyDescent="0.2">
      <c r="A40" s="2"/>
      <c r="B40" s="2494"/>
      <c r="C40" s="2491"/>
    </row>
    <row r="41" spans="1:3" x14ac:dyDescent="0.2">
      <c r="C41" s="2491"/>
    </row>
    <row r="42" spans="1:3" x14ac:dyDescent="0.2">
      <c r="C42" s="2"/>
    </row>
    <row r="43" spans="1:3" x14ac:dyDescent="0.2">
      <c r="C43" s="2"/>
    </row>
    <row r="44" spans="1:3" x14ac:dyDescent="0.2">
      <c r="C44" s="2"/>
    </row>
    <row r="45" spans="1:3" x14ac:dyDescent="0.2">
      <c r="C45" s="2"/>
    </row>
  </sheetData>
  <pageMargins left="0.7" right="0.7" top="0.75" bottom="0.75" header="0.3" footer="0.3"/>
  <pageSetup orientation="portrait" r:id="rId1"/>
  <headerFooter>
    <oddFooter>&amp;C&amp;1#&amp;"Calibri"&amp;12&amp;K008000Internal Use</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29">
    <tabColor indexed="44"/>
    <pageSetUpPr fitToPage="1"/>
  </sheetPr>
  <dimension ref="A1:O78"/>
  <sheetViews>
    <sheetView zoomScaleNormal="100" workbookViewId="0">
      <selection activeCell="W61" sqref="W61"/>
    </sheetView>
  </sheetViews>
  <sheetFormatPr defaultRowHeight="12.75" x14ac:dyDescent="0.2"/>
  <cols>
    <col min="1" max="1" width="39.28515625" style="168" customWidth="1"/>
    <col min="2" max="9" width="13.28515625" style="168" customWidth="1"/>
    <col min="10" max="12" width="13.28515625" style="245" customWidth="1"/>
    <col min="13" max="14" width="11.28515625" style="168" customWidth="1"/>
    <col min="15" max="15" width="6.85546875" style="168" bestFit="1" customWidth="1"/>
    <col min="16" max="16384" width="9.140625" style="168"/>
  </cols>
  <sheetData>
    <row r="1" spans="1:15" ht="15.75" x14ac:dyDescent="0.25">
      <c r="A1" s="3055" t="s">
        <v>77</v>
      </c>
      <c r="B1" s="3055"/>
      <c r="C1" s="3055"/>
      <c r="D1" s="3055"/>
      <c r="E1" s="3055"/>
      <c r="F1" s="3055"/>
      <c r="G1" s="3055"/>
      <c r="H1" s="3055"/>
      <c r="I1" s="3055"/>
      <c r="J1" s="3055"/>
      <c r="K1" s="3055"/>
      <c r="L1" s="3055"/>
      <c r="M1" s="3055"/>
      <c r="N1" s="1914"/>
      <c r="O1" s="1914"/>
    </row>
    <row r="2" spans="1:15" x14ac:dyDescent="0.2">
      <c r="A2" s="169"/>
    </row>
    <row r="3" spans="1:15" ht="15.75" x14ac:dyDescent="0.25">
      <c r="A3" s="172" t="s">
        <v>199</v>
      </c>
    </row>
    <row r="4" spans="1:15" x14ac:dyDescent="0.2">
      <c r="A4" s="169"/>
      <c r="O4" s="245"/>
    </row>
    <row r="5" spans="1:15" s="284" customFormat="1" x14ac:dyDescent="0.2">
      <c r="A5" s="242"/>
      <c r="J5" s="794"/>
      <c r="K5" s="794"/>
      <c r="L5" s="794"/>
      <c r="O5" s="245"/>
    </row>
    <row r="6" spans="1:15" s="284" customFormat="1" x14ac:dyDescent="0.2">
      <c r="A6" s="242"/>
      <c r="B6" s="243">
        <v>2008</v>
      </c>
      <c r="C6" s="243">
        <v>2009</v>
      </c>
      <c r="D6" s="243">
        <v>2010</v>
      </c>
      <c r="E6" s="243">
        <v>2011</v>
      </c>
      <c r="F6" s="243">
        <v>2012</v>
      </c>
      <c r="G6" s="243">
        <v>2013</v>
      </c>
      <c r="H6" s="243">
        <v>2014</v>
      </c>
      <c r="I6" s="243">
        <v>2015</v>
      </c>
      <c r="J6" s="243">
        <v>2016</v>
      </c>
      <c r="K6" s="243">
        <v>2017</v>
      </c>
      <c r="L6" s="243">
        <v>2018</v>
      </c>
      <c r="M6" s="245"/>
    </row>
    <row r="7" spans="1:15" s="284"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c r="M7" s="245"/>
    </row>
    <row r="8" spans="1:15" s="284" customFormat="1" x14ac:dyDescent="0.2">
      <c r="A8" s="244"/>
      <c r="H8" s="245"/>
      <c r="I8" s="575"/>
      <c r="J8" s="575"/>
      <c r="K8" s="575"/>
      <c r="L8" s="575"/>
      <c r="M8" s="245"/>
    </row>
    <row r="9" spans="1:15" s="284" customFormat="1" x14ac:dyDescent="0.2">
      <c r="A9" s="285" t="s">
        <v>53</v>
      </c>
      <c r="B9" s="287">
        <v>5462</v>
      </c>
      <c r="C9" s="287">
        <v>30918.400000000001</v>
      </c>
      <c r="D9" s="287">
        <v>11384.63</v>
      </c>
      <c r="E9" s="287">
        <v>45279.840000000004</v>
      </c>
      <c r="F9" s="287">
        <v>132431</v>
      </c>
      <c r="G9" s="252">
        <v>196923.26</v>
      </c>
      <c r="H9" s="252">
        <v>186667.74</v>
      </c>
      <c r="I9" s="252">
        <v>143000</v>
      </c>
      <c r="J9" s="252">
        <f>'SCG Table C 2016'!$C$21</f>
        <v>143000</v>
      </c>
      <c r="K9" s="252">
        <f>'SCG Table C 2017'!$C$21</f>
        <v>180628</v>
      </c>
      <c r="L9" s="252">
        <f>'SCG Table C 2019'!$C$20</f>
        <v>81488</v>
      </c>
      <c r="M9" s="245"/>
    </row>
    <row r="10" spans="1:15" s="284" customFormat="1" x14ac:dyDescent="0.2">
      <c r="A10" s="285" t="s">
        <v>45</v>
      </c>
      <c r="B10" s="287">
        <v>1210</v>
      </c>
      <c r="C10" s="287">
        <v>148.76</v>
      </c>
      <c r="D10" s="287">
        <v>4500.62</v>
      </c>
      <c r="E10" s="287">
        <v>368.38</v>
      </c>
      <c r="F10" s="287">
        <v>37690</v>
      </c>
      <c r="G10" s="252">
        <v>-7298.54</v>
      </c>
      <c r="H10" s="252">
        <v>107443</v>
      </c>
      <c r="I10" s="252">
        <v>40000</v>
      </c>
      <c r="J10" s="252">
        <f>'SCG Table C 2016'!$E$21</f>
        <v>119230</v>
      </c>
      <c r="K10" s="252">
        <f>'SCG Table C 2017'!$E$21</f>
        <v>12000</v>
      </c>
      <c r="L10" s="252">
        <f>'SCG Table C 2019'!$E$20</f>
        <v>13999.86</v>
      </c>
      <c r="M10" s="245"/>
    </row>
    <row r="11" spans="1:15" s="284" customFormat="1" x14ac:dyDescent="0.2">
      <c r="A11" s="285" t="s">
        <v>202</v>
      </c>
      <c r="B11" s="287">
        <v>0</v>
      </c>
      <c r="C11" s="287">
        <v>0</v>
      </c>
      <c r="D11" s="287">
        <v>0</v>
      </c>
      <c r="E11" s="287">
        <v>0</v>
      </c>
      <c r="F11" s="287">
        <v>0</v>
      </c>
      <c r="G11" s="252">
        <v>0</v>
      </c>
      <c r="H11" s="252">
        <v>0</v>
      </c>
      <c r="I11" s="252">
        <v>2000</v>
      </c>
      <c r="J11" s="252">
        <f>'SCG Table C 2016'!$D$21</f>
        <v>3555</v>
      </c>
      <c r="K11" s="252">
        <f>'SCG Table C 2017'!$D$21</f>
        <v>2000</v>
      </c>
      <c r="L11" s="252">
        <f>'SCG Table C 2019'!$D$20</f>
        <v>2000</v>
      </c>
      <c r="M11" s="245"/>
    </row>
    <row r="12" spans="1:15" s="284" customFormat="1" ht="14.25" x14ac:dyDescent="0.2">
      <c r="A12" s="285" t="s">
        <v>2</v>
      </c>
      <c r="B12" s="287">
        <v>647077</v>
      </c>
      <c r="C12" s="287">
        <v>571679</v>
      </c>
      <c r="D12" s="287">
        <v>604050.44999999995</v>
      </c>
      <c r="E12" s="287">
        <v>1042890.5499999999</v>
      </c>
      <c r="F12" s="287">
        <v>1175422</v>
      </c>
      <c r="G12" s="252">
        <v>502697.4</v>
      </c>
      <c r="H12" s="252">
        <v>1178371.69</v>
      </c>
      <c r="I12" s="257">
        <v>769525</v>
      </c>
      <c r="J12" s="257">
        <f>'SCG Table C 2016'!$F$21</f>
        <v>961704</v>
      </c>
      <c r="K12" s="257">
        <f>'SCG Table C 2017'!$F$21</f>
        <v>1063401</v>
      </c>
      <c r="L12" s="257">
        <f>'SCG Table C 2019'!$F$20</f>
        <v>1899039.73</v>
      </c>
      <c r="M12" s="947" t="s">
        <v>326</v>
      </c>
    </row>
    <row r="13" spans="1:15" s="284" customFormat="1" ht="14.25" x14ac:dyDescent="0.2">
      <c r="A13" s="285" t="s">
        <v>14</v>
      </c>
      <c r="B13" s="287">
        <v>2952</v>
      </c>
      <c r="C13" s="287">
        <v>1143.6300000000001</v>
      </c>
      <c r="D13" s="287">
        <v>1865.17</v>
      </c>
      <c r="E13" s="287">
        <v>1260.1200000000001</v>
      </c>
      <c r="F13" s="287">
        <v>2170</v>
      </c>
      <c r="G13" s="252">
        <v>2045</v>
      </c>
      <c r="H13" s="252">
        <v>7750</v>
      </c>
      <c r="I13" s="252">
        <v>23600</v>
      </c>
      <c r="J13" s="252">
        <f>'SCG Table C 2016'!$G$21</f>
        <v>3555</v>
      </c>
      <c r="K13" s="252">
        <f>'SCG Table C 2017'!$G$21</f>
        <v>6800</v>
      </c>
      <c r="L13" s="252">
        <f>'SCG Table C 2019'!$G$20</f>
        <v>6800</v>
      </c>
      <c r="M13" s="947" t="s">
        <v>327</v>
      </c>
    </row>
    <row r="14" spans="1:15" s="284" customFormat="1" ht="15" x14ac:dyDescent="0.35">
      <c r="A14" s="285" t="s">
        <v>46</v>
      </c>
      <c r="B14" s="292">
        <v>142</v>
      </c>
      <c r="C14" s="292">
        <v>1848.9</v>
      </c>
      <c r="D14" s="292">
        <v>1736.96</v>
      </c>
      <c r="E14" s="292">
        <v>273.64</v>
      </c>
      <c r="F14" s="292">
        <v>2802</v>
      </c>
      <c r="G14" s="256">
        <v>2957</v>
      </c>
      <c r="H14" s="256">
        <v>3158</v>
      </c>
      <c r="I14" s="256">
        <v>8000</v>
      </c>
      <c r="J14" s="256">
        <f>'SCG Table C 2016'!$H$21</f>
        <v>4976</v>
      </c>
      <c r="K14" s="256">
        <f>'SCG Table C 2017'!$H$21</f>
        <v>8000</v>
      </c>
      <c r="L14" s="256">
        <f>'SCG Table C 2019'!$H$20</f>
        <v>8000</v>
      </c>
      <c r="M14" s="245"/>
    </row>
    <row r="15" spans="1:15" s="284" customFormat="1" x14ac:dyDescent="0.2">
      <c r="A15" s="285" t="s">
        <v>87</v>
      </c>
      <c r="B15" s="287">
        <f t="shared" ref="B15:J15" si="0">SUM(B9:B14)</f>
        <v>656843</v>
      </c>
      <c r="C15" s="287">
        <f t="shared" si="0"/>
        <v>605738.69000000006</v>
      </c>
      <c r="D15" s="287">
        <f t="shared" si="0"/>
        <v>623537.82999999996</v>
      </c>
      <c r="E15" s="287">
        <f t="shared" si="0"/>
        <v>1090072.53</v>
      </c>
      <c r="F15" s="287">
        <f t="shared" si="0"/>
        <v>1350515</v>
      </c>
      <c r="G15" s="513">
        <f t="shared" si="0"/>
        <v>697324.12</v>
      </c>
      <c r="H15" s="252">
        <f>SUM(H9:H14)</f>
        <v>1483390.43</v>
      </c>
      <c r="I15" s="504">
        <f t="shared" si="0"/>
        <v>986125</v>
      </c>
      <c r="J15" s="504">
        <f t="shared" si="0"/>
        <v>1236020</v>
      </c>
      <c r="K15" s="504">
        <f>SUM(K9:K14)</f>
        <v>1272829</v>
      </c>
      <c r="L15" s="504">
        <f>SUM(L9:L14)</f>
        <v>2011327.59</v>
      </c>
      <c r="M15" s="246" t="s">
        <v>201</v>
      </c>
    </row>
    <row r="16" spans="1:15" s="284" customFormat="1" x14ac:dyDescent="0.2">
      <c r="A16" s="285"/>
      <c r="B16" s="260"/>
      <c r="H16" s="255"/>
      <c r="M16" s="245"/>
    </row>
    <row r="17" spans="1:15" s="284" customFormat="1" ht="15" x14ac:dyDescent="0.35">
      <c r="A17" s="298"/>
      <c r="B17" s="289"/>
      <c r="G17" s="294"/>
      <c r="H17" s="245"/>
      <c r="I17" s="294"/>
      <c r="J17" s="294"/>
      <c r="K17" s="294"/>
      <c r="L17" s="294"/>
      <c r="M17" s="263"/>
    </row>
    <row r="18" spans="1:15" s="284" customFormat="1" ht="25.5" x14ac:dyDescent="0.2">
      <c r="A18" s="247" t="s">
        <v>83</v>
      </c>
      <c r="B18" s="264" t="s">
        <v>209</v>
      </c>
      <c r="C18" s="264" t="s">
        <v>218</v>
      </c>
      <c r="D18" s="264" t="s">
        <v>257</v>
      </c>
      <c r="E18" s="264" t="s">
        <v>321</v>
      </c>
      <c r="F18" s="264" t="s">
        <v>479</v>
      </c>
      <c r="G18" s="264" t="s">
        <v>567</v>
      </c>
      <c r="H18" s="264" t="s">
        <v>568</v>
      </c>
      <c r="I18" s="264" t="s">
        <v>334</v>
      </c>
      <c r="J18" s="264" t="s">
        <v>564</v>
      </c>
      <c r="K18" s="264" t="s">
        <v>565</v>
      </c>
      <c r="L18" s="264" t="s">
        <v>566</v>
      </c>
      <c r="M18" s="246"/>
      <c r="N18" s="285"/>
      <c r="O18" s="285"/>
    </row>
    <row r="19" spans="1:15" s="284" customFormat="1" x14ac:dyDescent="0.2">
      <c r="H19" s="245"/>
      <c r="I19" s="180"/>
      <c r="J19" s="180"/>
      <c r="K19" s="180"/>
      <c r="L19" s="180"/>
      <c r="M19" s="246"/>
      <c r="N19" s="285"/>
      <c r="O19" s="285"/>
    </row>
    <row r="20" spans="1:15" s="284" customFormat="1" x14ac:dyDescent="0.2">
      <c r="A20" s="284" t="s">
        <v>49</v>
      </c>
      <c r="B20" s="542">
        <v>127002</v>
      </c>
      <c r="C20" s="302">
        <v>132675</v>
      </c>
      <c r="D20" s="302">
        <v>232842</v>
      </c>
      <c r="E20" s="302">
        <v>165151</v>
      </c>
      <c r="F20" s="302">
        <v>387417</v>
      </c>
      <c r="G20" s="302">
        <v>290312</v>
      </c>
      <c r="H20" s="531">
        <v>200718</v>
      </c>
      <c r="I20" s="506">
        <v>166575</v>
      </c>
      <c r="J20" s="506">
        <f>'2016 Summary Table B'!$M$33</f>
        <v>181028.91592690937</v>
      </c>
      <c r="K20" s="506">
        <f>'2017 Summary Table B'!$M$33</f>
        <v>147742.44718648461</v>
      </c>
      <c r="L20" s="506" t="e">
        <f>'2019 Summary Table B'!$M$33</f>
        <v>#REF!</v>
      </c>
      <c r="M20" s="246" t="s">
        <v>64</v>
      </c>
      <c r="N20" s="285"/>
      <c r="O20" s="285"/>
    </row>
    <row r="21" spans="1:15" s="284" customFormat="1" x14ac:dyDescent="0.2">
      <c r="A21" s="284" t="s">
        <v>50</v>
      </c>
      <c r="B21" s="542">
        <v>1907123</v>
      </c>
      <c r="C21" s="302">
        <v>2008951</v>
      </c>
      <c r="D21" s="302">
        <v>3152235</v>
      </c>
      <c r="E21" s="302">
        <v>2555483</v>
      </c>
      <c r="F21" s="302">
        <v>5325191</v>
      </c>
      <c r="G21" s="302">
        <v>4484184</v>
      </c>
      <c r="H21" s="531">
        <v>3338966</v>
      </c>
      <c r="I21" s="506">
        <v>2558591</v>
      </c>
      <c r="J21" s="506">
        <f>'2016 Summary Table B'!$N$33</f>
        <v>2916343.7567835124</v>
      </c>
      <c r="K21" s="506">
        <f>'2017 Summary Table B'!$N$33</f>
        <v>2346690.068064352</v>
      </c>
      <c r="L21" s="506" t="e">
        <f>'2019 Summary Table B'!$N$33</f>
        <v>#REF!</v>
      </c>
      <c r="M21" s="246" t="s">
        <v>10</v>
      </c>
      <c r="N21" s="285"/>
      <c r="O21" s="285"/>
    </row>
    <row r="22" spans="1:15" s="284" customFormat="1" x14ac:dyDescent="0.2">
      <c r="H22" s="527"/>
      <c r="I22" s="180"/>
      <c r="J22" s="180"/>
      <c r="K22" s="180"/>
      <c r="L22" s="180"/>
      <c r="M22" s="246"/>
      <c r="N22" s="285"/>
      <c r="O22" s="285"/>
    </row>
    <row r="23" spans="1:15" s="284" customFormat="1" x14ac:dyDescent="0.2">
      <c r="A23" s="284" t="s">
        <v>51</v>
      </c>
      <c r="B23" s="305">
        <f t="shared" ref="B23:J23" si="1">SUM(B15/B20)</f>
        <v>5.171910678571991</v>
      </c>
      <c r="C23" s="305">
        <f t="shared" si="1"/>
        <v>4.5655827397776525</v>
      </c>
      <c r="D23" s="305">
        <f t="shared" si="1"/>
        <v>2.6779439705894981</v>
      </c>
      <c r="E23" s="305">
        <f t="shared" si="1"/>
        <v>6.6004597610671452</v>
      </c>
      <c r="F23" s="305">
        <f t="shared" si="1"/>
        <v>3.4859466672861541</v>
      </c>
      <c r="G23" s="269">
        <f t="shared" si="1"/>
        <v>2.4019817300008266</v>
      </c>
      <c r="H23" s="528">
        <f t="shared" si="1"/>
        <v>7.3904205402604646</v>
      </c>
      <c r="I23" s="269">
        <f t="shared" si="1"/>
        <v>5.9200060033018156</v>
      </c>
      <c r="J23" s="269">
        <f t="shared" si="1"/>
        <v>6.8277490017066915</v>
      </c>
      <c r="K23" s="269">
        <f>SUM(K15/K20)</f>
        <v>8.6151882836582505</v>
      </c>
      <c r="L23" s="269" t="e">
        <f>SUM(L15/L20)</f>
        <v>#REF!</v>
      </c>
      <c r="M23" s="246" t="s">
        <v>65</v>
      </c>
      <c r="N23" s="285"/>
      <c r="O23" s="285"/>
    </row>
    <row r="24" spans="1:15" s="284" customFormat="1" x14ac:dyDescent="0.2">
      <c r="A24" s="284" t="s">
        <v>52</v>
      </c>
      <c r="B24" s="305">
        <f t="shared" ref="B24:J24" si="2">SUM(B15/B21)</f>
        <v>0.34441564597563973</v>
      </c>
      <c r="C24" s="305">
        <f t="shared" si="2"/>
        <v>0.30151989272013108</v>
      </c>
      <c r="D24" s="305">
        <f t="shared" si="2"/>
        <v>0.19780816785550567</v>
      </c>
      <c r="E24" s="305">
        <f t="shared" si="2"/>
        <v>0.42656223109290886</v>
      </c>
      <c r="F24" s="305">
        <f t="shared" si="2"/>
        <v>0.25360874379904869</v>
      </c>
      <c r="G24" s="269">
        <f t="shared" si="2"/>
        <v>0.15550747248551799</v>
      </c>
      <c r="H24" s="528">
        <f>SUM(H15/H21)</f>
        <v>0.44426640762439629</v>
      </c>
      <c r="I24" s="269">
        <f t="shared" si="2"/>
        <v>0.38541720814307562</v>
      </c>
      <c r="J24" s="269">
        <f t="shared" si="2"/>
        <v>0.42382520823376069</v>
      </c>
      <c r="K24" s="269">
        <f>SUM(K15/K21)</f>
        <v>0.54239331274363067</v>
      </c>
      <c r="L24" s="269" t="e">
        <f>SUM(L15/L21)</f>
        <v>#REF!</v>
      </c>
      <c r="M24" s="246" t="s">
        <v>66</v>
      </c>
      <c r="N24" s="285"/>
      <c r="O24" s="285"/>
    </row>
    <row r="25" spans="1:15" s="284" customFormat="1" x14ac:dyDescent="0.2">
      <c r="H25" s="249"/>
      <c r="I25" s="245"/>
      <c r="J25" s="245"/>
      <c r="K25" s="245"/>
      <c r="L25" s="245"/>
      <c r="M25" s="246"/>
      <c r="N25" s="285"/>
      <c r="O25" s="285"/>
    </row>
    <row r="26" spans="1:15" s="284" customFormat="1" x14ac:dyDescent="0.2">
      <c r="A26" s="284" t="s">
        <v>84</v>
      </c>
      <c r="B26" s="513">
        <f>C26/C21*B21</f>
        <v>1522333.3531814581</v>
      </c>
      <c r="C26" s="287">
        <f>1034532.41438735/1296024*C21</f>
        <v>1603616.0815045717</v>
      </c>
      <c r="D26" s="287">
        <v>2818789.8194847903</v>
      </c>
      <c r="E26" s="287">
        <v>2001654.8755626762</v>
      </c>
      <c r="F26" s="287">
        <f>+F21/3455834*1816144</f>
        <v>2798546.945109053</v>
      </c>
      <c r="G26" s="295">
        <v>2484824</v>
      </c>
      <c r="H26" s="257">
        <v>2722989</v>
      </c>
      <c r="I26" s="257">
        <v>2403612</v>
      </c>
      <c r="J26" s="257">
        <f>'2016 Summary Table B'!$F$33</f>
        <v>2012950.2013244631</v>
      </c>
      <c r="K26" s="257">
        <f>'2017 Summary Table B'!$F$33</f>
        <v>1561812.2371554014</v>
      </c>
      <c r="L26" s="257" t="e">
        <f>'2019 Summary Table B'!$F$33</f>
        <v>#REF!</v>
      </c>
      <c r="M26" s="246" t="s">
        <v>67</v>
      </c>
      <c r="N26" s="285"/>
      <c r="O26" s="285"/>
    </row>
    <row r="27" spans="1:15" s="284" customFormat="1" x14ac:dyDescent="0.2">
      <c r="A27" s="284" t="s">
        <v>85</v>
      </c>
      <c r="B27" s="306">
        <f t="shared" ref="B27:G27" si="3">SUM(B26/B15)</f>
        <v>2.3176517876896887</v>
      </c>
      <c r="C27" s="306">
        <f t="shared" si="3"/>
        <v>2.6473727169459353</v>
      </c>
      <c r="D27" s="306">
        <f t="shared" si="3"/>
        <v>4.520639620991064</v>
      </c>
      <c r="E27" s="306">
        <f t="shared" si="3"/>
        <v>1.836258432787657</v>
      </c>
      <c r="F27" s="306">
        <f t="shared" si="3"/>
        <v>2.0722072284343773</v>
      </c>
      <c r="G27" s="271">
        <f t="shared" si="3"/>
        <v>3.5633702158474025</v>
      </c>
      <c r="H27" s="529">
        <f>SUM(H26/H15)</f>
        <v>1.835652263173897</v>
      </c>
      <c r="I27" s="271">
        <f>SUM(I26/I15)</f>
        <v>2.4374313601216886</v>
      </c>
      <c r="J27" s="271">
        <f>SUM(J26/J15)</f>
        <v>1.628574134176197</v>
      </c>
      <c r="K27" s="271">
        <f>SUM(K26/K15)</f>
        <v>1.2270401107732472</v>
      </c>
      <c r="L27" s="271" t="e">
        <f>SUM(L26/L15)</f>
        <v>#REF!</v>
      </c>
      <c r="M27" s="246" t="s">
        <v>68</v>
      </c>
      <c r="N27" s="285"/>
      <c r="O27" s="285"/>
    </row>
    <row r="28" spans="1:15" s="284" customFormat="1" x14ac:dyDescent="0.2">
      <c r="A28" s="284" t="s">
        <v>214</v>
      </c>
      <c r="B28" s="307">
        <v>12</v>
      </c>
      <c r="C28" s="307">
        <v>28</v>
      </c>
      <c r="D28" s="307">
        <v>45</v>
      </c>
      <c r="E28" s="307">
        <v>46</v>
      </c>
      <c r="F28" s="307">
        <v>90</v>
      </c>
      <c r="G28" s="301">
        <v>100</v>
      </c>
      <c r="H28" s="534">
        <v>87</v>
      </c>
      <c r="I28" s="506">
        <v>26</v>
      </c>
      <c r="J28" s="506">
        <f>'2016 Summary Table B'!$K$33</f>
        <v>84.816200340729267</v>
      </c>
      <c r="K28" s="506">
        <f>'2017 Summary Table B'!$K$33</f>
        <v>93.78523148342093</v>
      </c>
      <c r="L28" s="506" t="e">
        <f>'2019 Summary Table B'!$K$33</f>
        <v>#REF!</v>
      </c>
      <c r="M28" s="246" t="s">
        <v>69</v>
      </c>
      <c r="N28" s="285"/>
      <c r="O28" s="285"/>
    </row>
    <row r="29" spans="1:15" s="284" customFormat="1" x14ac:dyDescent="0.2">
      <c r="A29" s="284" t="s">
        <v>215</v>
      </c>
      <c r="B29" s="301">
        <f>SUM(B21/B28)</f>
        <v>158926.91666666666</v>
      </c>
      <c r="C29" s="301">
        <f>SUM(C21/C28)</f>
        <v>71748.25</v>
      </c>
      <c r="D29" s="301">
        <f>SUM(D21/D28)</f>
        <v>70049.666666666672</v>
      </c>
      <c r="E29" s="301">
        <f>SUM(E21/E28)</f>
        <v>55553.978260869568</v>
      </c>
      <c r="F29" s="301">
        <f>SUM(F21/F28)</f>
        <v>59168.788888888892</v>
      </c>
      <c r="G29" s="312">
        <f>G21/G28</f>
        <v>44841.84</v>
      </c>
      <c r="H29" s="282">
        <f>SUM(H21/H28)</f>
        <v>38378.919540229886</v>
      </c>
      <c r="I29" s="266">
        <f>SUM(I21/I28)</f>
        <v>98407.346153846156</v>
      </c>
      <c r="J29" s="266">
        <f>SUM(J21/J28)</f>
        <v>34384.277355832761</v>
      </c>
      <c r="K29" s="266">
        <f>SUM(K21/K28)</f>
        <v>25021.957412124026</v>
      </c>
      <c r="L29" s="266" t="e">
        <f>SUM(L21/L28)</f>
        <v>#REF!</v>
      </c>
      <c r="M29" s="246" t="s">
        <v>70</v>
      </c>
      <c r="N29" s="285"/>
      <c r="O29" s="285"/>
    </row>
    <row r="30" spans="1:15" s="284" customFormat="1" x14ac:dyDescent="0.2">
      <c r="A30" s="284" t="s">
        <v>216</v>
      </c>
      <c r="B30" s="295">
        <f>SUM(B15/B28)</f>
        <v>54736.916666666664</v>
      </c>
      <c r="C30" s="295">
        <f>SUM(C15/C28)</f>
        <v>21633.524642857144</v>
      </c>
      <c r="D30" s="295">
        <f>SUM(D15/D28)</f>
        <v>13856.396222222222</v>
      </c>
      <c r="E30" s="295">
        <f>SUM(E15/E28)</f>
        <v>23697.22891304348</v>
      </c>
      <c r="F30" s="295">
        <f>SUM(F15/F28)</f>
        <v>15005.722222222223</v>
      </c>
      <c r="G30" s="283">
        <f>G15/G28</f>
        <v>6973.2412000000004</v>
      </c>
      <c r="H30" s="530">
        <f>SUM(H15/H28)</f>
        <v>17050.464712643676</v>
      </c>
      <c r="I30" s="257">
        <f>SUM(I15/I28)</f>
        <v>37927.884615384617</v>
      </c>
      <c r="J30" s="257">
        <f>SUM(J15/J28)</f>
        <v>14572.923510303202</v>
      </c>
      <c r="K30" s="257">
        <f>SUM(K15/K28)</f>
        <v>13571.742372091994</v>
      </c>
      <c r="L30" s="257" t="e">
        <f>SUM(L15/L28)</f>
        <v>#REF!</v>
      </c>
      <c r="M30" s="246" t="s">
        <v>72</v>
      </c>
      <c r="N30" s="285"/>
      <c r="O30" s="285"/>
    </row>
    <row r="31" spans="1:15" s="284" customFormat="1" x14ac:dyDescent="0.2">
      <c r="A31" s="284" t="s">
        <v>217</v>
      </c>
      <c r="B31" s="295">
        <f>SUM(B26/B28)</f>
        <v>126861.11276512151</v>
      </c>
      <c r="C31" s="295">
        <f>SUM(C26/C28)</f>
        <v>57272.002910877563</v>
      </c>
      <c r="D31" s="295">
        <f>SUM(D26/D28)</f>
        <v>62639.773766328675</v>
      </c>
      <c r="E31" s="295">
        <f>SUM(E26/E28)</f>
        <v>43514.236425275572</v>
      </c>
      <c r="F31" s="295">
        <f>SUM(F26/F28)</f>
        <v>31094.966056767254</v>
      </c>
      <c r="G31" s="283">
        <f>G26/G28</f>
        <v>24848.240000000002</v>
      </c>
      <c r="H31" s="530">
        <f>SUM(H26/H28)</f>
        <v>31298.724137931036</v>
      </c>
      <c r="I31" s="257">
        <f>SUM(I26/I28)</f>
        <v>92446.61538461539</v>
      </c>
      <c r="J31" s="257">
        <f>SUM(J26/J28)</f>
        <v>23733.086288207985</v>
      </c>
      <c r="K31" s="257">
        <f>SUM(K26/K28)</f>
        <v>16653.072263637732</v>
      </c>
      <c r="L31" s="257" t="e">
        <f>SUM(L26/L28)</f>
        <v>#REF!</v>
      </c>
      <c r="M31" s="246" t="s">
        <v>73</v>
      </c>
      <c r="N31" s="285"/>
      <c r="O31" s="285"/>
    </row>
    <row r="32" spans="1:15" s="284" customFormat="1" ht="14.25" x14ac:dyDescent="0.2">
      <c r="A32" s="704" t="s">
        <v>324</v>
      </c>
      <c r="B32" s="945">
        <f t="shared" ref="B32:J32" si="4">B12/B21</f>
        <v>0.33929484359425166</v>
      </c>
      <c r="C32" s="945">
        <f t="shared" si="4"/>
        <v>0.28456592520175955</v>
      </c>
      <c r="D32" s="945">
        <f t="shared" si="4"/>
        <v>0.19162608434967568</v>
      </c>
      <c r="E32" s="945">
        <f t="shared" si="4"/>
        <v>0.40809919299013137</v>
      </c>
      <c r="F32" s="945">
        <f t="shared" si="4"/>
        <v>0.2207286086076537</v>
      </c>
      <c r="G32" s="945">
        <f t="shared" si="4"/>
        <v>0.11210454343532737</v>
      </c>
      <c r="H32" s="945">
        <f t="shared" si="4"/>
        <v>0.35291515097787757</v>
      </c>
      <c r="I32" s="945">
        <f t="shared" si="4"/>
        <v>0.30076123929146942</v>
      </c>
      <c r="J32" s="945">
        <f t="shared" si="4"/>
        <v>0.3297635944881479</v>
      </c>
      <c r="K32" s="945">
        <f>K12/K21</f>
        <v>0.45314931633777167</v>
      </c>
      <c r="L32" s="945" t="e">
        <f>L12/L21</f>
        <v>#REF!</v>
      </c>
      <c r="M32" s="557" t="s">
        <v>328</v>
      </c>
      <c r="N32" s="285"/>
      <c r="O32" s="285"/>
    </row>
    <row r="33" spans="1:15" s="284" customFormat="1" ht="14.25" x14ac:dyDescent="0.2">
      <c r="A33" s="704" t="s">
        <v>325</v>
      </c>
      <c r="B33" s="946">
        <f t="shared" ref="B33:J33" si="5">B13/B21</f>
        <v>1.5478812850560767E-3</v>
      </c>
      <c r="C33" s="946">
        <f t="shared" si="5"/>
        <v>5.6926724444747543E-4</v>
      </c>
      <c r="D33" s="946">
        <f t="shared" si="5"/>
        <v>5.916976367561429E-4</v>
      </c>
      <c r="E33" s="946">
        <f t="shared" si="5"/>
        <v>4.9310443466068848E-4</v>
      </c>
      <c r="F33" s="946">
        <f t="shared" si="5"/>
        <v>4.0749712076055113E-4</v>
      </c>
      <c r="G33" s="946">
        <f t="shared" si="5"/>
        <v>4.5604729868355088E-4</v>
      </c>
      <c r="H33" s="946">
        <f t="shared" si="5"/>
        <v>2.3210778426614705E-3</v>
      </c>
      <c r="I33" s="946">
        <f t="shared" si="5"/>
        <v>9.2238267077465689E-3</v>
      </c>
      <c r="J33" s="946">
        <f t="shared" si="5"/>
        <v>1.2189920998616681E-3</v>
      </c>
      <c r="K33" s="946">
        <f>K13/K21</f>
        <v>2.8976983763386037E-3</v>
      </c>
      <c r="L33" s="946" t="e">
        <f>L13/L21</f>
        <v>#REF!</v>
      </c>
      <c r="M33" s="557" t="s">
        <v>329</v>
      </c>
      <c r="N33" s="285"/>
      <c r="O33" s="285"/>
    </row>
    <row r="34" spans="1:15" s="284" customFormat="1" x14ac:dyDescent="0.2">
      <c r="A34" s="247"/>
      <c r="B34" s="300"/>
      <c r="C34" s="250"/>
      <c r="D34" s="250"/>
      <c r="I34" s="296"/>
      <c r="J34" s="245"/>
      <c r="K34" s="245"/>
      <c r="L34" s="245"/>
      <c r="M34" s="296"/>
      <c r="N34" s="296"/>
      <c r="O34" s="245"/>
    </row>
    <row r="35" spans="1:15" s="284" customFormat="1" x14ac:dyDescent="0.2">
      <c r="A35" s="248" t="s">
        <v>194</v>
      </c>
      <c r="B35" s="270"/>
      <c r="C35" s="244"/>
      <c r="D35" s="245"/>
      <c r="G35" s="276" t="s">
        <v>191</v>
      </c>
      <c r="H35" s="245"/>
      <c r="I35" s="245"/>
      <c r="J35" s="245"/>
      <c r="K35" s="245"/>
      <c r="L35" s="245"/>
      <c r="M35" s="296"/>
      <c r="N35" s="296"/>
      <c r="O35" s="245"/>
    </row>
    <row r="36" spans="1:15" s="284" customFormat="1" x14ac:dyDescent="0.2">
      <c r="A36" s="273" t="s">
        <v>185</v>
      </c>
      <c r="B36" s="250" t="s">
        <v>1</v>
      </c>
      <c r="C36" s="250" t="s">
        <v>186</v>
      </c>
      <c r="D36" s="250" t="s">
        <v>18</v>
      </c>
      <c r="G36" s="273" t="s">
        <v>185</v>
      </c>
      <c r="H36" s="250" t="s">
        <v>188</v>
      </c>
      <c r="I36" s="250" t="s">
        <v>186</v>
      </c>
      <c r="J36" s="250" t="s">
        <v>189</v>
      </c>
      <c r="K36" s="245"/>
      <c r="L36" s="245"/>
      <c r="M36" s="296"/>
      <c r="N36" s="296"/>
      <c r="O36" s="245"/>
    </row>
    <row r="37" spans="1:15" s="284" customFormat="1" x14ac:dyDescent="0.2">
      <c r="A37" s="273">
        <v>2008</v>
      </c>
      <c r="B37" s="274">
        <v>174509</v>
      </c>
      <c r="C37" s="283">
        <v>656843</v>
      </c>
      <c r="D37" s="275">
        <f t="shared" ref="D37:D43" si="6">IF(ISERROR(C37/B37),"-",(C37/B37))</f>
        <v>3.7639491372937783</v>
      </c>
      <c r="E37" s="296"/>
      <c r="F37" s="296"/>
      <c r="G37" s="273">
        <v>2008</v>
      </c>
      <c r="H37" s="283" t="s">
        <v>187</v>
      </c>
      <c r="I37" s="278">
        <v>127002</v>
      </c>
      <c r="J37" s="275" t="str">
        <f t="shared" ref="J37:J43" si="7">IF(ISERROR(I37/H37),"-",(I37/H37))</f>
        <v>-</v>
      </c>
      <c r="K37" s="245"/>
      <c r="L37" s="245"/>
      <c r="M37" s="296"/>
      <c r="N37" s="296"/>
      <c r="O37" s="245"/>
    </row>
    <row r="38" spans="1:15" s="284" customFormat="1" x14ac:dyDescent="0.2">
      <c r="A38" s="273">
        <v>2009</v>
      </c>
      <c r="B38" s="274">
        <f>F15</f>
        <v>1350515</v>
      </c>
      <c r="C38" s="283">
        <f>+C15</f>
        <v>605738.69000000006</v>
      </c>
      <c r="D38" s="275">
        <f t="shared" si="6"/>
        <v>0.44852422224114508</v>
      </c>
      <c r="G38" s="273">
        <v>2009</v>
      </c>
      <c r="H38" s="278">
        <v>86402</v>
      </c>
      <c r="I38" s="278">
        <f>+C20</f>
        <v>132675</v>
      </c>
      <c r="J38" s="275">
        <f t="shared" si="7"/>
        <v>1.5355547325293395</v>
      </c>
      <c r="K38" s="245"/>
      <c r="L38" s="245"/>
      <c r="M38" s="296"/>
      <c r="N38" s="296"/>
      <c r="O38" s="245"/>
    </row>
    <row r="39" spans="1:15" s="284" customFormat="1" x14ac:dyDescent="0.2">
      <c r="A39" s="273">
        <v>2010</v>
      </c>
      <c r="B39" s="274">
        <v>859585</v>
      </c>
      <c r="C39" s="283">
        <v>623537.82999999996</v>
      </c>
      <c r="D39" s="275">
        <f t="shared" si="6"/>
        <v>0.72539403316716777</v>
      </c>
      <c r="G39" s="273">
        <v>2010</v>
      </c>
      <c r="H39" s="278">
        <v>118166</v>
      </c>
      <c r="I39" s="278">
        <v>232842</v>
      </c>
      <c r="J39" s="275">
        <f t="shared" si="7"/>
        <v>1.9704652776602407</v>
      </c>
      <c r="K39" s="245"/>
      <c r="L39" s="245"/>
      <c r="M39" s="296"/>
      <c r="N39" s="296"/>
      <c r="O39" s="245"/>
    </row>
    <row r="40" spans="1:15" s="284" customFormat="1" x14ac:dyDescent="0.2">
      <c r="A40" s="273">
        <v>2011</v>
      </c>
      <c r="B40" s="274">
        <v>1050000</v>
      </c>
      <c r="C40" s="283">
        <v>1090072.53</v>
      </c>
      <c r="D40" s="275">
        <f t="shared" si="6"/>
        <v>1.0381643142857142</v>
      </c>
      <c r="G40" s="273">
        <v>2011</v>
      </c>
      <c r="H40" s="278">
        <v>129644</v>
      </c>
      <c r="I40" s="278">
        <v>165151</v>
      </c>
      <c r="J40" s="275">
        <f t="shared" si="7"/>
        <v>1.2738807812162538</v>
      </c>
      <c r="K40" s="245"/>
      <c r="L40" s="245"/>
      <c r="M40" s="296"/>
      <c r="N40" s="296"/>
      <c r="O40" s="245"/>
    </row>
    <row r="41" spans="1:15" s="284" customFormat="1" x14ac:dyDescent="0.2">
      <c r="A41" s="273">
        <v>2012</v>
      </c>
      <c r="B41" s="283">
        <v>1150000</v>
      </c>
      <c r="C41" s="274">
        <f>+F15</f>
        <v>1350515</v>
      </c>
      <c r="D41" s="275">
        <f t="shared" si="6"/>
        <v>1.1743608695652175</v>
      </c>
      <c r="G41" s="273">
        <v>2012</v>
      </c>
      <c r="H41" s="554">
        <v>228158</v>
      </c>
      <c r="I41" s="278">
        <f>+F20</f>
        <v>387417</v>
      </c>
      <c r="J41" s="275">
        <f t="shared" si="7"/>
        <v>1.6980206698866576</v>
      </c>
      <c r="K41" s="245"/>
      <c r="L41" s="245"/>
      <c r="M41" s="296"/>
      <c r="N41" s="296"/>
      <c r="O41" s="245"/>
    </row>
    <row r="42" spans="1:15" s="284" customFormat="1" x14ac:dyDescent="0.2">
      <c r="A42" s="273">
        <v>2013</v>
      </c>
      <c r="B42" s="309">
        <v>1150000</v>
      </c>
      <c r="C42" s="313">
        <f>G15</f>
        <v>697324.12</v>
      </c>
      <c r="D42" s="275">
        <f t="shared" si="6"/>
        <v>0.60636880000000004</v>
      </c>
      <c r="G42" s="273">
        <v>2013</v>
      </c>
      <c r="H42" s="554">
        <v>179464</v>
      </c>
      <c r="I42" s="554">
        <f>G20</f>
        <v>290312</v>
      </c>
      <c r="J42" s="275">
        <f t="shared" si="7"/>
        <v>1.6176614808540988</v>
      </c>
      <c r="K42" s="245"/>
      <c r="L42" s="245"/>
      <c r="M42" s="296"/>
      <c r="N42" s="296"/>
      <c r="O42" s="245"/>
    </row>
    <row r="43" spans="1:15" s="284" customFormat="1" x14ac:dyDescent="0.2">
      <c r="A43" s="273">
        <v>2014</v>
      </c>
      <c r="B43" s="274">
        <v>1357784</v>
      </c>
      <c r="C43" s="274">
        <f>H15</f>
        <v>1483390.43</v>
      </c>
      <c r="D43" s="275">
        <f t="shared" si="6"/>
        <v>1.0925084033984787</v>
      </c>
      <c r="G43" s="273">
        <v>2014</v>
      </c>
      <c r="H43" s="562">
        <v>225112</v>
      </c>
      <c r="I43" s="278">
        <f>H20</f>
        <v>200718</v>
      </c>
      <c r="J43" s="275">
        <f t="shared" si="7"/>
        <v>0.89163616333203033</v>
      </c>
      <c r="K43" s="245"/>
      <c r="L43" s="245"/>
      <c r="M43" s="296"/>
      <c r="N43" s="296"/>
      <c r="O43" s="245"/>
    </row>
    <row r="44" spans="1:15" s="284" customFormat="1" x14ac:dyDescent="0.2">
      <c r="A44" s="273">
        <v>2015</v>
      </c>
      <c r="B44" s="274">
        <f>I15</f>
        <v>986125</v>
      </c>
      <c r="C44" s="274"/>
      <c r="D44" s="275"/>
      <c r="G44" s="273">
        <v>2015</v>
      </c>
      <c r="H44" s="562">
        <f>I20</f>
        <v>166575</v>
      </c>
      <c r="I44" s="278"/>
      <c r="J44" s="275"/>
      <c r="K44" s="245"/>
      <c r="L44" s="245"/>
      <c r="M44" s="296"/>
      <c r="N44" s="296"/>
      <c r="O44" s="245"/>
    </row>
    <row r="45" spans="1:15" s="284" customFormat="1" x14ac:dyDescent="0.2">
      <c r="A45" s="273">
        <v>2016</v>
      </c>
      <c r="B45" s="274">
        <f>J15</f>
        <v>1236020</v>
      </c>
      <c r="C45" s="274"/>
      <c r="D45" s="275"/>
      <c r="G45" s="273">
        <v>2016</v>
      </c>
      <c r="H45" s="562">
        <f>J20</f>
        <v>181028.91592690937</v>
      </c>
      <c r="I45" s="278"/>
      <c r="J45" s="275"/>
      <c r="K45" s="245"/>
      <c r="L45" s="245"/>
      <c r="M45" s="296"/>
      <c r="N45" s="296"/>
      <c r="O45" s="245"/>
    </row>
    <row r="46" spans="1:15" s="284" customFormat="1" x14ac:dyDescent="0.2">
      <c r="A46" s="273">
        <v>2017</v>
      </c>
      <c r="B46" s="274">
        <f>K15</f>
        <v>1272829</v>
      </c>
      <c r="C46" s="274"/>
      <c r="D46" s="275"/>
      <c r="G46" s="273">
        <v>2017</v>
      </c>
      <c r="H46" s="562">
        <f>K20</f>
        <v>147742.44718648461</v>
      </c>
      <c r="I46" s="278"/>
      <c r="J46" s="275"/>
      <c r="K46" s="245"/>
      <c r="L46" s="245"/>
      <c r="M46" s="296"/>
      <c r="N46" s="296"/>
      <c r="O46" s="245"/>
    </row>
    <row r="47" spans="1:15" s="284" customFormat="1" x14ac:dyDescent="0.2">
      <c r="A47" s="273">
        <v>2018</v>
      </c>
      <c r="B47" s="274">
        <f>L15</f>
        <v>2011327.59</v>
      </c>
      <c r="C47" s="274"/>
      <c r="D47" s="275"/>
      <c r="G47" s="273">
        <v>2018</v>
      </c>
      <c r="H47" s="562" t="e">
        <f>L20</f>
        <v>#REF!</v>
      </c>
      <c r="I47" s="278"/>
      <c r="J47" s="275"/>
      <c r="K47" s="245"/>
      <c r="L47" s="245"/>
      <c r="M47" s="296"/>
      <c r="N47" s="296"/>
      <c r="O47" s="245"/>
    </row>
    <row r="48" spans="1:15" s="284" customFormat="1" x14ac:dyDescent="0.2">
      <c r="A48" s="273"/>
      <c r="B48" s="245"/>
      <c r="C48" s="245"/>
      <c r="D48" s="245"/>
      <c r="G48" s="273"/>
      <c r="H48" s="168"/>
      <c r="I48" s="168"/>
      <c r="J48" s="168"/>
      <c r="K48" s="245"/>
      <c r="L48" s="245"/>
      <c r="M48" s="296"/>
      <c r="N48" s="296"/>
      <c r="O48" s="245"/>
    </row>
    <row r="49" spans="1:15" s="284" customFormat="1" x14ac:dyDescent="0.2">
      <c r="A49" s="276" t="s">
        <v>193</v>
      </c>
      <c r="B49" s="245"/>
      <c r="C49" s="245"/>
      <c r="D49" s="245"/>
      <c r="G49" s="276" t="s">
        <v>190</v>
      </c>
      <c r="H49" s="168"/>
      <c r="I49" s="168"/>
      <c r="J49" s="168"/>
      <c r="K49" s="245"/>
      <c r="L49" s="245"/>
      <c r="M49" s="296"/>
      <c r="N49" s="296"/>
      <c r="O49" s="245"/>
    </row>
    <row r="50" spans="1:15" s="284" customFormat="1" x14ac:dyDescent="0.2">
      <c r="A50" s="273" t="s">
        <v>185</v>
      </c>
      <c r="B50" s="250" t="s">
        <v>188</v>
      </c>
      <c r="C50" s="250" t="s">
        <v>186</v>
      </c>
      <c r="D50" s="250" t="s">
        <v>189</v>
      </c>
      <c r="G50" s="273" t="s">
        <v>185</v>
      </c>
      <c r="H50" s="250" t="s">
        <v>188</v>
      </c>
      <c r="I50" s="250" t="s">
        <v>186</v>
      </c>
      <c r="J50" s="250" t="s">
        <v>189</v>
      </c>
      <c r="K50" s="245"/>
      <c r="L50" s="245"/>
      <c r="M50" s="296"/>
      <c r="N50" s="296"/>
      <c r="O50" s="245"/>
    </row>
    <row r="51" spans="1:15" s="284" customFormat="1" x14ac:dyDescent="0.2">
      <c r="A51" s="273">
        <v>2008</v>
      </c>
      <c r="B51" s="283" t="s">
        <v>187</v>
      </c>
      <c r="C51" s="278">
        <v>12</v>
      </c>
      <c r="D51" s="275" t="str">
        <f t="shared" ref="D51:D57" si="8">IF(ISERROR(C51/B51),"-",(C51/B51))</f>
        <v>-</v>
      </c>
      <c r="G51" s="273">
        <v>2008</v>
      </c>
      <c r="H51" s="278" t="s">
        <v>187</v>
      </c>
      <c r="I51" s="278">
        <v>1907123</v>
      </c>
      <c r="J51" s="275" t="str">
        <f t="shared" ref="J51:J57" si="9">IF(ISERROR(I51/H51),"-",(I51/H51))</f>
        <v>-</v>
      </c>
      <c r="K51" s="245"/>
      <c r="L51" s="245"/>
      <c r="M51" s="296"/>
      <c r="N51" s="296"/>
      <c r="O51" s="245"/>
    </row>
    <row r="52" spans="1:15" s="284" customFormat="1" x14ac:dyDescent="0.2">
      <c r="A52" s="273">
        <v>2009</v>
      </c>
      <c r="B52" s="278">
        <v>27</v>
      </c>
      <c r="C52" s="278">
        <f>+C28</f>
        <v>28</v>
      </c>
      <c r="D52" s="275">
        <f t="shared" si="8"/>
        <v>1.037037037037037</v>
      </c>
      <c r="G52" s="273">
        <v>2009</v>
      </c>
      <c r="H52" s="278">
        <v>1296024</v>
      </c>
      <c r="I52" s="278">
        <f>+C21</f>
        <v>2008951</v>
      </c>
      <c r="J52" s="275">
        <f t="shared" si="9"/>
        <v>1.5500878070159194</v>
      </c>
      <c r="K52" s="245"/>
      <c r="L52" s="245"/>
      <c r="M52" s="296"/>
      <c r="N52" s="296"/>
      <c r="O52" s="245"/>
    </row>
    <row r="53" spans="1:15" s="284" customFormat="1" x14ac:dyDescent="0.2">
      <c r="A53" s="273">
        <v>2010</v>
      </c>
      <c r="B53" s="278">
        <v>48</v>
      </c>
      <c r="C53" s="278">
        <v>45</v>
      </c>
      <c r="D53" s="275">
        <f t="shared" si="8"/>
        <v>0.9375</v>
      </c>
      <c r="G53" s="273">
        <v>2010</v>
      </c>
      <c r="H53" s="278">
        <v>1876804</v>
      </c>
      <c r="I53" s="278">
        <v>3152235</v>
      </c>
      <c r="J53" s="275">
        <f t="shared" si="9"/>
        <v>1.6795760239215176</v>
      </c>
      <c r="K53" s="245"/>
      <c r="L53" s="245"/>
      <c r="M53" s="296"/>
      <c r="N53" s="296"/>
      <c r="O53" s="245"/>
    </row>
    <row r="54" spans="1:15" s="284" customFormat="1" x14ac:dyDescent="0.2">
      <c r="A54" s="273">
        <v>2011</v>
      </c>
      <c r="B54" s="278">
        <v>34</v>
      </c>
      <c r="C54" s="278">
        <v>46</v>
      </c>
      <c r="D54" s="275">
        <f t="shared" si="8"/>
        <v>1.3529411764705883</v>
      </c>
      <c r="G54" s="273">
        <v>2011</v>
      </c>
      <c r="H54" s="278">
        <v>1986711</v>
      </c>
      <c r="I54" s="278">
        <v>2555483</v>
      </c>
      <c r="J54" s="275">
        <f t="shared" si="9"/>
        <v>1.2862882422254671</v>
      </c>
      <c r="K54" s="245"/>
      <c r="L54" s="245"/>
      <c r="M54" s="296"/>
      <c r="N54" s="296"/>
      <c r="O54" s="245"/>
    </row>
    <row r="55" spans="1:15" s="284" customFormat="1" x14ac:dyDescent="0.2">
      <c r="A55" s="273">
        <v>2012</v>
      </c>
      <c r="B55" s="278">
        <v>59</v>
      </c>
      <c r="C55" s="278">
        <f>+F28</f>
        <v>90</v>
      </c>
      <c r="D55" s="275">
        <f t="shared" si="8"/>
        <v>1.5254237288135593</v>
      </c>
      <c r="G55" s="273">
        <v>2012</v>
      </c>
      <c r="H55" s="562">
        <v>3455834</v>
      </c>
      <c r="I55" s="556">
        <f>+F21</f>
        <v>5325191</v>
      </c>
      <c r="J55" s="275">
        <f t="shared" si="9"/>
        <v>1.5409278917910987</v>
      </c>
      <c r="K55" s="245"/>
      <c r="L55" s="245"/>
      <c r="M55" s="296"/>
      <c r="N55" s="296"/>
      <c r="O55" s="245"/>
    </row>
    <row r="56" spans="1:15" s="284" customFormat="1" x14ac:dyDescent="0.2">
      <c r="A56" s="273">
        <v>2013</v>
      </c>
      <c r="B56" s="278">
        <v>28</v>
      </c>
      <c r="C56" s="278">
        <f>G28</f>
        <v>100</v>
      </c>
      <c r="D56" s="275">
        <f t="shared" si="8"/>
        <v>3.5714285714285716</v>
      </c>
      <c r="G56" s="273">
        <v>2013</v>
      </c>
      <c r="H56" s="562">
        <v>2756559</v>
      </c>
      <c r="I56" s="562">
        <f>G21</f>
        <v>4484184</v>
      </c>
      <c r="J56" s="275">
        <f t="shared" si="9"/>
        <v>1.6267324588372678</v>
      </c>
      <c r="K56" s="245"/>
      <c r="L56" s="245"/>
      <c r="M56" s="296"/>
      <c r="N56" s="296"/>
      <c r="O56" s="245"/>
    </row>
    <row r="57" spans="1:15" s="284" customFormat="1" x14ac:dyDescent="0.2">
      <c r="A57" s="273">
        <v>2014</v>
      </c>
      <c r="B57" s="278">
        <v>35</v>
      </c>
      <c r="C57" s="278">
        <f>H28</f>
        <v>87</v>
      </c>
      <c r="D57" s="275">
        <f t="shared" si="8"/>
        <v>2.4857142857142858</v>
      </c>
      <c r="G57" s="273">
        <v>2014</v>
      </c>
      <c r="H57" s="562">
        <v>3457711</v>
      </c>
      <c r="I57" s="278">
        <f>H21</f>
        <v>3338966</v>
      </c>
      <c r="J57" s="275">
        <f t="shared" si="9"/>
        <v>0.96565791646554611</v>
      </c>
      <c r="K57" s="245"/>
      <c r="L57" s="245"/>
      <c r="M57" s="296"/>
      <c r="N57" s="296"/>
      <c r="O57" s="245"/>
    </row>
    <row r="58" spans="1:15" s="284" customFormat="1" x14ac:dyDescent="0.2">
      <c r="A58" s="273">
        <v>2015</v>
      </c>
      <c r="B58" s="278">
        <f>I28</f>
        <v>26</v>
      </c>
      <c r="C58" s="278"/>
      <c r="D58" s="275"/>
      <c r="G58" s="273">
        <v>2015</v>
      </c>
      <c r="H58" s="562">
        <f>I21</f>
        <v>2558591</v>
      </c>
      <c r="I58" s="278"/>
      <c r="J58" s="275"/>
      <c r="K58" s="245"/>
      <c r="L58" s="245"/>
      <c r="M58" s="296"/>
      <c r="N58" s="296"/>
      <c r="O58" s="245"/>
    </row>
    <row r="59" spans="1:15" s="284" customFormat="1" x14ac:dyDescent="0.2">
      <c r="A59" s="273">
        <v>2016</v>
      </c>
      <c r="B59" s="278">
        <f>J28</f>
        <v>84.816200340729267</v>
      </c>
      <c r="C59" s="245"/>
      <c r="D59" s="245"/>
      <c r="G59" s="273">
        <v>2016</v>
      </c>
      <c r="H59" s="2235">
        <f>J21</f>
        <v>2916343.7567835124</v>
      </c>
      <c r="I59" s="296"/>
      <c r="J59" s="245"/>
      <c r="K59" s="245"/>
      <c r="L59" s="245"/>
      <c r="M59" s="296"/>
      <c r="N59" s="296"/>
      <c r="O59" s="245"/>
    </row>
    <row r="60" spans="1:15" s="284" customFormat="1" x14ac:dyDescent="0.2">
      <c r="A60" s="273">
        <v>2017</v>
      </c>
      <c r="B60" s="278">
        <f>K28</f>
        <v>93.78523148342093</v>
      </c>
      <c r="G60" s="273">
        <v>2017</v>
      </c>
      <c r="H60" s="2235">
        <f>K21</f>
        <v>2346690.068064352</v>
      </c>
      <c r="I60" s="296"/>
      <c r="J60" s="245"/>
      <c r="K60" s="245"/>
      <c r="L60" s="245"/>
      <c r="M60" s="296"/>
      <c r="N60" s="296"/>
      <c r="O60" s="245"/>
    </row>
    <row r="61" spans="1:15" s="284" customFormat="1" x14ac:dyDescent="0.2">
      <c r="A61" s="273">
        <v>2018</v>
      </c>
      <c r="B61" s="278" t="e">
        <f>L28</f>
        <v>#REF!</v>
      </c>
      <c r="G61" s="273">
        <v>2018</v>
      </c>
      <c r="H61" s="2235" t="e">
        <f>L21</f>
        <v>#REF!</v>
      </c>
      <c r="I61" s="296"/>
      <c r="J61" s="245"/>
      <c r="K61" s="245"/>
      <c r="L61" s="245"/>
      <c r="M61" s="296"/>
      <c r="N61" s="296"/>
      <c r="O61" s="245"/>
    </row>
    <row r="62" spans="1:15" s="284" customFormat="1" x14ac:dyDescent="0.2">
      <c r="I62" s="296"/>
      <c r="J62" s="245"/>
      <c r="K62" s="245"/>
      <c r="L62" s="245"/>
      <c r="M62" s="296"/>
      <c r="N62" s="296"/>
      <c r="O62" s="245"/>
    </row>
    <row r="63" spans="1:15" s="284" customFormat="1" x14ac:dyDescent="0.2">
      <c r="I63" s="296"/>
      <c r="J63" s="245"/>
      <c r="K63" s="245"/>
      <c r="L63" s="245"/>
      <c r="M63" s="296"/>
      <c r="N63" s="296"/>
      <c r="O63" s="245"/>
    </row>
    <row r="64" spans="1:15" s="284" customFormat="1" x14ac:dyDescent="0.2">
      <c r="I64" s="296"/>
      <c r="J64" s="245"/>
      <c r="K64" s="245"/>
      <c r="L64" s="245"/>
      <c r="M64" s="296"/>
      <c r="N64" s="296"/>
      <c r="O64" s="245"/>
    </row>
    <row r="65" spans="5:15" s="284" customFormat="1" x14ac:dyDescent="0.2">
      <c r="I65" s="296"/>
      <c r="J65" s="245"/>
      <c r="K65" s="245"/>
      <c r="L65" s="245"/>
      <c r="M65" s="296"/>
      <c r="N65" s="296"/>
      <c r="O65" s="245"/>
    </row>
    <row r="66" spans="5:15" s="284" customFormat="1" x14ac:dyDescent="0.2">
      <c r="I66" s="296"/>
      <c r="J66" s="245"/>
      <c r="K66" s="245"/>
      <c r="L66" s="245"/>
      <c r="M66" s="296"/>
      <c r="N66" s="296"/>
      <c r="O66" s="245"/>
    </row>
    <row r="67" spans="5:15" x14ac:dyDescent="0.2">
      <c r="E67" s="3"/>
      <c r="F67" s="3"/>
      <c r="G67" s="3"/>
      <c r="H67" s="3"/>
      <c r="I67" s="296"/>
      <c r="M67" s="296"/>
      <c r="N67" s="296"/>
    </row>
    <row r="68" spans="5:15" x14ac:dyDescent="0.2">
      <c r="E68" s="3"/>
      <c r="F68" s="3"/>
      <c r="G68" s="3"/>
      <c r="H68" s="3"/>
      <c r="I68" s="296"/>
      <c r="M68" s="296"/>
      <c r="N68" s="296"/>
    </row>
    <row r="69" spans="5:15" x14ac:dyDescent="0.2">
      <c r="E69" s="3"/>
      <c r="F69" s="3"/>
      <c r="G69" s="3"/>
      <c r="H69" s="3"/>
      <c r="I69" s="296"/>
      <c r="M69" s="296"/>
      <c r="N69" s="296"/>
    </row>
    <row r="70" spans="5:15" x14ac:dyDescent="0.2">
      <c r="I70" s="296"/>
      <c r="M70" s="296"/>
      <c r="N70" s="296"/>
    </row>
    <row r="71" spans="5:15" x14ac:dyDescent="0.2">
      <c r="I71" s="296"/>
      <c r="M71" s="296"/>
      <c r="N71" s="296"/>
    </row>
    <row r="72" spans="5:15" x14ac:dyDescent="0.2">
      <c r="I72" s="296"/>
      <c r="M72" s="296"/>
      <c r="N72" s="296"/>
    </row>
    <row r="73" spans="5:15" x14ac:dyDescent="0.2">
      <c r="I73" s="296"/>
      <c r="M73" s="296"/>
      <c r="N73" s="296"/>
    </row>
    <row r="74" spans="5:15" x14ac:dyDescent="0.2">
      <c r="I74" s="296"/>
      <c r="M74" s="296"/>
      <c r="N74" s="296"/>
    </row>
    <row r="75" spans="5:15" x14ac:dyDescent="0.2">
      <c r="I75" s="296"/>
      <c r="M75" s="296"/>
      <c r="N75" s="296"/>
    </row>
    <row r="76" spans="5:15" x14ac:dyDescent="0.2">
      <c r="I76" s="296"/>
      <c r="M76" s="296"/>
      <c r="N76" s="296"/>
    </row>
    <row r="77" spans="5:15" x14ac:dyDescent="0.2">
      <c r="I77" s="296"/>
      <c r="M77" s="296"/>
      <c r="N77" s="296"/>
    </row>
    <row r="78" spans="5:15" x14ac:dyDescent="0.2">
      <c r="I78" s="181"/>
      <c r="M78" s="181"/>
      <c r="N78" s="181"/>
    </row>
  </sheetData>
  <mergeCells count="1">
    <mergeCell ref="A1:M1"/>
  </mergeCells>
  <phoneticPr fontId="10" type="noConversion"/>
  <pageMargins left="0.98" right="0.75" top="1.1499999999999999" bottom="1" header="0.5" footer="0.5"/>
  <pageSetup scale="61" fitToHeight="0" orientation="landscape" r:id="rId1"/>
  <headerFooter alignWithMargins="0">
    <oddFooter>&amp;C&amp;1#&amp;"Calibri"&amp;12&amp;K008000Internal Use</oddFooter>
  </headerFooter>
  <rowBreaks count="1" manualBreakCount="1">
    <brk id="34" max="12"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30">
    <tabColor indexed="11"/>
    <pageSetUpPr fitToPage="1"/>
  </sheetPr>
  <dimension ref="A1:W122"/>
  <sheetViews>
    <sheetView workbookViewId="0">
      <selection activeCell="H14" sqref="H14"/>
    </sheetView>
  </sheetViews>
  <sheetFormatPr defaultRowHeight="12.75" x14ac:dyDescent="0.2"/>
  <cols>
    <col min="1" max="1" width="39.28515625" style="168" bestFit="1" customWidth="1"/>
    <col min="2" max="2" width="11.28515625" style="168" customWidth="1"/>
    <col min="3" max="3" width="11.28515625" style="168" bestFit="1" customWidth="1"/>
    <col min="4" max="4" width="12.140625" style="168" bestFit="1" customWidth="1"/>
    <col min="5" max="5" width="11.28515625" style="168" bestFit="1" customWidth="1"/>
    <col min="6" max="6" width="11.28515625" style="168" customWidth="1"/>
    <col min="7" max="7" width="7.5703125" style="168" bestFit="1" customWidth="1"/>
    <col min="8" max="8" width="11.28515625" style="168" customWidth="1"/>
    <col min="9" max="9" width="10" style="3" bestFit="1" customWidth="1"/>
    <col min="10" max="10" width="13.28515625" style="3" customWidth="1"/>
    <col min="11" max="11" width="11.28515625" style="168" bestFit="1" customWidth="1"/>
    <col min="12" max="13" width="11.28515625" style="168" customWidth="1"/>
    <col min="14" max="14" width="6.85546875" style="168" customWidth="1"/>
    <col min="15" max="15" width="9.140625" style="168"/>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48</v>
      </c>
      <c r="B1" s="3055"/>
      <c r="C1" s="3055"/>
      <c r="D1" s="3055"/>
      <c r="E1" s="3055"/>
      <c r="F1" s="3055"/>
      <c r="G1" s="3055"/>
      <c r="H1" s="3055"/>
      <c r="I1" s="3055"/>
      <c r="J1" s="3055"/>
      <c r="K1" s="3055"/>
      <c r="L1" s="3055"/>
      <c r="M1" s="3055"/>
      <c r="N1" s="3055"/>
      <c r="O1" s="3055"/>
    </row>
    <row r="2" spans="1:15" x14ac:dyDescent="0.2">
      <c r="A2" s="169"/>
    </row>
    <row r="3" spans="1:15" ht="15.75" x14ac:dyDescent="0.25">
      <c r="A3" s="172" t="s">
        <v>200</v>
      </c>
    </row>
    <row r="4" spans="1:15" x14ac:dyDescent="0.2">
      <c r="A4" s="169"/>
    </row>
    <row r="5" spans="1:15" s="245" customFormat="1" x14ac:dyDescent="0.2">
      <c r="A5" s="242"/>
      <c r="I5" s="171"/>
      <c r="J5" s="171"/>
      <c r="K5" s="284"/>
      <c r="L5" s="284"/>
      <c r="M5" s="284"/>
    </row>
    <row r="6" spans="1:15" s="245" customFormat="1" x14ac:dyDescent="0.2">
      <c r="A6" s="242"/>
      <c r="B6" s="243">
        <v>2006</v>
      </c>
      <c r="C6" s="243">
        <v>2007</v>
      </c>
      <c r="D6" s="243">
        <v>2008</v>
      </c>
      <c r="E6" s="243">
        <v>2009</v>
      </c>
      <c r="F6" s="243">
        <v>2010</v>
      </c>
      <c r="G6" s="243">
        <v>2011</v>
      </c>
      <c r="H6" s="243">
        <v>2012</v>
      </c>
      <c r="I6" s="243">
        <v>2012</v>
      </c>
      <c r="J6" s="243">
        <v>2012</v>
      </c>
      <c r="K6" s="243">
        <v>2013</v>
      </c>
      <c r="L6" s="243">
        <v>2014</v>
      </c>
      <c r="M6" s="243">
        <v>2015</v>
      </c>
    </row>
    <row r="7" spans="1:15" s="245" customFormat="1" x14ac:dyDescent="0.2">
      <c r="A7" s="247" t="s">
        <v>44</v>
      </c>
      <c r="B7" s="248" t="s">
        <v>148</v>
      </c>
      <c r="C7" s="248" t="s">
        <v>148</v>
      </c>
      <c r="D7" s="248" t="s">
        <v>148</v>
      </c>
      <c r="E7" s="248" t="s">
        <v>148</v>
      </c>
      <c r="F7" s="248" t="s">
        <v>148</v>
      </c>
      <c r="G7" s="248" t="s">
        <v>148</v>
      </c>
      <c r="H7" s="248" t="s">
        <v>1</v>
      </c>
      <c r="I7" s="248" t="s">
        <v>316</v>
      </c>
      <c r="J7" s="248" t="s">
        <v>212</v>
      </c>
      <c r="K7" s="248" t="s">
        <v>1</v>
      </c>
      <c r="L7" s="248" t="s">
        <v>1</v>
      </c>
      <c r="M7" s="248" t="s">
        <v>1</v>
      </c>
    </row>
    <row r="8" spans="1:15" s="245" customFormat="1" x14ac:dyDescent="0.2">
      <c r="A8" s="244"/>
      <c r="I8" s="251"/>
      <c r="J8" s="251"/>
      <c r="K8" s="284"/>
      <c r="L8" s="575"/>
      <c r="M8" s="575"/>
    </row>
    <row r="9" spans="1:15" s="245" customFormat="1" x14ac:dyDescent="0.2">
      <c r="A9" s="244" t="s">
        <v>53</v>
      </c>
      <c r="B9" s="246" t="s">
        <v>195</v>
      </c>
      <c r="C9" s="246" t="s">
        <v>195</v>
      </c>
      <c r="D9" s="252">
        <v>23617.5</v>
      </c>
      <c r="E9" s="252">
        <v>27254.05</v>
      </c>
      <c r="F9" s="252">
        <v>52520.72</v>
      </c>
      <c r="G9" s="252"/>
      <c r="H9" s="252">
        <v>220084</v>
      </c>
      <c r="I9" s="537"/>
      <c r="J9" s="537"/>
      <c r="K9" s="252" t="e">
        <f>#REF!</f>
        <v>#REF!</v>
      </c>
      <c r="L9" s="252" t="e">
        <f>K9</f>
        <v>#REF!</v>
      </c>
      <c r="M9" s="252" t="e">
        <f>L9</f>
        <v>#REF!</v>
      </c>
    </row>
    <row r="10" spans="1:15" s="245" customFormat="1" x14ac:dyDescent="0.2">
      <c r="A10" s="244" t="s">
        <v>45</v>
      </c>
      <c r="B10" s="246" t="s">
        <v>195</v>
      </c>
      <c r="C10" s="246" t="s">
        <v>195</v>
      </c>
      <c r="D10" s="252">
        <v>17550.5</v>
      </c>
      <c r="E10" s="252">
        <v>32386.85</v>
      </c>
      <c r="F10" s="252">
        <v>6224.91</v>
      </c>
      <c r="G10" s="252"/>
      <c r="H10" s="252">
        <v>200000</v>
      </c>
      <c r="I10" s="537"/>
      <c r="J10" s="537"/>
      <c r="K10" s="252" t="e">
        <f>#REF!</f>
        <v>#REF!</v>
      </c>
      <c r="L10" s="252" t="e">
        <f t="shared" ref="L10:M14" si="0">K10</f>
        <v>#REF!</v>
      </c>
      <c r="M10" s="252" t="e">
        <f t="shared" si="0"/>
        <v>#REF!</v>
      </c>
    </row>
    <row r="11" spans="1:15" s="245" customFormat="1" x14ac:dyDescent="0.2">
      <c r="A11" s="244" t="s">
        <v>202</v>
      </c>
      <c r="B11" s="246" t="s">
        <v>195</v>
      </c>
      <c r="C11" s="246" t="s">
        <v>195</v>
      </c>
      <c r="D11" s="252">
        <v>443</v>
      </c>
      <c r="E11" s="252">
        <v>0</v>
      </c>
      <c r="F11" s="252">
        <v>0</v>
      </c>
      <c r="G11" s="252"/>
      <c r="H11" s="252">
        <v>1200</v>
      </c>
      <c r="I11" s="537"/>
      <c r="J11" s="537"/>
      <c r="K11" s="252" t="e">
        <f>#REF!</f>
        <v>#REF!</v>
      </c>
      <c r="L11" s="252" t="e">
        <f t="shared" si="0"/>
        <v>#REF!</v>
      </c>
      <c r="M11" s="252" t="e">
        <f t="shared" si="0"/>
        <v>#REF!</v>
      </c>
    </row>
    <row r="12" spans="1:15" s="245" customFormat="1" ht="14.25" x14ac:dyDescent="0.2">
      <c r="A12" s="244" t="s">
        <v>2</v>
      </c>
      <c r="B12" s="246" t="s">
        <v>195</v>
      </c>
      <c r="C12" s="246" t="s">
        <v>195</v>
      </c>
      <c r="D12" s="252">
        <v>3934</v>
      </c>
      <c r="E12" s="252">
        <v>979355.03</v>
      </c>
      <c r="F12" s="252">
        <v>414789.22</v>
      </c>
      <c r="G12" s="252"/>
      <c r="H12" s="252">
        <v>2016050</v>
      </c>
      <c r="I12" s="537"/>
      <c r="J12" s="537"/>
      <c r="K12" s="252" t="e">
        <f>#REF!</f>
        <v>#REF!</v>
      </c>
      <c r="L12" s="257" t="e">
        <f t="shared" si="0"/>
        <v>#REF!</v>
      </c>
      <c r="M12" s="257" t="e">
        <f t="shared" si="0"/>
        <v>#REF!</v>
      </c>
      <c r="N12" s="947" t="s">
        <v>326</v>
      </c>
    </row>
    <row r="13" spans="1:15" s="245" customFormat="1" ht="14.25" x14ac:dyDescent="0.2">
      <c r="A13" s="244" t="s">
        <v>14</v>
      </c>
      <c r="B13" s="246" t="s">
        <v>195</v>
      </c>
      <c r="C13" s="246" t="s">
        <v>195</v>
      </c>
      <c r="D13" s="252">
        <v>1771</v>
      </c>
      <c r="E13" s="252">
        <v>2796</v>
      </c>
      <c r="F13" s="252">
        <v>13826.57</v>
      </c>
      <c r="G13" s="252"/>
      <c r="H13" s="252">
        <v>30000</v>
      </c>
      <c r="I13" s="537"/>
      <c r="J13" s="537"/>
      <c r="K13" s="252" t="e">
        <f>#REF!</f>
        <v>#REF!</v>
      </c>
      <c r="L13" s="252" t="e">
        <f t="shared" si="0"/>
        <v>#REF!</v>
      </c>
      <c r="M13" s="252" t="e">
        <f t="shared" si="0"/>
        <v>#REF!</v>
      </c>
      <c r="N13" s="947" t="s">
        <v>327</v>
      </c>
    </row>
    <row r="14" spans="1:15" s="245" customFormat="1" ht="15" x14ac:dyDescent="0.35">
      <c r="A14" s="244" t="s">
        <v>46</v>
      </c>
      <c r="B14" s="246" t="s">
        <v>195</v>
      </c>
      <c r="C14" s="246" t="s">
        <v>195</v>
      </c>
      <c r="D14" s="256">
        <v>1967</v>
      </c>
      <c r="E14" s="256">
        <v>3494.44</v>
      </c>
      <c r="F14" s="256">
        <v>4537.2</v>
      </c>
      <c r="G14" s="256"/>
      <c r="H14" s="256">
        <v>7500</v>
      </c>
      <c r="I14" s="538"/>
      <c r="J14" s="538"/>
      <c r="K14" s="256" t="e">
        <f>#REF!</f>
        <v>#REF!</v>
      </c>
      <c r="L14" s="256" t="e">
        <f t="shared" si="0"/>
        <v>#REF!</v>
      </c>
      <c r="M14" s="256" t="e">
        <f t="shared" si="0"/>
        <v>#REF!</v>
      </c>
    </row>
    <row r="15" spans="1:15" s="245" customFormat="1" x14ac:dyDescent="0.2">
      <c r="A15" s="244" t="s">
        <v>86</v>
      </c>
      <c r="C15" s="257"/>
      <c r="D15" s="252">
        <f t="shared" ref="D15:K15" si="1">SUM(D9:D14)</f>
        <v>49283</v>
      </c>
      <c r="E15" s="252">
        <f t="shared" si="1"/>
        <v>1045286.37</v>
      </c>
      <c r="F15" s="252">
        <f t="shared" si="1"/>
        <v>491898.62</v>
      </c>
      <c r="G15" s="252">
        <f t="shared" si="1"/>
        <v>0</v>
      </c>
      <c r="H15" s="252">
        <f t="shared" si="1"/>
        <v>2474834</v>
      </c>
      <c r="I15" s="546">
        <f t="shared" si="1"/>
        <v>0</v>
      </c>
      <c r="J15" s="548">
        <f t="shared" si="1"/>
        <v>0</v>
      </c>
      <c r="K15" s="513" t="e">
        <f t="shared" si="1"/>
        <v>#REF!</v>
      </c>
      <c r="L15" s="504" t="e">
        <f>SUM(L9:L14)</f>
        <v>#REF!</v>
      </c>
      <c r="M15" s="504" t="e">
        <f>SUM(M9:M14)</f>
        <v>#REF!</v>
      </c>
      <c r="N15" s="246" t="s">
        <v>201</v>
      </c>
    </row>
    <row r="16" spans="1:15" s="245" customFormat="1" x14ac:dyDescent="0.2">
      <c r="A16" s="244"/>
      <c r="B16" s="253"/>
      <c r="C16" s="259"/>
      <c r="D16" s="260"/>
      <c r="I16" s="255"/>
      <c r="J16" s="255"/>
      <c r="K16" s="284"/>
      <c r="L16" s="284"/>
      <c r="M16" s="284"/>
    </row>
    <row r="17" spans="1:23" s="245" customFormat="1" ht="15" x14ac:dyDescent="0.35">
      <c r="A17" s="262"/>
      <c r="C17" s="258"/>
      <c r="D17" s="258"/>
      <c r="K17" s="294"/>
      <c r="L17" s="294"/>
      <c r="M17" s="294"/>
      <c r="N17" s="263"/>
    </row>
    <row r="18" spans="1:23" s="245" customFormat="1" ht="25.5" x14ac:dyDescent="0.2">
      <c r="A18" s="247" t="s">
        <v>83</v>
      </c>
      <c r="B18" s="264" t="s">
        <v>196</v>
      </c>
      <c r="C18" s="264" t="s">
        <v>177</v>
      </c>
      <c r="D18" s="264" t="s">
        <v>210</v>
      </c>
      <c r="E18" s="264" t="s">
        <v>219</v>
      </c>
      <c r="F18" s="264" t="s">
        <v>259</v>
      </c>
      <c r="G18" s="264" t="s">
        <v>321</v>
      </c>
      <c r="H18" s="264" t="s">
        <v>315</v>
      </c>
      <c r="I18" s="264" t="s">
        <v>317</v>
      </c>
      <c r="J18" s="264" t="s">
        <v>323</v>
      </c>
      <c r="K18" s="264" t="s">
        <v>320</v>
      </c>
      <c r="L18" s="264" t="s">
        <v>333</v>
      </c>
      <c r="M18" s="264" t="s">
        <v>334</v>
      </c>
      <c r="N18" s="246"/>
      <c r="Q18" s="244"/>
      <c r="R18" s="244"/>
      <c r="S18" s="244"/>
      <c r="T18" s="244"/>
      <c r="U18" s="244"/>
      <c r="V18" s="244"/>
      <c r="W18" s="244"/>
    </row>
    <row r="19" spans="1:23" s="245" customFormat="1" x14ac:dyDescent="0.2">
      <c r="K19" s="284"/>
      <c r="L19" s="180"/>
      <c r="M19" s="180"/>
      <c r="N19" s="246"/>
      <c r="Q19" s="186"/>
      <c r="R19" s="186"/>
      <c r="S19" s="180"/>
      <c r="T19" s="180"/>
      <c r="U19" s="180"/>
      <c r="V19" s="244"/>
      <c r="W19" s="244"/>
    </row>
    <row r="20" spans="1:23" s="245" customFormat="1" x14ac:dyDescent="0.2">
      <c r="A20" s="245" t="s">
        <v>49</v>
      </c>
      <c r="B20" s="246" t="s">
        <v>195</v>
      </c>
      <c r="C20" s="246" t="s">
        <v>195</v>
      </c>
      <c r="D20" s="312">
        <v>17218</v>
      </c>
      <c r="E20" s="267">
        <v>639931</v>
      </c>
      <c r="F20" s="267">
        <v>205653</v>
      </c>
      <c r="G20" s="267"/>
      <c r="H20" s="267">
        <v>888623</v>
      </c>
      <c r="I20" s="550"/>
      <c r="J20" s="550" t="e">
        <f>I20/I15*J15</f>
        <v>#DIV/0!</v>
      </c>
      <c r="K20" s="302">
        <f>'2013 Summary Table B '!M30</f>
        <v>302116.40070979972</v>
      </c>
      <c r="L20" s="506">
        <f>K20</f>
        <v>302116.40070979972</v>
      </c>
      <c r="M20" s="506">
        <f>L20</f>
        <v>302116.40070979972</v>
      </c>
      <c r="N20" s="246" t="s">
        <v>64</v>
      </c>
      <c r="Q20" s="186"/>
      <c r="R20" s="186"/>
      <c r="S20" s="187"/>
      <c r="T20" s="187"/>
      <c r="U20" s="187"/>
      <c r="V20" s="244"/>
      <c r="W20" s="244"/>
    </row>
    <row r="21" spans="1:23" s="245" customFormat="1" x14ac:dyDescent="0.2">
      <c r="A21" s="245" t="s">
        <v>50</v>
      </c>
      <c r="B21" s="246" t="s">
        <v>195</v>
      </c>
      <c r="C21" s="246" t="s">
        <v>195</v>
      </c>
      <c r="D21" s="312">
        <v>191374</v>
      </c>
      <c r="E21" s="267">
        <v>9216030</v>
      </c>
      <c r="F21" s="267">
        <v>2347874</v>
      </c>
      <c r="G21" s="267"/>
      <c r="H21" s="267">
        <v>10221524</v>
      </c>
      <c r="I21" s="550"/>
      <c r="J21" s="550" t="e">
        <f>I21/I15*J15</f>
        <v>#DIV/0!</v>
      </c>
      <c r="K21" s="555">
        <f>'2013 Summary Table B '!N30</f>
        <v>3400929.7190521373</v>
      </c>
      <c r="L21" s="506">
        <f>K21</f>
        <v>3400929.7190521373</v>
      </c>
      <c r="M21" s="506">
        <f>L21</f>
        <v>3400929.7190521373</v>
      </c>
      <c r="N21" s="246" t="s">
        <v>10</v>
      </c>
      <c r="Q21" s="180"/>
      <c r="R21" s="185"/>
      <c r="S21" s="182"/>
      <c r="T21" s="182"/>
      <c r="U21" s="182"/>
      <c r="V21" s="244"/>
      <c r="W21" s="244"/>
    </row>
    <row r="22" spans="1:23" s="245" customFormat="1" x14ac:dyDescent="0.2">
      <c r="C22" s="268" t="s">
        <v>3</v>
      </c>
      <c r="I22" s="547"/>
      <c r="J22" s="547"/>
      <c r="K22" s="284"/>
      <c r="L22" s="180"/>
      <c r="M22" s="180"/>
      <c r="N22" s="246"/>
      <c r="Q22" s="180"/>
      <c r="R22" s="185"/>
      <c r="S22" s="183"/>
      <c r="T22" s="183"/>
      <c r="U22" s="183"/>
      <c r="V22" s="244"/>
      <c r="W22" s="244"/>
    </row>
    <row r="23" spans="1:23" s="245" customFormat="1" x14ac:dyDescent="0.2">
      <c r="A23" s="245" t="s">
        <v>51</v>
      </c>
      <c r="B23" s="246" t="s">
        <v>195</v>
      </c>
      <c r="C23" s="246" t="s">
        <v>195</v>
      </c>
      <c r="D23" s="269">
        <f>SUM(D15/D20)</f>
        <v>2.86229527238936</v>
      </c>
      <c r="E23" s="269">
        <f>SUM(E15/E20)</f>
        <v>1.6334360579499978</v>
      </c>
      <c r="F23" s="269">
        <f>SUM(F15/F20)</f>
        <v>2.3918864300545093</v>
      </c>
      <c r="G23" s="269" t="e">
        <f>SUM(G12/G20)</f>
        <v>#DIV/0!</v>
      </c>
      <c r="H23" s="269">
        <f t="shared" ref="H23:M23" si="2">SUM(H15/H20)</f>
        <v>2.7850213195021962</v>
      </c>
      <c r="I23" s="551" t="e">
        <f t="shared" si="2"/>
        <v>#DIV/0!</v>
      </c>
      <c r="J23" s="551" t="e">
        <f t="shared" si="2"/>
        <v>#DIV/0!</v>
      </c>
      <c r="K23" s="269" t="e">
        <f t="shared" si="2"/>
        <v>#REF!</v>
      </c>
      <c r="L23" s="269" t="e">
        <f t="shared" si="2"/>
        <v>#REF!</v>
      </c>
      <c r="M23" s="269" t="e">
        <f t="shared" si="2"/>
        <v>#REF!</v>
      </c>
      <c r="N23" s="246" t="s">
        <v>65</v>
      </c>
      <c r="Q23" s="180"/>
      <c r="R23" s="185"/>
      <c r="S23" s="183"/>
      <c r="T23" s="183"/>
      <c r="U23" s="183"/>
      <c r="V23" s="244"/>
      <c r="W23" s="244"/>
    </row>
    <row r="24" spans="1:23" s="245" customFormat="1" x14ac:dyDescent="0.2">
      <c r="A24" s="245" t="s">
        <v>52</v>
      </c>
      <c r="B24" s="246" t="s">
        <v>195</v>
      </c>
      <c r="C24" s="246" t="s">
        <v>195</v>
      </c>
      <c r="D24" s="269">
        <f>SUM(D15/D21)</f>
        <v>0.25752192042806232</v>
      </c>
      <c r="E24" s="269">
        <f>SUM(E15/E21)</f>
        <v>0.11342046087089561</v>
      </c>
      <c r="F24" s="269">
        <f>SUM(F15/F21)</f>
        <v>0.2095080996680401</v>
      </c>
      <c r="G24" s="269" t="e">
        <f>SUM(G12/G21)</f>
        <v>#DIV/0!</v>
      </c>
      <c r="H24" s="269">
        <f t="shared" ref="H24:M24" si="3">SUM(H15/H21)</f>
        <v>0.24211986392635776</v>
      </c>
      <c r="I24" s="551" t="e">
        <f t="shared" si="3"/>
        <v>#DIV/0!</v>
      </c>
      <c r="J24" s="551" t="e">
        <f t="shared" si="3"/>
        <v>#DIV/0!</v>
      </c>
      <c r="K24" s="269" t="e">
        <f t="shared" si="3"/>
        <v>#REF!</v>
      </c>
      <c r="L24" s="269" t="e">
        <f t="shared" si="3"/>
        <v>#REF!</v>
      </c>
      <c r="M24" s="269" t="e">
        <f t="shared" si="3"/>
        <v>#REF!</v>
      </c>
      <c r="N24" s="246" t="s">
        <v>66</v>
      </c>
      <c r="Q24" s="180"/>
      <c r="R24" s="185"/>
      <c r="S24" s="184"/>
      <c r="T24" s="184"/>
      <c r="U24" s="184"/>
      <c r="V24" s="244"/>
      <c r="W24" s="244"/>
    </row>
    <row r="25" spans="1:23" s="245" customFormat="1" x14ac:dyDescent="0.2">
      <c r="C25" s="268"/>
      <c r="I25" s="552"/>
      <c r="J25" s="552"/>
      <c r="K25" s="284"/>
      <c r="N25" s="246"/>
      <c r="Q25" s="180"/>
      <c r="R25" s="185"/>
      <c r="S25" s="182"/>
      <c r="T25" s="182"/>
      <c r="U25" s="182"/>
      <c r="V25" s="244"/>
      <c r="W25" s="244"/>
    </row>
    <row r="26" spans="1:23" s="245" customFormat="1" x14ac:dyDescent="0.2">
      <c r="A26" s="245" t="s">
        <v>84</v>
      </c>
      <c r="B26" s="246" t="s">
        <v>195</v>
      </c>
      <c r="C26" s="246" t="s">
        <v>195</v>
      </c>
      <c r="D26" s="558">
        <f>E26/E21*D21</f>
        <v>163130.26997975493</v>
      </c>
      <c r="E26" s="257">
        <v>7855891.9291101238</v>
      </c>
      <c r="F26" s="257">
        <v>2050247.7877231182</v>
      </c>
      <c r="G26" s="257"/>
      <c r="H26" s="257">
        <v>5695315</v>
      </c>
      <c r="I26" s="257">
        <f>H26/H21*I21</f>
        <v>0</v>
      </c>
      <c r="J26" s="257" t="e">
        <f>H26/H21*J21</f>
        <v>#DIV/0!</v>
      </c>
      <c r="K26" s="295">
        <f>'2013 Summary Table B '!F30</f>
        <v>2110399.8185379547</v>
      </c>
      <c r="L26" s="257">
        <f>K26</f>
        <v>2110399.8185379547</v>
      </c>
      <c r="M26" s="257">
        <f>L26</f>
        <v>2110399.8185379547</v>
      </c>
      <c r="N26" s="246" t="s">
        <v>67</v>
      </c>
      <c r="Q26" s="180"/>
      <c r="R26" s="185"/>
      <c r="S26" s="185"/>
      <c r="T26" s="185"/>
      <c r="U26" s="185"/>
      <c r="V26" s="244"/>
      <c r="W26" s="244"/>
    </row>
    <row r="27" spans="1:23" s="245" customFormat="1" x14ac:dyDescent="0.2">
      <c r="A27" s="245" t="s">
        <v>85</v>
      </c>
      <c r="B27" s="246" t="s">
        <v>195</v>
      </c>
      <c r="C27" s="246" t="s">
        <v>195</v>
      </c>
      <c r="D27" s="529">
        <f>SUM(D26/D15)</f>
        <v>3.310071829632022</v>
      </c>
      <c r="E27" s="271">
        <f>SUM(E26/E15)</f>
        <v>7.5155403864207315</v>
      </c>
      <c r="F27" s="271">
        <f>SUM(F26/F15)</f>
        <v>4.1680291514603525</v>
      </c>
      <c r="G27" s="271" t="e">
        <f>SUM(G26/G12)</f>
        <v>#DIV/0!</v>
      </c>
      <c r="H27" s="271">
        <f t="shared" ref="H27:M27" si="4">SUM(H26/H15)</f>
        <v>2.3012917230004115</v>
      </c>
      <c r="I27" s="551" t="e">
        <f t="shared" si="4"/>
        <v>#DIV/0!</v>
      </c>
      <c r="J27" s="551" t="e">
        <f t="shared" si="4"/>
        <v>#DIV/0!</v>
      </c>
      <c r="K27" s="271" t="e">
        <f t="shared" si="4"/>
        <v>#REF!</v>
      </c>
      <c r="L27" s="271" t="e">
        <f t="shared" si="4"/>
        <v>#REF!</v>
      </c>
      <c r="M27" s="271" t="e">
        <f t="shared" si="4"/>
        <v>#REF!</v>
      </c>
      <c r="N27" s="246" t="s">
        <v>68</v>
      </c>
      <c r="O27" s="280"/>
      <c r="Q27" s="180"/>
      <c r="R27" s="185"/>
      <c r="S27" s="183"/>
      <c r="T27" s="185"/>
      <c r="U27" s="183"/>
      <c r="V27" s="244"/>
      <c r="W27" s="244"/>
    </row>
    <row r="28" spans="1:23" s="245" customFormat="1" x14ac:dyDescent="0.2">
      <c r="A28" s="245" t="s">
        <v>214</v>
      </c>
      <c r="B28" s="246" t="s">
        <v>195</v>
      </c>
      <c r="C28" s="246" t="s">
        <v>195</v>
      </c>
      <c r="D28" s="249">
        <v>2</v>
      </c>
      <c r="E28" s="281">
        <v>18</v>
      </c>
      <c r="F28" s="281">
        <v>28</v>
      </c>
      <c r="G28" s="267"/>
      <c r="H28" s="281">
        <v>154</v>
      </c>
      <c r="I28" s="553"/>
      <c r="J28" s="550" t="e">
        <f>I28/I15*J15</f>
        <v>#DIV/0!</v>
      </c>
      <c r="K28" s="301">
        <f>'2013 Summary Table B '!K30</f>
        <v>22</v>
      </c>
      <c r="L28" s="267">
        <f>K28</f>
        <v>22</v>
      </c>
      <c r="M28" s="267">
        <f>L28</f>
        <v>22</v>
      </c>
      <c r="N28" s="246" t="s">
        <v>69</v>
      </c>
      <c r="Q28" s="180"/>
      <c r="R28" s="185"/>
      <c r="S28" s="183"/>
      <c r="T28" s="183"/>
      <c r="U28" s="183"/>
      <c r="V28" s="244"/>
      <c r="W28" s="244"/>
    </row>
    <row r="29" spans="1:23" s="245" customFormat="1" x14ac:dyDescent="0.2">
      <c r="A29" s="245" t="s">
        <v>215</v>
      </c>
      <c r="B29" s="246" t="s">
        <v>195</v>
      </c>
      <c r="C29" s="246" t="s">
        <v>195</v>
      </c>
      <c r="D29" s="282">
        <f>SUM(D21/D28)</f>
        <v>95687</v>
      </c>
      <c r="E29" s="282">
        <f>SUM(E21/E28)</f>
        <v>512001.66666666669</v>
      </c>
      <c r="F29" s="282">
        <f>SUM(F21/F28)</f>
        <v>83852.642857142855</v>
      </c>
      <c r="G29" s="266" t="e">
        <f>SUM(G21/G28)</f>
        <v>#DIV/0!</v>
      </c>
      <c r="H29" s="282">
        <f>SUM(H21/H28)</f>
        <v>66373.532467532466</v>
      </c>
      <c r="I29" s="550" t="e">
        <f>I21/I28</f>
        <v>#DIV/0!</v>
      </c>
      <c r="J29" s="550" t="e">
        <f>J21/J28</f>
        <v>#DIV/0!</v>
      </c>
      <c r="K29" s="312">
        <f>K21/K28</f>
        <v>154587.71450236987</v>
      </c>
      <c r="L29" s="266">
        <f>SUM(L21/L28)</f>
        <v>154587.71450236987</v>
      </c>
      <c r="M29" s="266">
        <f>SUM(M21/M28)</f>
        <v>154587.71450236987</v>
      </c>
      <c r="N29" s="246" t="s">
        <v>70</v>
      </c>
      <c r="Q29" s="180"/>
      <c r="R29" s="185"/>
      <c r="S29" s="182"/>
      <c r="T29" s="182"/>
      <c r="U29" s="182"/>
      <c r="V29" s="244"/>
      <c r="W29" s="244"/>
    </row>
    <row r="30" spans="1:23" s="245" customFormat="1" x14ac:dyDescent="0.2">
      <c r="A30" s="245" t="s">
        <v>216</v>
      </c>
      <c r="B30" s="246" t="s">
        <v>195</v>
      </c>
      <c r="C30" s="246" t="s">
        <v>195</v>
      </c>
      <c r="D30" s="257">
        <f>SUM(D15/D28)</f>
        <v>24641.5</v>
      </c>
      <c r="E30" s="257">
        <f>SUM(E15/E28)</f>
        <v>58071.464999999997</v>
      </c>
      <c r="F30" s="257">
        <f>SUM(F15/F28)</f>
        <v>17567.807857142856</v>
      </c>
      <c r="G30" s="257" t="e">
        <f>SUM(G12/G28)</f>
        <v>#DIV/0!</v>
      </c>
      <c r="H30" s="257">
        <f>SUM(H15/H28)</f>
        <v>16070.35064935065</v>
      </c>
      <c r="I30" s="558" t="e">
        <f>I15/I28</f>
        <v>#DIV/0!</v>
      </c>
      <c r="J30" s="558" t="e">
        <f>J15/J28</f>
        <v>#DIV/0!</v>
      </c>
      <c r="K30" s="283" t="e">
        <f>K15/K28</f>
        <v>#REF!</v>
      </c>
      <c r="L30" s="257" t="e">
        <f>SUM(L15/L28)</f>
        <v>#REF!</v>
      </c>
      <c r="M30" s="257" t="e">
        <f>SUM(M15/M28)</f>
        <v>#REF!</v>
      </c>
      <c r="N30" s="246" t="s">
        <v>72</v>
      </c>
      <c r="Q30" s="180"/>
      <c r="R30" s="185"/>
      <c r="S30" s="182"/>
      <c r="T30" s="182"/>
      <c r="U30" s="182"/>
      <c r="V30" s="244"/>
      <c r="W30" s="244"/>
    </row>
    <row r="31" spans="1:23" s="245" customFormat="1" x14ac:dyDescent="0.2">
      <c r="A31" s="245" t="s">
        <v>217</v>
      </c>
      <c r="B31" s="246" t="s">
        <v>195</v>
      </c>
      <c r="C31" s="246" t="s">
        <v>195</v>
      </c>
      <c r="D31" s="257">
        <f>SUM(D26/D28)</f>
        <v>81565.134989877464</v>
      </c>
      <c r="E31" s="257">
        <f>SUM(E26/E28)</f>
        <v>436438.440506118</v>
      </c>
      <c r="F31" s="257">
        <f>SUM(F26/F28)</f>
        <v>73223.135275825654</v>
      </c>
      <c r="G31" s="257" t="e">
        <f>SUM(G26/G28)</f>
        <v>#DIV/0!</v>
      </c>
      <c r="H31" s="257">
        <f>SUM(H26/H28)</f>
        <v>36982.564935064933</v>
      </c>
      <c r="I31" s="558" t="e">
        <f>I26/I28</f>
        <v>#DIV/0!</v>
      </c>
      <c r="J31" s="558" t="e">
        <f>J26/J28</f>
        <v>#DIV/0!</v>
      </c>
      <c r="K31" s="283">
        <f>K26/K28</f>
        <v>95927.264478997939</v>
      </c>
      <c r="L31" s="257">
        <f>SUM(L26/L28)</f>
        <v>95927.264478997939</v>
      </c>
      <c r="M31" s="257">
        <f>SUM(M26/M28)</f>
        <v>95927.264478997939</v>
      </c>
      <c r="N31" s="246" t="s">
        <v>73</v>
      </c>
      <c r="Q31" s="244"/>
      <c r="R31" s="244"/>
      <c r="S31" s="244"/>
      <c r="T31" s="244"/>
      <c r="U31" s="244"/>
      <c r="V31" s="244"/>
      <c r="W31" s="244"/>
    </row>
    <row r="32" spans="1:23" s="245" customFormat="1" ht="14.25" x14ac:dyDescent="0.2">
      <c r="A32" s="704" t="s">
        <v>324</v>
      </c>
      <c r="B32" s="283" t="s">
        <v>187</v>
      </c>
      <c r="C32" s="283" t="s">
        <v>187</v>
      </c>
      <c r="D32" s="945">
        <f t="shared" ref="D32:M32" si="5">D12/D21</f>
        <v>2.055660643556596E-2</v>
      </c>
      <c r="E32" s="945">
        <f t="shared" si="5"/>
        <v>0.10626647591207929</v>
      </c>
      <c r="F32" s="945">
        <f t="shared" si="5"/>
        <v>0.17666587730005953</v>
      </c>
      <c r="G32" s="945" t="e">
        <f t="shared" si="5"/>
        <v>#DIV/0!</v>
      </c>
      <c r="H32" s="945">
        <f t="shared" si="5"/>
        <v>0.19723575466828625</v>
      </c>
      <c r="I32" s="945" t="e">
        <f t="shared" si="5"/>
        <v>#DIV/0!</v>
      </c>
      <c r="J32" s="945" t="e">
        <f t="shared" si="5"/>
        <v>#DIV/0!</v>
      </c>
      <c r="K32" s="945" t="e">
        <f t="shared" si="5"/>
        <v>#REF!</v>
      </c>
      <c r="L32" s="945" t="e">
        <f t="shared" si="5"/>
        <v>#REF!</v>
      </c>
      <c r="M32" s="945" t="e">
        <f t="shared" si="5"/>
        <v>#REF!</v>
      </c>
      <c r="N32" s="557" t="s">
        <v>328</v>
      </c>
      <c r="Q32" s="244"/>
      <c r="R32" s="244"/>
      <c r="S32" s="244"/>
      <c r="T32" s="244"/>
      <c r="U32" s="244"/>
      <c r="V32" s="244"/>
      <c r="W32" s="244"/>
    </row>
    <row r="33" spans="1:23" s="245" customFormat="1" ht="14.25" x14ac:dyDescent="0.2">
      <c r="A33" s="704" t="s">
        <v>325</v>
      </c>
      <c r="B33" s="283" t="s">
        <v>187</v>
      </c>
      <c r="C33" s="283" t="s">
        <v>187</v>
      </c>
      <c r="D33" s="946">
        <f t="shared" ref="D33:M33" si="6">D13/D21</f>
        <v>9.2541306551569176E-3</v>
      </c>
      <c r="E33" s="946">
        <f t="shared" si="6"/>
        <v>3.0338442908714491E-4</v>
      </c>
      <c r="F33" s="946">
        <f t="shared" si="6"/>
        <v>5.8889744509287977E-3</v>
      </c>
      <c r="G33" s="946" t="e">
        <f t="shared" si="6"/>
        <v>#DIV/0!</v>
      </c>
      <c r="H33" s="946">
        <f t="shared" si="6"/>
        <v>2.9349830808008668E-3</v>
      </c>
      <c r="I33" s="946" t="e">
        <f t="shared" si="6"/>
        <v>#DIV/0!</v>
      </c>
      <c r="J33" s="946" t="e">
        <f t="shared" si="6"/>
        <v>#DIV/0!</v>
      </c>
      <c r="K33" s="946" t="e">
        <f t="shared" si="6"/>
        <v>#REF!</v>
      </c>
      <c r="L33" s="946" t="e">
        <f t="shared" si="6"/>
        <v>#REF!</v>
      </c>
      <c r="M33" s="946" t="e">
        <f t="shared" si="6"/>
        <v>#REF!</v>
      </c>
      <c r="N33" s="557" t="s">
        <v>329</v>
      </c>
      <c r="Q33" s="244"/>
      <c r="R33" s="244"/>
      <c r="S33" s="244"/>
      <c r="T33" s="244"/>
      <c r="U33" s="244"/>
      <c r="V33" s="244"/>
      <c r="W33" s="244"/>
    </row>
    <row r="34" spans="1:23" s="245" customFormat="1" x14ac:dyDescent="0.2">
      <c r="A34" s="247"/>
      <c r="B34" s="265"/>
      <c r="C34" s="250"/>
      <c r="D34" s="250"/>
      <c r="I34" s="267"/>
      <c r="J34" s="272"/>
      <c r="K34" s="296"/>
      <c r="L34" s="296"/>
      <c r="M34" s="296"/>
      <c r="O34" s="246"/>
      <c r="P34" s="180"/>
      <c r="Q34" s="185"/>
      <c r="R34" s="182"/>
      <c r="S34" s="182"/>
      <c r="T34" s="182"/>
      <c r="U34" s="244"/>
    </row>
    <row r="35" spans="1:23" s="245" customFormat="1" x14ac:dyDescent="0.2">
      <c r="A35" s="248" t="s">
        <v>194</v>
      </c>
      <c r="B35" s="270"/>
      <c r="C35" s="244"/>
      <c r="I35" s="257"/>
      <c r="K35" s="296"/>
      <c r="L35" s="296"/>
      <c r="M35" s="296"/>
      <c r="O35" s="246"/>
      <c r="P35" s="180"/>
      <c r="Q35" s="185"/>
      <c r="R35" s="182"/>
      <c r="S35" s="182"/>
      <c r="T35" s="182"/>
      <c r="U35" s="244"/>
    </row>
    <row r="36" spans="1:23" s="245" customFormat="1" x14ac:dyDescent="0.2">
      <c r="A36" s="248"/>
      <c r="K36" s="296"/>
      <c r="L36" s="296"/>
      <c r="M36" s="296"/>
      <c r="O36" s="246"/>
    </row>
    <row r="37" spans="1:23" s="245" customFormat="1" x14ac:dyDescent="0.2">
      <c r="A37" s="273" t="s">
        <v>185</v>
      </c>
      <c r="B37" s="250" t="s">
        <v>1</v>
      </c>
      <c r="C37" s="250" t="s">
        <v>186</v>
      </c>
      <c r="D37" s="250" t="s">
        <v>18</v>
      </c>
      <c r="K37" s="296"/>
      <c r="L37" s="296"/>
      <c r="M37" s="296"/>
      <c r="O37" s="246"/>
    </row>
    <row r="38" spans="1:23" s="245" customFormat="1" x14ac:dyDescent="0.2">
      <c r="A38" s="273">
        <v>2006</v>
      </c>
      <c r="B38" s="246" t="s">
        <v>195</v>
      </c>
      <c r="C38" s="246" t="s">
        <v>195</v>
      </c>
      <c r="D38" s="275" t="str">
        <f t="shared" ref="D38:D46" si="7">IF(ISERROR(C38/B38),"-",(C38/B38))</f>
        <v>-</v>
      </c>
      <c r="K38" s="296"/>
      <c r="L38" s="296"/>
      <c r="M38" s="296"/>
      <c r="O38" s="246"/>
    </row>
    <row r="39" spans="1:23" s="245" customFormat="1" x14ac:dyDescent="0.2">
      <c r="A39" s="273">
        <v>2007</v>
      </c>
      <c r="B39" s="246" t="s">
        <v>195</v>
      </c>
      <c r="C39" s="246" t="s">
        <v>195</v>
      </c>
      <c r="D39" s="275" t="str">
        <f t="shared" si="7"/>
        <v>-</v>
      </c>
      <c r="K39" s="296"/>
      <c r="L39" s="296"/>
      <c r="M39" s="296"/>
      <c r="O39" s="246"/>
    </row>
    <row r="40" spans="1:23" s="245" customFormat="1" x14ac:dyDescent="0.2">
      <c r="A40" s="273">
        <v>2008</v>
      </c>
      <c r="B40" s="313">
        <v>539535</v>
      </c>
      <c r="C40" s="283">
        <v>49283</v>
      </c>
      <c r="D40" s="275">
        <f t="shared" si="7"/>
        <v>9.1343471693217312E-2</v>
      </c>
      <c r="K40" s="296"/>
      <c r="L40" s="296"/>
      <c r="M40" s="296"/>
      <c r="O40" s="246"/>
    </row>
    <row r="41" spans="1:23" s="245" customFormat="1" x14ac:dyDescent="0.2">
      <c r="A41" s="273">
        <v>2009</v>
      </c>
      <c r="B41" s="274">
        <v>890000</v>
      </c>
      <c r="C41" s="313">
        <f>E15</f>
        <v>1045286.37</v>
      </c>
      <c r="D41" s="275">
        <f t="shared" si="7"/>
        <v>1.1744790674157304</v>
      </c>
      <c r="K41" s="296"/>
      <c r="L41" s="296"/>
      <c r="M41" s="296"/>
      <c r="O41" s="246"/>
    </row>
    <row r="42" spans="1:23" s="245" customFormat="1" x14ac:dyDescent="0.2">
      <c r="A42" s="273">
        <v>2010</v>
      </c>
      <c r="B42" s="274">
        <v>890000</v>
      </c>
      <c r="C42" s="313">
        <v>491898.62</v>
      </c>
      <c r="D42" s="275">
        <f t="shared" si="7"/>
        <v>0.55269507865168543</v>
      </c>
      <c r="K42" s="296"/>
      <c r="L42" s="296"/>
      <c r="M42" s="296"/>
      <c r="O42" s="246"/>
    </row>
    <row r="43" spans="1:23" s="245" customFormat="1" x14ac:dyDescent="0.2">
      <c r="A43" s="273">
        <v>2011</v>
      </c>
      <c r="B43" s="274">
        <v>1020000</v>
      </c>
      <c r="C43" s="274">
        <f>G15</f>
        <v>0</v>
      </c>
      <c r="D43" s="275">
        <f t="shared" si="7"/>
        <v>0</v>
      </c>
      <c r="K43" s="296"/>
      <c r="L43" s="296"/>
      <c r="M43" s="296"/>
      <c r="O43" s="246"/>
    </row>
    <row r="44" spans="1:23" s="245" customFormat="1" x14ac:dyDescent="0.2">
      <c r="A44" s="273" t="s">
        <v>319</v>
      </c>
      <c r="B44" s="274">
        <f>B45</f>
        <v>2474834</v>
      </c>
      <c r="C44" s="274">
        <f>I15</f>
        <v>0</v>
      </c>
      <c r="D44" s="275">
        <f t="shared" si="7"/>
        <v>0</v>
      </c>
      <c r="K44" s="296"/>
      <c r="L44" s="296"/>
      <c r="M44" s="296"/>
      <c r="O44" s="246"/>
    </row>
    <row r="45" spans="1:23" s="245" customFormat="1" x14ac:dyDescent="0.2">
      <c r="A45" s="273" t="s">
        <v>318</v>
      </c>
      <c r="B45" s="274">
        <f>H15</f>
        <v>2474834</v>
      </c>
      <c r="C45" s="274">
        <f>J15</f>
        <v>0</v>
      </c>
      <c r="D45" s="275">
        <f t="shared" si="7"/>
        <v>0</v>
      </c>
      <c r="K45" s="296"/>
      <c r="L45" s="296"/>
      <c r="M45" s="296"/>
      <c r="O45" s="246"/>
    </row>
    <row r="46" spans="1:23" s="245" customFormat="1" x14ac:dyDescent="0.2">
      <c r="A46" s="273">
        <v>2013</v>
      </c>
      <c r="B46" s="274" t="e">
        <f>K15</f>
        <v>#REF!</v>
      </c>
      <c r="C46" s="274" t="s">
        <v>195</v>
      </c>
      <c r="D46" s="275" t="str">
        <f t="shared" si="7"/>
        <v>-</v>
      </c>
      <c r="K46" s="296"/>
      <c r="L46" s="296"/>
      <c r="M46" s="296"/>
      <c r="O46" s="246"/>
    </row>
    <row r="47" spans="1:23" s="245" customFormat="1" x14ac:dyDescent="0.2">
      <c r="A47" s="273"/>
      <c r="K47" s="296"/>
      <c r="L47" s="296"/>
      <c r="M47" s="296"/>
      <c r="O47" s="246"/>
    </row>
    <row r="48" spans="1:23" s="245" customFormat="1" x14ac:dyDescent="0.2">
      <c r="A48" s="276" t="s">
        <v>193</v>
      </c>
      <c r="K48" s="296"/>
      <c r="L48" s="296"/>
      <c r="M48" s="296"/>
      <c r="O48" s="246"/>
    </row>
    <row r="49" spans="1:15" s="245" customFormat="1" x14ac:dyDescent="0.2">
      <c r="A49" s="273" t="s">
        <v>185</v>
      </c>
      <c r="B49" s="250" t="s">
        <v>188</v>
      </c>
      <c r="C49" s="250" t="s">
        <v>186</v>
      </c>
      <c r="D49" s="250" t="s">
        <v>189</v>
      </c>
      <c r="K49" s="296"/>
      <c r="L49" s="296"/>
      <c r="M49" s="296"/>
      <c r="O49" s="246"/>
    </row>
    <row r="50" spans="1:15" s="245" customFormat="1" x14ac:dyDescent="0.2">
      <c r="A50" s="273">
        <v>2006</v>
      </c>
      <c r="B50" s="314" t="s">
        <v>195</v>
      </c>
      <c r="C50" s="246" t="s">
        <v>195</v>
      </c>
      <c r="D50" s="275" t="str">
        <f t="shared" ref="D50:D58" si="8">IF(ISERROR(C50/B50),"-",(C50/B50))</f>
        <v>-</v>
      </c>
      <c r="K50" s="296"/>
      <c r="L50" s="296"/>
      <c r="M50" s="296"/>
      <c r="O50" s="246"/>
    </row>
    <row r="51" spans="1:15" s="245" customFormat="1" x14ac:dyDescent="0.2">
      <c r="A51" s="273">
        <v>2007</v>
      </c>
      <c r="B51" s="314" t="s">
        <v>195</v>
      </c>
      <c r="C51" s="246" t="s">
        <v>195</v>
      </c>
      <c r="D51" s="275" t="str">
        <f t="shared" si="8"/>
        <v>-</v>
      </c>
      <c r="K51" s="296"/>
      <c r="L51" s="296"/>
      <c r="M51" s="296"/>
      <c r="O51" s="246"/>
    </row>
    <row r="52" spans="1:15" s="245" customFormat="1" x14ac:dyDescent="0.2">
      <c r="A52" s="273">
        <v>2008</v>
      </c>
      <c r="B52" s="314" t="s">
        <v>195</v>
      </c>
      <c r="C52" s="246">
        <v>2</v>
      </c>
      <c r="D52" s="275" t="str">
        <f t="shared" si="8"/>
        <v>-</v>
      </c>
      <c r="K52" s="296"/>
      <c r="L52" s="296"/>
      <c r="M52" s="296"/>
      <c r="O52" s="246"/>
    </row>
    <row r="53" spans="1:15" s="245" customFormat="1" x14ac:dyDescent="0.2">
      <c r="A53" s="273">
        <v>2009</v>
      </c>
      <c r="B53" s="278">
        <v>30</v>
      </c>
      <c r="C53" s="246">
        <v>18</v>
      </c>
      <c r="D53" s="275">
        <f t="shared" si="8"/>
        <v>0.6</v>
      </c>
      <c r="K53" s="296"/>
      <c r="L53" s="296"/>
      <c r="M53" s="296"/>
      <c r="O53" s="246"/>
    </row>
    <row r="54" spans="1:15" s="245" customFormat="1" x14ac:dyDescent="0.2">
      <c r="A54" s="273">
        <v>2010</v>
      </c>
      <c r="B54" s="278">
        <v>51</v>
      </c>
      <c r="C54" s="246">
        <v>28</v>
      </c>
      <c r="D54" s="275">
        <f t="shared" si="8"/>
        <v>0.5490196078431373</v>
      </c>
      <c r="K54" s="296"/>
      <c r="L54" s="296"/>
      <c r="M54" s="296"/>
      <c r="O54" s="246"/>
    </row>
    <row r="55" spans="1:15" s="245" customFormat="1" x14ac:dyDescent="0.2">
      <c r="A55" s="273">
        <v>2011</v>
      </c>
      <c r="B55" s="278">
        <v>31</v>
      </c>
      <c r="C55" s="536">
        <f>G28</f>
        <v>0</v>
      </c>
      <c r="D55" s="507">
        <f t="shared" si="8"/>
        <v>0</v>
      </c>
      <c r="K55" s="296"/>
      <c r="L55" s="296"/>
      <c r="M55" s="296"/>
      <c r="O55" s="246"/>
    </row>
    <row r="56" spans="1:15" s="245" customFormat="1" x14ac:dyDescent="0.2">
      <c r="A56" s="273" t="s">
        <v>319</v>
      </c>
      <c r="B56" s="509">
        <f>B57</f>
        <v>154</v>
      </c>
      <c r="C56" s="536">
        <f>I28</f>
        <v>0</v>
      </c>
      <c r="D56" s="507">
        <f t="shared" si="8"/>
        <v>0</v>
      </c>
      <c r="K56" s="296"/>
      <c r="L56" s="296"/>
      <c r="M56" s="296"/>
      <c r="O56" s="246"/>
    </row>
    <row r="57" spans="1:15" s="245" customFormat="1" x14ac:dyDescent="0.2">
      <c r="A57" s="273" t="s">
        <v>318</v>
      </c>
      <c r="B57" s="509">
        <f>H28</f>
        <v>154</v>
      </c>
      <c r="C57" s="314" t="e">
        <f>J28</f>
        <v>#DIV/0!</v>
      </c>
      <c r="D57" s="507" t="str">
        <f t="shared" si="8"/>
        <v>-</v>
      </c>
      <c r="K57" s="296"/>
      <c r="L57" s="296"/>
      <c r="M57" s="296"/>
      <c r="O57" s="246"/>
    </row>
    <row r="58" spans="1:15" s="245" customFormat="1" x14ac:dyDescent="0.2">
      <c r="A58" s="273">
        <v>2013</v>
      </c>
      <c r="B58" s="278">
        <f>K28</f>
        <v>22</v>
      </c>
      <c r="C58" s="246" t="s">
        <v>187</v>
      </c>
      <c r="D58" s="507" t="str">
        <f t="shared" si="8"/>
        <v>-</v>
      </c>
      <c r="K58" s="296"/>
      <c r="L58" s="296"/>
      <c r="M58" s="296"/>
      <c r="O58" s="246"/>
    </row>
    <row r="59" spans="1:15" s="245" customFormat="1" x14ac:dyDescent="0.2">
      <c r="A59" s="284"/>
      <c r="K59" s="296"/>
      <c r="L59" s="296"/>
      <c r="M59" s="296"/>
      <c r="O59" s="246"/>
    </row>
    <row r="60" spans="1:15" s="245" customFormat="1" x14ac:dyDescent="0.2">
      <c r="A60" s="276" t="s">
        <v>191</v>
      </c>
      <c r="K60" s="296"/>
      <c r="L60" s="296"/>
      <c r="M60" s="296"/>
      <c r="O60" s="246"/>
    </row>
    <row r="61" spans="1:15" s="245" customFormat="1" x14ac:dyDescent="0.2">
      <c r="A61" s="273" t="s">
        <v>185</v>
      </c>
      <c r="B61" s="250" t="s">
        <v>188</v>
      </c>
      <c r="C61" s="250" t="s">
        <v>186</v>
      </c>
      <c r="D61" s="250" t="s">
        <v>189</v>
      </c>
      <c r="K61" s="296"/>
      <c r="L61" s="296"/>
      <c r="M61" s="296"/>
      <c r="O61" s="246"/>
    </row>
    <row r="62" spans="1:15" s="245" customFormat="1" x14ac:dyDescent="0.2">
      <c r="A62" s="273">
        <v>2006</v>
      </c>
      <c r="B62" s="246" t="s">
        <v>195</v>
      </c>
      <c r="C62" s="246" t="s">
        <v>195</v>
      </c>
      <c r="D62" s="275" t="str">
        <f t="shared" ref="D62:D70" si="9">IF(ISERROR(C62/B62),"-",(C62/B62))</f>
        <v>-</v>
      </c>
      <c r="K62" s="296"/>
      <c r="L62" s="296"/>
      <c r="M62" s="296"/>
      <c r="O62" s="246"/>
    </row>
    <row r="63" spans="1:15" s="245" customFormat="1" x14ac:dyDescent="0.2">
      <c r="A63" s="273">
        <v>2007</v>
      </c>
      <c r="B63" s="246" t="s">
        <v>195</v>
      </c>
      <c r="C63" s="246" t="s">
        <v>195</v>
      </c>
      <c r="D63" s="275" t="str">
        <f t="shared" si="9"/>
        <v>-</v>
      </c>
      <c r="K63" s="296"/>
      <c r="L63" s="296"/>
      <c r="M63" s="296"/>
      <c r="O63" s="246"/>
    </row>
    <row r="64" spans="1:15" s="245" customFormat="1" x14ac:dyDescent="0.2">
      <c r="A64" s="273">
        <v>2008</v>
      </c>
      <c r="B64" s="246" t="s">
        <v>195</v>
      </c>
      <c r="C64" s="312">
        <v>17218</v>
      </c>
      <c r="D64" s="275" t="str">
        <f t="shared" si="9"/>
        <v>-</v>
      </c>
      <c r="K64" s="296"/>
      <c r="L64" s="296"/>
      <c r="M64" s="296"/>
      <c r="O64" s="246"/>
    </row>
    <row r="65" spans="1:15" s="245" customFormat="1" x14ac:dyDescent="0.2">
      <c r="A65" s="273">
        <v>2009</v>
      </c>
      <c r="B65" s="278">
        <v>158038.1927350857</v>
      </c>
      <c r="C65" s="314">
        <v>639931</v>
      </c>
      <c r="D65" s="275">
        <f t="shared" si="9"/>
        <v>4.0492174007120898</v>
      </c>
      <c r="K65" s="296"/>
      <c r="L65" s="296"/>
      <c r="M65" s="296"/>
      <c r="O65" s="246"/>
    </row>
    <row r="66" spans="1:15" s="245" customFormat="1" x14ac:dyDescent="0.2">
      <c r="A66" s="273">
        <v>2010</v>
      </c>
      <c r="B66" s="278">
        <v>435940</v>
      </c>
      <c r="C66" s="314">
        <v>205653</v>
      </c>
      <c r="D66" s="275">
        <f t="shared" si="9"/>
        <v>0.47174611185025461</v>
      </c>
      <c r="K66" s="296"/>
      <c r="L66" s="296"/>
      <c r="M66" s="296"/>
      <c r="O66" s="246"/>
    </row>
    <row r="67" spans="1:15" s="245" customFormat="1" x14ac:dyDescent="0.2">
      <c r="A67" s="273">
        <v>2011</v>
      </c>
      <c r="B67" s="278">
        <v>548792</v>
      </c>
      <c r="C67" s="508">
        <f>G20</f>
        <v>0</v>
      </c>
      <c r="D67" s="507">
        <f t="shared" si="9"/>
        <v>0</v>
      </c>
      <c r="K67" s="296"/>
      <c r="L67" s="296"/>
      <c r="M67" s="296"/>
      <c r="O67" s="246"/>
    </row>
    <row r="68" spans="1:15" s="245" customFormat="1" x14ac:dyDescent="0.2">
      <c r="A68" s="273" t="s">
        <v>319</v>
      </c>
      <c r="B68" s="509">
        <f>B69</f>
        <v>888623</v>
      </c>
      <c r="C68" s="508">
        <f>I20</f>
        <v>0</v>
      </c>
      <c r="D68" s="507">
        <f t="shared" si="9"/>
        <v>0</v>
      </c>
      <c r="K68" s="296"/>
      <c r="L68" s="296"/>
      <c r="M68" s="296"/>
      <c r="O68" s="246"/>
    </row>
    <row r="69" spans="1:15" s="245" customFormat="1" x14ac:dyDescent="0.2">
      <c r="A69" s="273" t="s">
        <v>318</v>
      </c>
      <c r="B69" s="509">
        <f>H20</f>
        <v>888623</v>
      </c>
      <c r="C69" s="508" t="e">
        <f>J20</f>
        <v>#DIV/0!</v>
      </c>
      <c r="D69" s="507" t="str">
        <f t="shared" si="9"/>
        <v>-</v>
      </c>
      <c r="K69" s="296"/>
      <c r="L69" s="296"/>
      <c r="M69" s="296"/>
      <c r="O69" s="246"/>
    </row>
    <row r="70" spans="1:15" x14ac:dyDescent="0.2">
      <c r="A70" s="273">
        <v>2013</v>
      </c>
      <c r="B70" s="278">
        <f>K20</f>
        <v>302116.40070979972</v>
      </c>
      <c r="C70" s="508" t="s">
        <v>187</v>
      </c>
      <c r="D70" s="507" t="str">
        <f t="shared" si="9"/>
        <v>-</v>
      </c>
      <c r="E70" s="3"/>
      <c r="F70" s="3"/>
      <c r="G70" s="3"/>
      <c r="H70" s="3"/>
      <c r="I70" s="245"/>
      <c r="J70" s="245"/>
      <c r="K70" s="296"/>
      <c r="L70" s="296"/>
      <c r="M70" s="296"/>
      <c r="O70" s="181"/>
    </row>
    <row r="71" spans="1:15" x14ac:dyDescent="0.2">
      <c r="A71" s="273"/>
      <c r="B71" s="568"/>
      <c r="C71" s="568"/>
      <c r="I71" s="245"/>
      <c r="J71" s="245"/>
      <c r="K71" s="296"/>
      <c r="L71" s="296"/>
      <c r="M71" s="296"/>
    </row>
    <row r="72" spans="1:15" x14ac:dyDescent="0.2">
      <c r="A72" s="276" t="s">
        <v>190</v>
      </c>
      <c r="B72" s="568"/>
      <c r="C72" s="568"/>
      <c r="I72" s="245"/>
      <c r="J72" s="245"/>
      <c r="K72" s="296"/>
      <c r="L72" s="296"/>
      <c r="M72" s="296"/>
    </row>
    <row r="73" spans="1:15" x14ac:dyDescent="0.2">
      <c r="A73" s="273" t="s">
        <v>185</v>
      </c>
      <c r="B73" s="567" t="s">
        <v>188</v>
      </c>
      <c r="C73" s="567" t="s">
        <v>186</v>
      </c>
      <c r="D73" s="250" t="s">
        <v>189</v>
      </c>
      <c r="I73" s="245"/>
      <c r="J73" s="245"/>
      <c r="K73" s="296"/>
      <c r="L73" s="296"/>
      <c r="M73" s="296"/>
    </row>
    <row r="74" spans="1:15" x14ac:dyDescent="0.2">
      <c r="A74" s="273">
        <v>2006</v>
      </c>
      <c r="B74" s="314" t="s">
        <v>195</v>
      </c>
      <c r="C74" s="314" t="s">
        <v>195</v>
      </c>
      <c r="D74" s="275" t="str">
        <f t="shared" ref="D74:D82" si="10">IF(ISERROR(C74/B74),"-",(C74/B74))</f>
        <v>-</v>
      </c>
      <c r="I74" s="245"/>
      <c r="J74" s="245"/>
      <c r="K74" s="296"/>
      <c r="L74" s="296"/>
      <c r="M74" s="296"/>
    </row>
    <row r="75" spans="1:15" x14ac:dyDescent="0.2">
      <c r="A75" s="273">
        <v>2007</v>
      </c>
      <c r="B75" s="314" t="s">
        <v>195</v>
      </c>
      <c r="C75" s="314" t="s">
        <v>195</v>
      </c>
      <c r="D75" s="275" t="str">
        <f t="shared" si="10"/>
        <v>-</v>
      </c>
      <c r="I75" s="245"/>
      <c r="J75" s="245"/>
      <c r="K75" s="296"/>
      <c r="L75" s="296"/>
      <c r="M75" s="296"/>
    </row>
    <row r="76" spans="1:15" x14ac:dyDescent="0.2">
      <c r="A76" s="273">
        <v>2008</v>
      </c>
      <c r="B76" s="314" t="s">
        <v>195</v>
      </c>
      <c r="C76" s="508">
        <v>191374</v>
      </c>
      <c r="D76" s="275" t="str">
        <f t="shared" si="10"/>
        <v>-</v>
      </c>
      <c r="I76" s="245"/>
      <c r="J76" s="245"/>
      <c r="K76" s="296"/>
      <c r="L76" s="296"/>
      <c r="M76" s="296"/>
    </row>
    <row r="77" spans="1:15" x14ac:dyDescent="0.2">
      <c r="A77" s="273">
        <v>2009</v>
      </c>
      <c r="B77" s="278">
        <v>1738420.1200859428</v>
      </c>
      <c r="C77" s="314">
        <v>9216030</v>
      </c>
      <c r="D77" s="275">
        <f t="shared" si="10"/>
        <v>5.3013824986933447</v>
      </c>
      <c r="I77" s="245"/>
      <c r="J77" s="245"/>
      <c r="K77" s="296"/>
      <c r="L77" s="296"/>
      <c r="M77" s="296"/>
    </row>
    <row r="78" spans="1:15" x14ac:dyDescent="0.2">
      <c r="A78" s="273">
        <v>2010</v>
      </c>
      <c r="B78" s="278">
        <v>6693658</v>
      </c>
      <c r="C78" s="314">
        <v>2347874</v>
      </c>
      <c r="D78" s="275">
        <f t="shared" si="10"/>
        <v>0.3507609740443865</v>
      </c>
      <c r="I78" s="245"/>
      <c r="J78" s="245"/>
      <c r="K78" s="296"/>
      <c r="L78" s="296"/>
      <c r="M78" s="296"/>
    </row>
    <row r="79" spans="1:15" x14ac:dyDescent="0.2">
      <c r="A79" s="273">
        <v>2011</v>
      </c>
      <c r="B79" s="278">
        <v>7765169</v>
      </c>
      <c r="C79" s="508">
        <f>G21</f>
        <v>0</v>
      </c>
      <c r="D79" s="507">
        <f t="shared" si="10"/>
        <v>0</v>
      </c>
      <c r="I79" s="245"/>
      <c r="J79" s="245"/>
      <c r="K79" s="296"/>
      <c r="L79" s="296"/>
      <c r="M79" s="296"/>
    </row>
    <row r="80" spans="1:15" x14ac:dyDescent="0.2">
      <c r="A80" s="273" t="s">
        <v>319</v>
      </c>
      <c r="B80" s="509">
        <f>B81</f>
        <v>10221524</v>
      </c>
      <c r="C80" s="314">
        <f>I21</f>
        <v>0</v>
      </c>
      <c r="D80" s="507">
        <f t="shared" si="10"/>
        <v>0</v>
      </c>
      <c r="I80" s="245"/>
      <c r="J80" s="245"/>
      <c r="K80" s="296"/>
      <c r="L80" s="296"/>
      <c r="M80" s="296"/>
    </row>
    <row r="81" spans="1:13" x14ac:dyDescent="0.2">
      <c r="A81" s="273" t="s">
        <v>318</v>
      </c>
      <c r="B81" s="509">
        <f>H21</f>
        <v>10221524</v>
      </c>
      <c r="C81" s="314" t="e">
        <f>J21</f>
        <v>#DIV/0!</v>
      </c>
      <c r="D81" s="507" t="str">
        <f t="shared" si="10"/>
        <v>-</v>
      </c>
      <c r="I81" s="245"/>
      <c r="J81" s="245"/>
      <c r="K81" s="296"/>
      <c r="L81" s="296"/>
      <c r="M81" s="296"/>
    </row>
    <row r="82" spans="1:13" x14ac:dyDescent="0.2">
      <c r="A82" s="273">
        <v>2013</v>
      </c>
      <c r="B82" s="278">
        <f>K21</f>
        <v>3400929.7190521373</v>
      </c>
      <c r="C82" s="246" t="s">
        <v>187</v>
      </c>
      <c r="D82" s="507" t="str">
        <f t="shared" si="10"/>
        <v>-</v>
      </c>
      <c r="I82" s="245"/>
      <c r="J82" s="245"/>
      <c r="K82" s="181"/>
      <c r="L82" s="296"/>
      <c r="M82" s="296"/>
    </row>
    <row r="83" spans="1:13" x14ac:dyDescent="0.2">
      <c r="B83" s="511"/>
      <c r="C83" s="568"/>
      <c r="I83" s="245"/>
      <c r="J83" s="245"/>
      <c r="L83" s="296"/>
      <c r="M83" s="296"/>
    </row>
    <row r="84" spans="1:13" x14ac:dyDescent="0.2">
      <c r="B84" s="568"/>
      <c r="C84" s="568"/>
      <c r="I84" s="245"/>
      <c r="J84" s="245"/>
      <c r="L84" s="296"/>
      <c r="M84" s="296"/>
    </row>
    <row r="85" spans="1:13" x14ac:dyDescent="0.2">
      <c r="B85" s="568"/>
      <c r="C85" s="568"/>
      <c r="I85" s="245"/>
      <c r="J85" s="245"/>
      <c r="L85" s="296"/>
      <c r="M85" s="296"/>
    </row>
    <row r="86" spans="1:13" x14ac:dyDescent="0.2">
      <c r="B86" s="568"/>
      <c r="C86" s="568"/>
      <c r="I86" s="245"/>
      <c r="J86" s="245"/>
      <c r="L86" s="296"/>
      <c r="M86" s="296"/>
    </row>
    <row r="87" spans="1:13" x14ac:dyDescent="0.2">
      <c r="B87" s="568"/>
      <c r="C87" s="568"/>
      <c r="I87" s="245"/>
      <c r="J87" s="245"/>
      <c r="L87" s="296"/>
      <c r="M87" s="296"/>
    </row>
    <row r="88" spans="1:13" x14ac:dyDescent="0.2">
      <c r="B88" s="568"/>
      <c r="C88" s="568"/>
      <c r="I88" s="245"/>
      <c r="J88" s="245"/>
      <c r="L88" s="181"/>
      <c r="M88" s="181"/>
    </row>
    <row r="89" spans="1:13" x14ac:dyDescent="0.2">
      <c r="B89" s="568"/>
      <c r="C89" s="568"/>
      <c r="I89" s="245"/>
      <c r="J89" s="245"/>
    </row>
    <row r="90" spans="1:13" x14ac:dyDescent="0.2">
      <c r="I90" s="245"/>
      <c r="J90" s="245"/>
    </row>
    <row r="91" spans="1:13" x14ac:dyDescent="0.2">
      <c r="I91" s="245"/>
      <c r="J91" s="245"/>
    </row>
    <row r="92" spans="1:13" x14ac:dyDescent="0.2">
      <c r="I92" s="245"/>
      <c r="J92" s="245"/>
    </row>
    <row r="93" spans="1:13" x14ac:dyDescent="0.2">
      <c r="I93" s="245"/>
      <c r="J93" s="245"/>
    </row>
    <row r="94" spans="1:13" x14ac:dyDescent="0.2">
      <c r="I94" s="245"/>
      <c r="J94" s="245"/>
    </row>
    <row r="95" spans="1:13" x14ac:dyDescent="0.2">
      <c r="I95" s="245"/>
      <c r="J95" s="245"/>
    </row>
    <row r="96" spans="1:13" x14ac:dyDescent="0.2">
      <c r="I96" s="245"/>
      <c r="J96" s="245"/>
    </row>
    <row r="97" spans="9:10" x14ac:dyDescent="0.2">
      <c r="I97" s="245"/>
      <c r="J97" s="245"/>
    </row>
    <row r="98" spans="9:10" x14ac:dyDescent="0.2">
      <c r="I98" s="245"/>
      <c r="J98" s="245"/>
    </row>
    <row r="99" spans="9:10" x14ac:dyDescent="0.2">
      <c r="I99" s="245"/>
      <c r="J99" s="245"/>
    </row>
    <row r="100" spans="9:10" x14ac:dyDescent="0.2">
      <c r="I100" s="245"/>
      <c r="J100" s="245"/>
    </row>
    <row r="101" spans="9:10" x14ac:dyDescent="0.2">
      <c r="I101" s="245"/>
      <c r="J101" s="245"/>
    </row>
    <row r="102" spans="9:10" x14ac:dyDescent="0.2">
      <c r="I102" s="245"/>
      <c r="J102" s="245"/>
    </row>
    <row r="103" spans="9:10" x14ac:dyDescent="0.2">
      <c r="I103" s="245"/>
      <c r="J103" s="245"/>
    </row>
    <row r="104" spans="9:10" x14ac:dyDescent="0.2">
      <c r="I104" s="245"/>
      <c r="J104" s="245"/>
    </row>
    <row r="105" spans="9:10" x14ac:dyDescent="0.2">
      <c r="I105" s="245"/>
      <c r="J105" s="245"/>
    </row>
    <row r="106" spans="9:10" x14ac:dyDescent="0.2">
      <c r="I106" s="245"/>
      <c r="J106" s="245"/>
    </row>
    <row r="107" spans="9:10" x14ac:dyDescent="0.2">
      <c r="I107" s="245"/>
      <c r="J107" s="245"/>
    </row>
    <row r="108" spans="9:10" x14ac:dyDescent="0.2">
      <c r="I108" s="245"/>
      <c r="J108" s="245"/>
    </row>
    <row r="109" spans="9:10" x14ac:dyDescent="0.2">
      <c r="I109" s="245"/>
      <c r="J109" s="245"/>
    </row>
    <row r="110" spans="9:10" x14ac:dyDescent="0.2">
      <c r="I110" s="245"/>
      <c r="J110" s="245"/>
    </row>
    <row r="111" spans="9:10" x14ac:dyDescent="0.2">
      <c r="I111" s="245"/>
      <c r="J111" s="245"/>
    </row>
    <row r="112" spans="9:10" x14ac:dyDescent="0.2">
      <c r="I112" s="245"/>
      <c r="J112" s="245"/>
    </row>
    <row r="113" spans="9:10" x14ac:dyDescent="0.2">
      <c r="I113" s="245"/>
      <c r="J113" s="245"/>
    </row>
    <row r="114" spans="9:10" x14ac:dyDescent="0.2">
      <c r="I114" s="245"/>
      <c r="J114" s="245"/>
    </row>
    <row r="115" spans="9:10" x14ac:dyDescent="0.2">
      <c r="I115" s="245"/>
      <c r="J115" s="245"/>
    </row>
    <row r="116" spans="9:10" x14ac:dyDescent="0.2">
      <c r="I116" s="245"/>
      <c r="J116" s="245"/>
    </row>
    <row r="117" spans="9:10" x14ac:dyDescent="0.2">
      <c r="I117" s="245"/>
      <c r="J117" s="245"/>
    </row>
    <row r="118" spans="9:10" x14ac:dyDescent="0.2">
      <c r="I118" s="245"/>
      <c r="J118" s="245"/>
    </row>
    <row r="119" spans="9:10" x14ac:dyDescent="0.2">
      <c r="I119" s="245"/>
      <c r="J119" s="245"/>
    </row>
    <row r="120" spans="9:10" x14ac:dyDescent="0.2">
      <c r="I120" s="245"/>
      <c r="J120" s="245"/>
    </row>
    <row r="121" spans="9:10" ht="11.25" x14ac:dyDescent="0.2">
      <c r="I121" s="168"/>
      <c r="J121" s="168"/>
    </row>
    <row r="122" spans="9:10" ht="11.25" x14ac:dyDescent="0.2">
      <c r="I122" s="168"/>
      <c r="J122" s="168"/>
    </row>
  </sheetData>
  <mergeCells count="1">
    <mergeCell ref="A1:O1"/>
  </mergeCells>
  <phoneticPr fontId="10" type="noConversion"/>
  <pageMargins left="0.98" right="0.75" top="1.1499999999999999" bottom="1" header="0.5" footer="0.5"/>
  <pageSetup scale="10" orientation="portrait" r:id="rId1"/>
  <headerFooter alignWithMargins="0">
    <oddFooter>&amp;C&amp;1#&amp;"Calibri"&amp;12&amp;K008000Internal Use</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31">
    <tabColor indexed="47"/>
    <pageSetUpPr fitToPage="1"/>
  </sheetPr>
  <dimension ref="A1:U118"/>
  <sheetViews>
    <sheetView zoomScaleNormal="100" workbookViewId="0">
      <selection activeCell="W61" sqref="W61"/>
    </sheetView>
  </sheetViews>
  <sheetFormatPr defaultRowHeight="12.75" x14ac:dyDescent="0.2"/>
  <cols>
    <col min="1" max="1" width="39.28515625" style="168" bestFit="1" customWidth="1"/>
    <col min="2" max="7" width="13.28515625" style="168" customWidth="1"/>
    <col min="8" max="8" width="13.28515625" style="3" customWidth="1"/>
    <col min="9" max="9" width="13.28515625" style="168" customWidth="1"/>
    <col min="10" max="12" width="13.28515625" style="245" customWidth="1"/>
    <col min="13" max="13" width="6.85546875" style="168" bestFit="1" customWidth="1"/>
    <col min="14" max="14" width="11.28515625" style="168" customWidth="1"/>
    <col min="15" max="15" width="6.85546875" style="168" bestFit="1" customWidth="1"/>
    <col min="16" max="16" width="14.140625" style="168" customWidth="1"/>
    <col min="17" max="17" width="3.28515625" style="168" customWidth="1"/>
    <col min="18" max="18" width="3.7109375" style="168" customWidth="1"/>
    <col min="19" max="19" width="11.42578125" style="168" customWidth="1"/>
    <col min="20" max="20" width="10.7109375" style="168" customWidth="1"/>
    <col min="21" max="21" width="12.28515625" style="168" customWidth="1"/>
    <col min="22" max="16384" width="9.140625" style="168"/>
  </cols>
  <sheetData>
    <row r="1" spans="1:21" ht="15.75" x14ac:dyDescent="0.25">
      <c r="A1" s="3055" t="s">
        <v>76</v>
      </c>
      <c r="B1" s="3055"/>
      <c r="C1" s="3055"/>
      <c r="D1" s="3055"/>
      <c r="E1" s="3055"/>
      <c r="F1" s="3055"/>
      <c r="G1" s="3055"/>
      <c r="H1" s="3055"/>
      <c r="I1" s="3055"/>
      <c r="J1" s="3055"/>
      <c r="K1" s="3055"/>
      <c r="L1" s="3055"/>
      <c r="M1" s="3055"/>
      <c r="N1" s="1914"/>
      <c r="O1" s="1914"/>
      <c r="P1" s="170"/>
      <c r="Q1" s="170"/>
      <c r="R1" s="170"/>
      <c r="S1" s="170"/>
      <c r="T1" s="170"/>
      <c r="U1" s="170"/>
    </row>
    <row r="2" spans="1:21" x14ac:dyDescent="0.2">
      <c r="A2" s="169"/>
      <c r="P2" s="170"/>
      <c r="Q2" s="170"/>
      <c r="R2" s="170"/>
      <c r="S2" s="170"/>
      <c r="T2" s="170"/>
      <c r="U2" s="170"/>
    </row>
    <row r="3" spans="1:21" ht="15.75" x14ac:dyDescent="0.25">
      <c r="A3" s="172" t="s">
        <v>200</v>
      </c>
    </row>
    <row r="4" spans="1:21" x14ac:dyDescent="0.2">
      <c r="A4" s="169"/>
    </row>
    <row r="5" spans="1:21" s="245" customFormat="1" x14ac:dyDescent="0.2">
      <c r="A5" s="242"/>
      <c r="H5" s="171"/>
      <c r="I5" s="284"/>
      <c r="J5" s="794"/>
      <c r="K5" s="794"/>
      <c r="L5" s="794"/>
      <c r="M5" s="284"/>
      <c r="N5" s="284"/>
    </row>
    <row r="6" spans="1:21" s="245" customFormat="1" x14ac:dyDescent="0.2">
      <c r="A6" s="242"/>
      <c r="B6" s="243">
        <v>2008</v>
      </c>
      <c r="C6" s="243">
        <v>2009</v>
      </c>
      <c r="D6" s="243">
        <v>2010</v>
      </c>
      <c r="E6" s="243">
        <v>2011</v>
      </c>
      <c r="F6" s="243">
        <v>2012</v>
      </c>
      <c r="G6" s="243">
        <v>2013</v>
      </c>
      <c r="H6" s="243">
        <v>2014</v>
      </c>
      <c r="I6" s="243">
        <v>2015</v>
      </c>
      <c r="J6" s="243">
        <v>2016</v>
      </c>
      <c r="K6" s="243">
        <v>2017</v>
      </c>
      <c r="L6" s="243">
        <v>2018</v>
      </c>
    </row>
    <row r="7" spans="1:21" s="245"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row>
    <row r="8" spans="1:21" s="245" customFormat="1" x14ac:dyDescent="0.2">
      <c r="A8" s="244"/>
      <c r="F8" s="251"/>
      <c r="G8" s="284"/>
      <c r="I8" s="575"/>
      <c r="J8" s="575"/>
      <c r="K8" s="575"/>
      <c r="L8" s="575"/>
    </row>
    <row r="9" spans="1:21" s="245" customFormat="1" x14ac:dyDescent="0.2">
      <c r="A9" s="244" t="s">
        <v>53</v>
      </c>
      <c r="B9" s="252">
        <v>6918</v>
      </c>
      <c r="C9" s="252">
        <v>16048.1</v>
      </c>
      <c r="D9" s="252">
        <v>29058.44</v>
      </c>
      <c r="E9" s="252">
        <v>19598.919999999998</v>
      </c>
      <c r="F9" s="537">
        <v>19128</v>
      </c>
      <c r="G9" s="252">
        <v>41561.11</v>
      </c>
      <c r="H9" s="252">
        <v>107743.95</v>
      </c>
      <c r="I9" s="252">
        <v>128000</v>
      </c>
      <c r="J9" s="252">
        <f>'CNG Table C 2016'!$C$25</f>
        <v>128000</v>
      </c>
      <c r="K9" s="252">
        <f>'CNG Table C 2017'!$C$25</f>
        <v>139553</v>
      </c>
      <c r="L9" s="252">
        <f>'CNG Table C 2019'!$C$24</f>
        <v>118968</v>
      </c>
    </row>
    <row r="10" spans="1:21" s="245" customFormat="1" x14ac:dyDescent="0.2">
      <c r="A10" s="244" t="s">
        <v>45</v>
      </c>
      <c r="B10" s="252">
        <v>8867</v>
      </c>
      <c r="C10" s="252">
        <v>10446.25</v>
      </c>
      <c r="D10" s="252">
        <v>8019.94</v>
      </c>
      <c r="E10" s="252">
        <v>5422.97</v>
      </c>
      <c r="F10" s="537">
        <v>11392</v>
      </c>
      <c r="G10" s="252">
        <v>7636.29</v>
      </c>
      <c r="H10" s="252">
        <v>1749</v>
      </c>
      <c r="I10" s="252">
        <v>58633</v>
      </c>
      <c r="J10" s="252">
        <f>'CNG Table C 2016'!$E$25</f>
        <v>142131</v>
      </c>
      <c r="K10" s="252">
        <f>'CNG Table C 2017'!$E$25</f>
        <v>29114</v>
      </c>
      <c r="L10" s="252">
        <f>'CNG Table C 2019'!$E$24</f>
        <v>30315.72</v>
      </c>
    </row>
    <row r="11" spans="1:21" s="245" customFormat="1" x14ac:dyDescent="0.2">
      <c r="A11" s="244" t="s">
        <v>202</v>
      </c>
      <c r="B11" s="252">
        <v>0</v>
      </c>
      <c r="C11" s="252"/>
      <c r="D11" s="252">
        <v>0</v>
      </c>
      <c r="E11" s="252">
        <v>0</v>
      </c>
      <c r="F11" s="537">
        <v>0</v>
      </c>
      <c r="G11" s="252">
        <v>0</v>
      </c>
      <c r="H11" s="252">
        <v>139</v>
      </c>
      <c r="I11" s="252">
        <v>5000</v>
      </c>
      <c r="J11" s="252">
        <f>'CNG Table C 2016'!$D$25</f>
        <v>7683</v>
      </c>
      <c r="K11" s="252">
        <f>'CNG Table C 2017'!$D$25</f>
        <v>5000</v>
      </c>
      <c r="L11" s="252">
        <f>'CNG Table C 2019'!$D$24</f>
        <v>5000</v>
      </c>
    </row>
    <row r="12" spans="1:21" s="245" customFormat="1" ht="14.25" x14ac:dyDescent="0.2">
      <c r="A12" s="244" t="s">
        <v>2</v>
      </c>
      <c r="B12" s="252">
        <v>400</v>
      </c>
      <c r="C12" s="252">
        <v>113155.77</v>
      </c>
      <c r="D12" s="252">
        <v>280536.52</v>
      </c>
      <c r="E12" s="252">
        <v>444486.94</v>
      </c>
      <c r="F12" s="537">
        <v>747124</v>
      </c>
      <c r="G12" s="252">
        <v>1484295.7</v>
      </c>
      <c r="H12" s="252">
        <v>682278.86</v>
      </c>
      <c r="I12" s="257">
        <v>1025388</v>
      </c>
      <c r="J12" s="257">
        <f>'CNG Table C 2016'!$F$25</f>
        <v>1458848</v>
      </c>
      <c r="K12" s="257">
        <f>'CNG Table C 2017'!$F$25</f>
        <v>1108791.3861232756</v>
      </c>
      <c r="L12" s="257">
        <f>'CNG Table C 2019'!$F$24</f>
        <v>958611.99023619015</v>
      </c>
      <c r="M12" s="947" t="s">
        <v>326</v>
      </c>
    </row>
    <row r="13" spans="1:21" s="245" customFormat="1" ht="14.25" x14ac:dyDescent="0.2">
      <c r="A13" s="244" t="s">
        <v>14</v>
      </c>
      <c r="B13" s="252">
        <v>795</v>
      </c>
      <c r="C13" s="252">
        <v>635.32000000000005</v>
      </c>
      <c r="D13" s="252">
        <v>6895.98</v>
      </c>
      <c r="E13" s="252">
        <v>941.5300000000002</v>
      </c>
      <c r="F13" s="537">
        <v>430</v>
      </c>
      <c r="G13" s="252">
        <v>1539</v>
      </c>
      <c r="H13" s="252">
        <v>16771</v>
      </c>
      <c r="I13" s="252">
        <v>30000</v>
      </c>
      <c r="J13" s="252">
        <f>'CNG Table C 2016'!$G$25</f>
        <v>7683</v>
      </c>
      <c r="K13" s="252">
        <f>'CNG Table C 2017'!$G$25</f>
        <v>144602</v>
      </c>
      <c r="L13" s="252">
        <f>'CNG Table C 2019'!$G$24</f>
        <v>144602</v>
      </c>
      <c r="M13" s="947" t="s">
        <v>327</v>
      </c>
    </row>
    <row r="14" spans="1:21" s="245" customFormat="1" ht="15" x14ac:dyDescent="0.35">
      <c r="A14" s="244" t="s">
        <v>46</v>
      </c>
      <c r="B14" s="256">
        <v>151</v>
      </c>
      <c r="C14" s="256">
        <v>106.35</v>
      </c>
      <c r="D14" s="256">
        <v>484.26</v>
      </c>
      <c r="E14" s="256">
        <v>336.51</v>
      </c>
      <c r="F14" s="538">
        <v>367</v>
      </c>
      <c r="G14" s="256">
        <v>1112.1400000000001</v>
      </c>
      <c r="H14" s="256">
        <v>5491.54</v>
      </c>
      <c r="I14" s="256">
        <v>5000</v>
      </c>
      <c r="J14" s="256">
        <f>'CNG Table C 2016'!$H$25</f>
        <v>7683</v>
      </c>
      <c r="K14" s="256">
        <f>'CNG Table C 2017'!$H$25</f>
        <v>5000</v>
      </c>
      <c r="L14" s="256">
        <f>'CNG Table C 2019'!$H$24</f>
        <v>5000</v>
      </c>
    </row>
    <row r="15" spans="1:21" s="245" customFormat="1" x14ac:dyDescent="0.2">
      <c r="A15" s="244" t="s">
        <v>86</v>
      </c>
      <c r="B15" s="252">
        <f t="shared" ref="B15:J15" si="0">SUM(B9:B14)</f>
        <v>17131</v>
      </c>
      <c r="C15" s="252">
        <f t="shared" si="0"/>
        <v>140391.79</v>
      </c>
      <c r="D15" s="252">
        <f t="shared" si="0"/>
        <v>324995.14</v>
      </c>
      <c r="E15" s="252">
        <f t="shared" si="0"/>
        <v>470786.87000000005</v>
      </c>
      <c r="F15" s="546">
        <f t="shared" si="0"/>
        <v>778441</v>
      </c>
      <c r="G15" s="513">
        <f t="shared" si="0"/>
        <v>1536144.2399999998</v>
      </c>
      <c r="H15" s="252">
        <f>SUM(H9:H14)</f>
        <v>814173.35</v>
      </c>
      <c r="I15" s="504">
        <f t="shared" si="0"/>
        <v>1252021</v>
      </c>
      <c r="J15" s="504">
        <f t="shared" si="0"/>
        <v>1752028</v>
      </c>
      <c r="K15" s="504">
        <f>SUM(K9:K14)</f>
        <v>1432060.3861232756</v>
      </c>
      <c r="L15" s="504">
        <f>SUM(L9:L14)</f>
        <v>1262497.7102361901</v>
      </c>
      <c r="M15" s="246" t="s">
        <v>201</v>
      </c>
    </row>
    <row r="16" spans="1:21" s="245" customFormat="1" x14ac:dyDescent="0.2">
      <c r="A16" s="244"/>
      <c r="B16" s="260"/>
      <c r="F16" s="255"/>
      <c r="G16" s="284"/>
      <c r="H16" s="255"/>
      <c r="I16" s="284"/>
      <c r="J16" s="284"/>
      <c r="K16" s="284"/>
      <c r="L16" s="284"/>
    </row>
    <row r="17" spans="1:21" s="245" customFormat="1" ht="15" x14ac:dyDescent="0.35">
      <c r="A17" s="262"/>
      <c r="B17" s="258"/>
      <c r="G17" s="294"/>
      <c r="I17" s="294"/>
      <c r="J17" s="294"/>
      <c r="K17" s="294"/>
      <c r="L17" s="294"/>
      <c r="M17" s="263"/>
    </row>
    <row r="18" spans="1:21" s="245" customFormat="1" x14ac:dyDescent="0.2">
      <c r="A18" s="247" t="s">
        <v>83</v>
      </c>
      <c r="B18" s="264" t="s">
        <v>210</v>
      </c>
      <c r="C18" s="264" t="s">
        <v>220</v>
      </c>
      <c r="D18" s="264" t="s">
        <v>258</v>
      </c>
      <c r="E18" s="264" t="s">
        <v>314</v>
      </c>
      <c r="F18" s="264" t="s">
        <v>478</v>
      </c>
      <c r="G18" s="264" t="s">
        <v>562</v>
      </c>
      <c r="H18" s="264" t="s">
        <v>563</v>
      </c>
      <c r="I18" s="264" t="s">
        <v>334</v>
      </c>
      <c r="J18" s="264" t="s">
        <v>564</v>
      </c>
      <c r="K18" s="264" t="s">
        <v>565</v>
      </c>
      <c r="L18" s="264" t="s">
        <v>566</v>
      </c>
      <c r="M18" s="246"/>
      <c r="O18" s="244"/>
      <c r="P18" s="244"/>
      <c r="Q18" s="244"/>
      <c r="R18" s="244"/>
      <c r="S18" s="244"/>
      <c r="T18" s="244"/>
      <c r="U18" s="244"/>
    </row>
    <row r="19" spans="1:21" s="245" customFormat="1" x14ac:dyDescent="0.2">
      <c r="G19" s="284"/>
      <c r="I19" s="180"/>
      <c r="J19" s="180"/>
      <c r="K19" s="180"/>
      <c r="L19" s="180"/>
      <c r="M19" s="246"/>
      <c r="O19" s="186"/>
      <c r="P19" s="186"/>
      <c r="Q19" s="180"/>
      <c r="R19" s="180"/>
      <c r="S19" s="180"/>
      <c r="T19" s="244"/>
      <c r="U19" s="244"/>
    </row>
    <row r="20" spans="1:21" s="245" customFormat="1" x14ac:dyDescent="0.2">
      <c r="A20" s="245" t="s">
        <v>49</v>
      </c>
      <c r="B20" s="312">
        <v>5647</v>
      </c>
      <c r="C20" s="267">
        <v>71813</v>
      </c>
      <c r="D20" s="267">
        <v>121746</v>
      </c>
      <c r="E20" s="267">
        <v>140444</v>
      </c>
      <c r="F20" s="550">
        <v>217168</v>
      </c>
      <c r="G20" s="302">
        <v>402550</v>
      </c>
      <c r="H20" s="531">
        <v>264301</v>
      </c>
      <c r="I20" s="506">
        <v>312139</v>
      </c>
      <c r="J20" s="506">
        <f>'2016 Summary Table B'!$M$37</f>
        <v>594224.70237599814</v>
      </c>
      <c r="K20" s="506">
        <f>'2017 Summary Table B'!$M$37</f>
        <v>401589.34380808473</v>
      </c>
      <c r="L20" s="506" t="e">
        <f>'2019 Summary Table B'!$M$37</f>
        <v>#REF!</v>
      </c>
      <c r="M20" s="246" t="s">
        <v>64</v>
      </c>
      <c r="O20" s="186"/>
      <c r="P20" s="186"/>
      <c r="Q20" s="187"/>
      <c r="R20" s="187"/>
      <c r="S20" s="187"/>
      <c r="T20" s="244"/>
      <c r="U20" s="244"/>
    </row>
    <row r="21" spans="1:21" s="245" customFormat="1" x14ac:dyDescent="0.2">
      <c r="A21" s="245" t="s">
        <v>50</v>
      </c>
      <c r="B21" s="312">
        <v>56465</v>
      </c>
      <c r="C21" s="267">
        <v>831786</v>
      </c>
      <c r="D21" s="267">
        <v>1439073</v>
      </c>
      <c r="E21" s="267">
        <v>1482609</v>
      </c>
      <c r="F21" s="550">
        <v>2094295</v>
      </c>
      <c r="G21" s="302">
        <v>4516620</v>
      </c>
      <c r="H21" s="531">
        <v>2793132</v>
      </c>
      <c r="I21" s="506">
        <v>3517117</v>
      </c>
      <c r="J21" s="506">
        <f>'2016 Summary Table B'!$N$37</f>
        <v>6514177.144002378</v>
      </c>
      <c r="K21" s="506">
        <f>'2017 Summary Table B'!$N$37</f>
        <v>4411365.1742170686</v>
      </c>
      <c r="L21" s="506" t="e">
        <f>'2019 Summary Table B'!$N$37</f>
        <v>#REF!</v>
      </c>
      <c r="M21" s="246" t="s">
        <v>10</v>
      </c>
      <c r="O21" s="180"/>
      <c r="P21" s="185"/>
      <c r="Q21" s="182"/>
      <c r="R21" s="182"/>
      <c r="S21" s="182"/>
      <c r="T21" s="244"/>
      <c r="U21" s="244"/>
    </row>
    <row r="22" spans="1:21" s="245" customFormat="1" x14ac:dyDescent="0.2">
      <c r="B22" s="246"/>
      <c r="F22" s="547"/>
      <c r="G22" s="284"/>
      <c r="H22" s="527"/>
      <c r="I22" s="180"/>
      <c r="J22" s="180"/>
      <c r="K22" s="180"/>
      <c r="L22" s="180"/>
      <c r="M22" s="246"/>
      <c r="O22" s="180"/>
      <c r="P22" s="185"/>
      <c r="Q22" s="183"/>
      <c r="R22" s="183"/>
      <c r="S22" s="183"/>
      <c r="T22" s="244"/>
      <c r="U22" s="244"/>
    </row>
    <row r="23" spans="1:21" s="245" customFormat="1" x14ac:dyDescent="0.2">
      <c r="A23" s="245" t="s">
        <v>51</v>
      </c>
      <c r="B23" s="563">
        <f t="shared" ref="B23:J23" si="1">SUM(B15/B20)</f>
        <v>3.0336461838144149</v>
      </c>
      <c r="C23" s="269">
        <f t="shared" si="1"/>
        <v>1.9549634467297008</v>
      </c>
      <c r="D23" s="269">
        <f t="shared" si="1"/>
        <v>2.6694523023343684</v>
      </c>
      <c r="E23" s="269">
        <f t="shared" si="1"/>
        <v>3.3521323089630033</v>
      </c>
      <c r="F23" s="551">
        <f t="shared" si="1"/>
        <v>3.5845106092978707</v>
      </c>
      <c r="G23" s="269">
        <f t="shared" si="1"/>
        <v>3.8160333871568741</v>
      </c>
      <c r="H23" s="528">
        <f t="shared" si="1"/>
        <v>3.0804777507463079</v>
      </c>
      <c r="I23" s="269">
        <f t="shared" si="1"/>
        <v>4.0111008236715051</v>
      </c>
      <c r="J23" s="269">
        <f t="shared" si="1"/>
        <v>2.9484267365435053</v>
      </c>
      <c r="K23" s="269">
        <f>SUM(K15/K20)</f>
        <v>3.5659820366340251</v>
      </c>
      <c r="L23" s="269" t="e">
        <f>SUM(L15/L20)</f>
        <v>#REF!</v>
      </c>
      <c r="M23" s="246" t="s">
        <v>65</v>
      </c>
      <c r="O23" s="180"/>
      <c r="P23" s="185"/>
      <c r="Q23" s="183"/>
      <c r="R23" s="183"/>
      <c r="S23" s="183"/>
      <c r="T23" s="244"/>
      <c r="U23" s="244"/>
    </row>
    <row r="24" spans="1:21" s="245" customFormat="1" x14ac:dyDescent="0.2">
      <c r="A24" s="245" t="s">
        <v>52</v>
      </c>
      <c r="B24" s="563">
        <f t="shared" ref="B24:J24" si="2">SUM(B15/B21)</f>
        <v>0.30339148144868505</v>
      </c>
      <c r="C24" s="269">
        <f t="shared" si="2"/>
        <v>0.16878354528688871</v>
      </c>
      <c r="D24" s="269">
        <f t="shared" si="2"/>
        <v>0.22583645166020072</v>
      </c>
      <c r="E24" s="269">
        <f t="shared" si="2"/>
        <v>0.31753946590098941</v>
      </c>
      <c r="F24" s="551">
        <f t="shared" si="2"/>
        <v>0.37169596451311776</v>
      </c>
      <c r="G24" s="269">
        <f t="shared" si="2"/>
        <v>0.34010924983726765</v>
      </c>
      <c r="H24" s="528">
        <f t="shared" si="2"/>
        <v>0.29149118265803403</v>
      </c>
      <c r="I24" s="269">
        <f t="shared" si="2"/>
        <v>0.35597934330873837</v>
      </c>
      <c r="J24" s="269">
        <f t="shared" si="2"/>
        <v>0.26895614922187022</v>
      </c>
      <c r="K24" s="269">
        <f>SUM(K15/K21)</f>
        <v>0.32462975282417839</v>
      </c>
      <c r="L24" s="269" t="e">
        <f>SUM(L15/L21)</f>
        <v>#REF!</v>
      </c>
      <c r="M24" s="246" t="s">
        <v>66</v>
      </c>
      <c r="O24" s="180"/>
      <c r="P24" s="185"/>
      <c r="Q24" s="184"/>
      <c r="R24" s="184"/>
      <c r="S24" s="184"/>
      <c r="T24" s="244"/>
      <c r="U24" s="244"/>
    </row>
    <row r="25" spans="1:21" s="245" customFormat="1" x14ac:dyDescent="0.2">
      <c r="B25" s="246"/>
      <c r="F25" s="552"/>
      <c r="G25" s="284"/>
      <c r="H25" s="249"/>
      <c r="M25" s="246"/>
      <c r="O25" s="180"/>
      <c r="P25" s="185"/>
      <c r="Q25" s="182"/>
      <c r="R25" s="182"/>
      <c r="S25" s="182"/>
      <c r="T25" s="244"/>
      <c r="U25" s="244"/>
    </row>
    <row r="26" spans="1:21" s="245" customFormat="1" x14ac:dyDescent="0.2">
      <c r="A26" s="245" t="s">
        <v>84</v>
      </c>
      <c r="B26" s="257">
        <f>C26/C21*B21</f>
        <v>48131.672507273128</v>
      </c>
      <c r="C26" s="257">
        <v>709027.74016000505</v>
      </c>
      <c r="D26" s="257">
        <v>1256650.1586635702</v>
      </c>
      <c r="E26" s="309">
        <v>1167037.2519819315</v>
      </c>
      <c r="F26" s="257">
        <f>+F21/3543718*1976132</f>
        <v>1167870.4024812358</v>
      </c>
      <c r="G26" s="295">
        <v>2467614</v>
      </c>
      <c r="H26" s="257">
        <v>2275051</v>
      </c>
      <c r="I26" s="747">
        <v>3923396</v>
      </c>
      <c r="J26" s="747">
        <f>'2016 Summary Table B'!$F$37</f>
        <v>4856607.4929287061</v>
      </c>
      <c r="K26" s="747">
        <f>'2017 Summary Table B'!$F$37</f>
        <v>3045041.6539827245</v>
      </c>
      <c r="L26" s="747" t="e">
        <f>'2019 Summary Table B'!$F$37</f>
        <v>#REF!</v>
      </c>
      <c r="M26" s="246" t="s">
        <v>67</v>
      </c>
      <c r="O26" s="180"/>
      <c r="P26" s="185"/>
      <c r="Q26" s="185"/>
      <c r="R26" s="185"/>
      <c r="S26" s="185"/>
      <c r="T26" s="244"/>
      <c r="U26" s="244"/>
    </row>
    <row r="27" spans="1:21" s="245" customFormat="1" x14ac:dyDescent="0.2">
      <c r="A27" s="245" t="s">
        <v>85</v>
      </c>
      <c r="B27" s="564">
        <f t="shared" ref="B27:H27" si="3">SUM(B26/B15)</f>
        <v>2.8096242196762087</v>
      </c>
      <c r="C27" s="271">
        <f t="shared" si="3"/>
        <v>5.050350452544305</v>
      </c>
      <c r="D27" s="271">
        <f t="shared" si="3"/>
        <v>3.8666736944545388</v>
      </c>
      <c r="E27" s="271">
        <f t="shared" si="3"/>
        <v>2.4789078165708642</v>
      </c>
      <c r="F27" s="551">
        <f t="shared" si="3"/>
        <v>1.5002683600699807</v>
      </c>
      <c r="G27" s="271">
        <f t="shared" si="3"/>
        <v>1.6063686831908444</v>
      </c>
      <c r="H27" s="529">
        <f t="shared" si="3"/>
        <v>2.7943078706764353</v>
      </c>
      <c r="I27" s="271">
        <f>SUM(I26/I15)</f>
        <v>3.1336503141720464</v>
      </c>
      <c r="J27" s="271">
        <f>SUM(J26/J15)</f>
        <v>2.7719919390150762</v>
      </c>
      <c r="K27" s="271">
        <f>SUM(K26/K15)</f>
        <v>2.126336070384534</v>
      </c>
      <c r="L27" s="271" t="e">
        <f>SUM(L26/L15)</f>
        <v>#REF!</v>
      </c>
      <c r="M27" s="246" t="s">
        <v>68</v>
      </c>
      <c r="O27" s="180"/>
      <c r="P27" s="185"/>
      <c r="Q27" s="183"/>
      <c r="R27" s="185"/>
      <c r="S27" s="183"/>
      <c r="T27" s="244"/>
      <c r="U27" s="244"/>
    </row>
    <row r="28" spans="1:21" s="245" customFormat="1" x14ac:dyDescent="0.2">
      <c r="A28" s="245" t="s">
        <v>214</v>
      </c>
      <c r="B28" s="249">
        <v>2</v>
      </c>
      <c r="C28" s="281">
        <v>12</v>
      </c>
      <c r="D28" s="281">
        <v>23</v>
      </c>
      <c r="E28" s="281">
        <v>44</v>
      </c>
      <c r="F28" s="553">
        <v>20</v>
      </c>
      <c r="G28" s="301">
        <v>24</v>
      </c>
      <c r="H28" s="534">
        <v>31</v>
      </c>
      <c r="I28" s="506">
        <v>25</v>
      </c>
      <c r="J28" s="506">
        <f>'2016 Summary Table B'!$K$37</f>
        <v>61.544399201296244</v>
      </c>
      <c r="K28" s="506">
        <f>'2017 Summary Table B'!$K$37</f>
        <v>46.77656596062748</v>
      </c>
      <c r="L28" s="506" t="e">
        <f>'2019 Summary Table B'!$K$37</f>
        <v>#REF!</v>
      </c>
      <c r="M28" s="246" t="s">
        <v>69</v>
      </c>
      <c r="O28" s="180"/>
      <c r="P28" s="185"/>
      <c r="Q28" s="183"/>
      <c r="R28" s="183"/>
      <c r="S28" s="183"/>
      <c r="T28" s="244"/>
      <c r="U28" s="244"/>
    </row>
    <row r="29" spans="1:21" s="245" customFormat="1" x14ac:dyDescent="0.2">
      <c r="A29" s="245" t="s">
        <v>215</v>
      </c>
      <c r="B29" s="312">
        <f>SUM(B21/B28)</f>
        <v>28232.5</v>
      </c>
      <c r="C29" s="282">
        <f>SUM(C21/C28)</f>
        <v>69315.5</v>
      </c>
      <c r="D29" s="282">
        <f>SUM(D21/D28)</f>
        <v>62568.391304347824</v>
      </c>
      <c r="E29" s="282">
        <f>SUM(E21/E28)</f>
        <v>33695.659090909088</v>
      </c>
      <c r="F29" s="550">
        <f>F21/F28</f>
        <v>104714.75</v>
      </c>
      <c r="G29" s="312">
        <f>G21/G28</f>
        <v>188192.5</v>
      </c>
      <c r="H29" s="282">
        <f>SUM(H21/H28)</f>
        <v>90101.032258064515</v>
      </c>
      <c r="I29" s="266">
        <f>SUM(I21/I28)</f>
        <v>140684.68</v>
      </c>
      <c r="J29" s="266">
        <f>SUM(J21/J28)</f>
        <v>105845.16590528643</v>
      </c>
      <c r="K29" s="266">
        <f>SUM(K21/K28)</f>
        <v>94307.161794009837</v>
      </c>
      <c r="L29" s="266" t="e">
        <f>SUM(L21/L28)</f>
        <v>#REF!</v>
      </c>
      <c r="M29" s="246" t="s">
        <v>70</v>
      </c>
      <c r="O29" s="180"/>
      <c r="P29" s="185"/>
      <c r="Q29" s="182"/>
      <c r="R29" s="182"/>
      <c r="S29" s="182"/>
      <c r="T29" s="244"/>
      <c r="U29" s="244"/>
    </row>
    <row r="30" spans="1:21" s="245" customFormat="1" x14ac:dyDescent="0.2">
      <c r="A30" s="245" t="s">
        <v>216</v>
      </c>
      <c r="B30" s="565">
        <f>SUM(B15/B28)</f>
        <v>8565.5</v>
      </c>
      <c r="C30" s="257">
        <f>SUM(C15/C28)</f>
        <v>11699.315833333334</v>
      </c>
      <c r="D30" s="257">
        <f>SUM(D15/D28)</f>
        <v>14130.22347826087</v>
      </c>
      <c r="E30" s="257">
        <f>SUM(E15/E28)</f>
        <v>10699.701590909091</v>
      </c>
      <c r="F30" s="558">
        <f>SUM(F15/F28)</f>
        <v>38922.050000000003</v>
      </c>
      <c r="G30" s="283">
        <f>G15/G28</f>
        <v>64006.009999999987</v>
      </c>
      <c r="H30" s="530">
        <f>SUM(H15/H28)</f>
        <v>26263.656451612904</v>
      </c>
      <c r="I30" s="257">
        <f>SUM(I15/I28)</f>
        <v>50080.84</v>
      </c>
      <c r="J30" s="257">
        <f>SUM(J15/J28)</f>
        <v>28467.708235635826</v>
      </c>
      <c r="K30" s="257">
        <f>SUM(K15/K28)</f>
        <v>30614.910622739211</v>
      </c>
      <c r="L30" s="257" t="e">
        <f>SUM(L15/L28)</f>
        <v>#REF!</v>
      </c>
      <c r="M30" s="246" t="s">
        <v>72</v>
      </c>
      <c r="O30" s="180"/>
      <c r="P30" s="185"/>
      <c r="Q30" s="182"/>
      <c r="R30" s="182"/>
      <c r="S30" s="182"/>
      <c r="T30" s="244"/>
      <c r="U30" s="244"/>
    </row>
    <row r="31" spans="1:21" s="245" customFormat="1" x14ac:dyDescent="0.2">
      <c r="A31" s="245" t="s">
        <v>217</v>
      </c>
      <c r="B31" s="565">
        <f>SUM(B26/B28)</f>
        <v>24065.836253636564</v>
      </c>
      <c r="C31" s="257">
        <f>SUM(C26/C28)</f>
        <v>59085.645013333757</v>
      </c>
      <c r="D31" s="257">
        <f>SUM(D26/D28)</f>
        <v>54636.963420155225</v>
      </c>
      <c r="E31" s="257">
        <f>SUM(E26/E28)</f>
        <v>26523.573908680261</v>
      </c>
      <c r="F31" s="558">
        <f>F26/F28</f>
        <v>58393.52012406179</v>
      </c>
      <c r="G31" s="283">
        <f>G26/G28</f>
        <v>102817.25</v>
      </c>
      <c r="H31" s="530">
        <f>SUM(H26/H28)</f>
        <v>73388.741935483864</v>
      </c>
      <c r="I31" s="257">
        <f>SUM(I26/I28)</f>
        <v>156935.84</v>
      </c>
      <c r="J31" s="257">
        <f>SUM(J26/J28)</f>
        <v>78912.257751415615</v>
      </c>
      <c r="K31" s="257">
        <f>SUM(K26/K28)</f>
        <v>65097.588748729024</v>
      </c>
      <c r="L31" s="257" t="e">
        <f>SUM(L26/L28)</f>
        <v>#REF!</v>
      </c>
      <c r="M31" s="246" t="s">
        <v>73</v>
      </c>
      <c r="O31" s="244"/>
      <c r="P31" s="244"/>
      <c r="Q31" s="244"/>
      <c r="R31" s="244"/>
      <c r="S31" s="244"/>
      <c r="T31" s="244"/>
      <c r="U31" s="244"/>
    </row>
    <row r="32" spans="1:21" s="245" customFormat="1" ht="14.25" x14ac:dyDescent="0.2">
      <c r="A32" s="704" t="s">
        <v>324</v>
      </c>
      <c r="B32" s="945">
        <f t="shared" ref="B32:J32" si="4">B12/B21</f>
        <v>7.0840343575666346E-3</v>
      </c>
      <c r="C32" s="945">
        <f t="shared" si="4"/>
        <v>0.13603952218479273</v>
      </c>
      <c r="D32" s="945">
        <f t="shared" si="4"/>
        <v>0.19494252202633225</v>
      </c>
      <c r="E32" s="945">
        <f t="shared" si="4"/>
        <v>0.29980051382394146</v>
      </c>
      <c r="F32" s="945">
        <f t="shared" si="4"/>
        <v>0.35674248374751411</v>
      </c>
      <c r="G32" s="945">
        <f t="shared" si="4"/>
        <v>0.32862974968007047</v>
      </c>
      <c r="H32" s="945">
        <f t="shared" si="4"/>
        <v>0.24427018128752956</v>
      </c>
      <c r="I32" s="945">
        <f t="shared" si="4"/>
        <v>0.29154219208516519</v>
      </c>
      <c r="J32" s="945">
        <f t="shared" si="4"/>
        <v>0.22394969736786566</v>
      </c>
      <c r="K32" s="945">
        <f>K12/K21</f>
        <v>0.25134880979787949</v>
      </c>
      <c r="L32" s="945" t="e">
        <f>L12/L21</f>
        <v>#REF!</v>
      </c>
      <c r="M32" s="557" t="s">
        <v>328</v>
      </c>
      <c r="O32" s="244"/>
      <c r="P32" s="244"/>
      <c r="Q32" s="244"/>
      <c r="R32" s="244"/>
      <c r="S32" s="244"/>
      <c r="T32" s="244"/>
      <c r="U32" s="244"/>
    </row>
    <row r="33" spans="1:21" s="245" customFormat="1" ht="14.25" x14ac:dyDescent="0.2">
      <c r="A33" s="704" t="s">
        <v>325</v>
      </c>
      <c r="B33" s="946">
        <f t="shared" ref="B33:J33" si="5">B13/B21</f>
        <v>1.4079518285663685E-2</v>
      </c>
      <c r="C33" s="946">
        <f t="shared" si="5"/>
        <v>7.6380222797690759E-4</v>
      </c>
      <c r="D33" s="946">
        <f t="shared" si="5"/>
        <v>4.7919598241367876E-3</v>
      </c>
      <c r="E33" s="946">
        <f t="shared" si="5"/>
        <v>6.3504942975524913E-4</v>
      </c>
      <c r="F33" s="946">
        <f t="shared" si="5"/>
        <v>2.0531968991951947E-4</v>
      </c>
      <c r="G33" s="946">
        <f t="shared" si="5"/>
        <v>3.4074152795674639E-4</v>
      </c>
      <c r="H33" s="946">
        <f t="shared" si="5"/>
        <v>6.0043707207536202E-3</v>
      </c>
      <c r="I33" s="946">
        <f t="shared" si="5"/>
        <v>8.5297133987865623E-3</v>
      </c>
      <c r="J33" s="946">
        <f t="shared" si="5"/>
        <v>1.1794275516553553E-3</v>
      </c>
      <c r="K33" s="946">
        <f>K13/K21</f>
        <v>3.2779421854520138E-2</v>
      </c>
      <c r="L33" s="946" t="e">
        <f>L13/L21</f>
        <v>#REF!</v>
      </c>
      <c r="M33" s="557" t="s">
        <v>329</v>
      </c>
      <c r="O33" s="244"/>
      <c r="P33" s="244"/>
      <c r="Q33" s="244"/>
      <c r="R33" s="244"/>
      <c r="S33" s="244"/>
      <c r="T33" s="244"/>
      <c r="U33" s="244"/>
    </row>
    <row r="34" spans="1:21" s="245" customFormat="1" x14ac:dyDescent="0.2">
      <c r="A34" s="247"/>
      <c r="B34" s="265"/>
      <c r="C34" s="250"/>
      <c r="D34" s="250"/>
      <c r="H34" s="267"/>
      <c r="I34" s="296"/>
      <c r="M34" s="296"/>
      <c r="N34" s="296"/>
      <c r="P34" s="180"/>
      <c r="Q34" s="185"/>
      <c r="R34" s="182"/>
      <c r="S34" s="182"/>
      <c r="T34" s="182"/>
      <c r="U34" s="244"/>
    </row>
    <row r="35" spans="1:21" s="245" customFormat="1" x14ac:dyDescent="0.2">
      <c r="A35" s="248" t="s">
        <v>194</v>
      </c>
      <c r="B35" s="270"/>
      <c r="C35" s="244"/>
      <c r="G35" s="276" t="s">
        <v>191</v>
      </c>
      <c r="M35" s="296"/>
      <c r="N35" s="296"/>
      <c r="P35" s="180"/>
      <c r="Q35" s="185"/>
      <c r="R35" s="182"/>
      <c r="S35" s="182"/>
      <c r="T35" s="182"/>
      <c r="U35" s="244"/>
    </row>
    <row r="36" spans="1:21" s="245" customFormat="1" x14ac:dyDescent="0.2">
      <c r="A36" s="273" t="s">
        <v>185</v>
      </c>
      <c r="B36" s="250" t="s">
        <v>1</v>
      </c>
      <c r="C36" s="250" t="s">
        <v>186</v>
      </c>
      <c r="D36" s="250" t="s">
        <v>18</v>
      </c>
      <c r="G36" s="273" t="s">
        <v>185</v>
      </c>
      <c r="H36" s="250" t="s">
        <v>188</v>
      </c>
      <c r="I36" s="250" t="s">
        <v>186</v>
      </c>
      <c r="J36" s="250" t="s">
        <v>189</v>
      </c>
      <c r="M36" s="296"/>
      <c r="N36" s="296"/>
    </row>
    <row r="37" spans="1:21" s="245" customFormat="1" x14ac:dyDescent="0.2">
      <c r="A37" s="273">
        <v>2008</v>
      </c>
      <c r="B37" s="312">
        <v>400775</v>
      </c>
      <c r="C37" s="313">
        <f>B15</f>
        <v>17131</v>
      </c>
      <c r="D37" s="512">
        <f t="shared" ref="D37:D43" si="6">IF(ISERROR(C37/B37),"-",(C37/B37))</f>
        <v>4.2744682178279585E-2</v>
      </c>
      <c r="G37" s="273">
        <v>2008</v>
      </c>
      <c r="H37" s="246" t="s">
        <v>195</v>
      </c>
      <c r="I37" s="314">
        <f>B20</f>
        <v>5647</v>
      </c>
      <c r="J37" s="512" t="str">
        <f t="shared" ref="J37:J43" si="7">IF(ISERROR(I37/H37),"-",(I37/H37))</f>
        <v>-</v>
      </c>
      <c r="M37" s="296"/>
      <c r="N37" s="296"/>
    </row>
    <row r="38" spans="1:21" s="245" customFormat="1" x14ac:dyDescent="0.2">
      <c r="A38" s="273">
        <v>2009</v>
      </c>
      <c r="B38" s="274">
        <v>300000</v>
      </c>
      <c r="C38" s="313">
        <f>C15</f>
        <v>140391.79</v>
      </c>
      <c r="D38" s="512">
        <f t="shared" si="6"/>
        <v>0.46797263333333339</v>
      </c>
      <c r="G38" s="273">
        <v>2009</v>
      </c>
      <c r="H38" s="278">
        <v>88671.363083374745</v>
      </c>
      <c r="I38" s="314">
        <f>C20</f>
        <v>71813</v>
      </c>
      <c r="J38" s="512">
        <f t="shared" si="7"/>
        <v>0.80987815572967581</v>
      </c>
      <c r="M38" s="296"/>
      <c r="N38" s="296"/>
    </row>
    <row r="39" spans="1:21" s="245" customFormat="1" x14ac:dyDescent="0.2">
      <c r="A39" s="273">
        <v>2010</v>
      </c>
      <c r="B39" s="274">
        <v>501250</v>
      </c>
      <c r="C39" s="313">
        <v>324995.14</v>
      </c>
      <c r="D39" s="512">
        <f t="shared" si="6"/>
        <v>0.64836935660847883</v>
      </c>
      <c r="G39" s="273">
        <v>2010</v>
      </c>
      <c r="H39" s="278">
        <v>228129</v>
      </c>
      <c r="I39" s="314">
        <v>121746</v>
      </c>
      <c r="J39" s="512">
        <f t="shared" si="7"/>
        <v>0.5336717383585603</v>
      </c>
      <c r="M39" s="296"/>
      <c r="N39" s="296"/>
    </row>
    <row r="40" spans="1:21" s="245" customFormat="1" x14ac:dyDescent="0.2">
      <c r="A40" s="273">
        <v>2011</v>
      </c>
      <c r="B40" s="274">
        <v>760000</v>
      </c>
      <c r="C40" s="313">
        <v>470786.87000000005</v>
      </c>
      <c r="D40" s="512">
        <f t="shared" si="6"/>
        <v>0.61945640789473688</v>
      </c>
      <c r="G40" s="273">
        <v>2011</v>
      </c>
      <c r="H40" s="278">
        <v>394994</v>
      </c>
      <c r="I40" s="314">
        <v>140444</v>
      </c>
      <c r="J40" s="512">
        <f t="shared" si="7"/>
        <v>0.35555983128857654</v>
      </c>
      <c r="M40" s="296"/>
      <c r="N40" s="296"/>
    </row>
    <row r="41" spans="1:21" s="245" customFormat="1" x14ac:dyDescent="0.2">
      <c r="A41" s="273">
        <v>2012</v>
      </c>
      <c r="B41" s="313">
        <v>860000</v>
      </c>
      <c r="C41" s="566">
        <f>+F15</f>
        <v>778441</v>
      </c>
      <c r="D41" s="512">
        <f t="shared" si="6"/>
        <v>0.90516395348837209</v>
      </c>
      <c r="G41" s="273">
        <v>2012</v>
      </c>
      <c r="H41" s="314">
        <v>308078</v>
      </c>
      <c r="I41" s="278">
        <f>+F20</f>
        <v>217168</v>
      </c>
      <c r="J41" s="512">
        <f t="shared" si="7"/>
        <v>0.7049123923162316</v>
      </c>
      <c r="M41" s="296"/>
      <c r="N41" s="296"/>
    </row>
    <row r="42" spans="1:21" s="245" customFormat="1" x14ac:dyDescent="0.2">
      <c r="A42" s="273">
        <v>2013</v>
      </c>
      <c r="B42" s="309">
        <v>860000</v>
      </c>
      <c r="C42" s="313">
        <f>G15</f>
        <v>1536144.2399999998</v>
      </c>
      <c r="D42" s="512">
        <f t="shared" si="6"/>
        <v>1.7862142325581392</v>
      </c>
      <c r="G42" s="273">
        <v>2013</v>
      </c>
      <c r="H42" s="554">
        <v>223200</v>
      </c>
      <c r="I42" s="278">
        <f>G20</f>
        <v>402550</v>
      </c>
      <c r="J42" s="512">
        <f t="shared" si="7"/>
        <v>1.8035394265232976</v>
      </c>
      <c r="M42" s="296"/>
      <c r="N42" s="296"/>
    </row>
    <row r="43" spans="1:21" s="245" customFormat="1" x14ac:dyDescent="0.2">
      <c r="A43" s="273">
        <v>2014</v>
      </c>
      <c r="B43" s="274">
        <v>1025782</v>
      </c>
      <c r="C43" s="274">
        <f>H15</f>
        <v>814173.35</v>
      </c>
      <c r="D43" s="275">
        <f t="shared" si="6"/>
        <v>0.79370992082138303</v>
      </c>
      <c r="G43" s="273">
        <v>2014</v>
      </c>
      <c r="H43" s="562">
        <v>294351</v>
      </c>
      <c r="I43" s="278">
        <f>H20</f>
        <v>264301</v>
      </c>
      <c r="J43" s="275">
        <f t="shared" si="7"/>
        <v>0.89791099741465119</v>
      </c>
      <c r="M43" s="296"/>
      <c r="N43" s="296"/>
    </row>
    <row r="44" spans="1:21" s="245" customFormat="1" x14ac:dyDescent="0.2">
      <c r="A44" s="273">
        <v>2015</v>
      </c>
      <c r="B44" s="274">
        <f>I15</f>
        <v>1252021</v>
      </c>
      <c r="C44" s="274"/>
      <c r="D44" s="275"/>
      <c r="G44" s="273">
        <v>2015</v>
      </c>
      <c r="H44" s="562">
        <f>I20</f>
        <v>312139</v>
      </c>
      <c r="I44" s="278"/>
      <c r="J44" s="275"/>
      <c r="M44" s="296"/>
      <c r="N44" s="296"/>
    </row>
    <row r="45" spans="1:21" s="245" customFormat="1" x14ac:dyDescent="0.2">
      <c r="A45" s="273">
        <v>2016</v>
      </c>
      <c r="B45" s="274">
        <f>J15</f>
        <v>1752028</v>
      </c>
      <c r="C45" s="274"/>
      <c r="D45" s="275"/>
      <c r="G45" s="273">
        <v>2016</v>
      </c>
      <c r="H45" s="562">
        <f>J20</f>
        <v>594224.70237599814</v>
      </c>
      <c r="I45" s="278"/>
      <c r="J45" s="275"/>
      <c r="M45" s="296"/>
      <c r="N45" s="296"/>
    </row>
    <row r="46" spans="1:21" s="245" customFormat="1" x14ac:dyDescent="0.2">
      <c r="A46" s="273">
        <v>2017</v>
      </c>
      <c r="B46" s="274">
        <f>K15</f>
        <v>1432060.3861232756</v>
      </c>
      <c r="C46" s="274"/>
      <c r="D46" s="275"/>
      <c r="G46" s="273">
        <v>2017</v>
      </c>
      <c r="H46" s="562">
        <f>K20</f>
        <v>401589.34380808473</v>
      </c>
      <c r="I46" s="278"/>
      <c r="J46" s="275"/>
      <c r="M46" s="296"/>
      <c r="N46" s="296"/>
    </row>
    <row r="47" spans="1:21" s="245" customFormat="1" x14ac:dyDescent="0.2">
      <c r="A47" s="273">
        <v>2018</v>
      </c>
      <c r="B47" s="274">
        <f>L15</f>
        <v>1262497.7102361901</v>
      </c>
      <c r="C47" s="274"/>
      <c r="D47" s="275"/>
      <c r="G47" s="273">
        <v>2018</v>
      </c>
      <c r="H47" s="562" t="e">
        <f>L20</f>
        <v>#REF!</v>
      </c>
      <c r="I47" s="278"/>
      <c r="J47" s="275"/>
      <c r="M47" s="296"/>
      <c r="N47" s="296"/>
    </row>
    <row r="48" spans="1:21" s="245" customFormat="1" x14ac:dyDescent="0.2">
      <c r="A48" s="273"/>
      <c r="G48" s="273"/>
      <c r="H48" s="168"/>
      <c r="I48" s="168"/>
      <c r="J48" s="168"/>
      <c r="M48" s="296"/>
      <c r="N48" s="296"/>
    </row>
    <row r="49" spans="1:14" s="245" customFormat="1" x14ac:dyDescent="0.2">
      <c r="A49" s="276" t="s">
        <v>193</v>
      </c>
      <c r="G49" s="276" t="s">
        <v>190</v>
      </c>
      <c r="H49" s="168"/>
      <c r="I49" s="168"/>
      <c r="J49" s="168"/>
      <c r="M49" s="296"/>
      <c r="N49" s="296"/>
    </row>
    <row r="50" spans="1:14" s="245" customFormat="1" x14ac:dyDescent="0.2">
      <c r="A50" s="273" t="s">
        <v>185</v>
      </c>
      <c r="B50" s="250" t="s">
        <v>188</v>
      </c>
      <c r="C50" s="250" t="s">
        <v>186</v>
      </c>
      <c r="D50" s="250" t="s">
        <v>189</v>
      </c>
      <c r="G50" s="273" t="s">
        <v>185</v>
      </c>
      <c r="H50" s="250" t="s">
        <v>188</v>
      </c>
      <c r="I50" s="250" t="s">
        <v>186</v>
      </c>
      <c r="J50" s="250" t="s">
        <v>189</v>
      </c>
      <c r="M50" s="296"/>
      <c r="N50" s="296"/>
    </row>
    <row r="51" spans="1:14" s="245" customFormat="1" x14ac:dyDescent="0.2">
      <c r="A51" s="273">
        <v>2008</v>
      </c>
      <c r="B51" s="246" t="s">
        <v>195</v>
      </c>
      <c r="C51" s="246">
        <f>B28</f>
        <v>2</v>
      </c>
      <c r="D51" s="275" t="str">
        <f t="shared" ref="D51:D57" si="8">IF(ISERROR(C51/B51),"-",(C51/B51))</f>
        <v>-</v>
      </c>
      <c r="G51" s="273">
        <v>2008</v>
      </c>
      <c r="H51" s="314" t="s">
        <v>195</v>
      </c>
      <c r="I51" s="314">
        <f>B21</f>
        <v>56465</v>
      </c>
      <c r="J51" s="512" t="str">
        <f t="shared" ref="J51:J57" si="9">IF(ISERROR(I51/H51),"-",(I51/H51))</f>
        <v>-</v>
      </c>
      <c r="M51" s="296"/>
      <c r="N51" s="296"/>
    </row>
    <row r="52" spans="1:14" s="245" customFormat="1" x14ac:dyDescent="0.2">
      <c r="A52" s="273">
        <v>2009</v>
      </c>
      <c r="B52" s="278">
        <v>17</v>
      </c>
      <c r="C52" s="536">
        <f>C28</f>
        <v>12</v>
      </c>
      <c r="D52" s="275">
        <f t="shared" si="8"/>
        <v>0.70588235294117652</v>
      </c>
      <c r="G52" s="273">
        <v>2009</v>
      </c>
      <c r="H52" s="278">
        <v>975384.99391712225</v>
      </c>
      <c r="I52" s="314">
        <f>C21</f>
        <v>831786</v>
      </c>
      <c r="J52" s="512">
        <f t="shared" si="9"/>
        <v>0.8527771138446244</v>
      </c>
      <c r="M52" s="296"/>
      <c r="N52" s="296"/>
    </row>
    <row r="53" spans="1:14" s="245" customFormat="1" x14ac:dyDescent="0.2">
      <c r="A53" s="273">
        <v>2010</v>
      </c>
      <c r="B53" s="278">
        <v>27</v>
      </c>
      <c r="C53" s="536">
        <v>23</v>
      </c>
      <c r="D53" s="275">
        <f t="shared" si="8"/>
        <v>0.85185185185185186</v>
      </c>
      <c r="G53" s="273">
        <v>2010</v>
      </c>
      <c r="H53" s="278">
        <v>3502815</v>
      </c>
      <c r="I53" s="314">
        <v>1439073</v>
      </c>
      <c r="J53" s="512">
        <f t="shared" si="9"/>
        <v>0.41083328694207372</v>
      </c>
      <c r="M53" s="296"/>
      <c r="N53" s="296"/>
    </row>
    <row r="54" spans="1:14" s="245" customFormat="1" x14ac:dyDescent="0.2">
      <c r="A54" s="273">
        <v>2011</v>
      </c>
      <c r="B54" s="278">
        <v>22</v>
      </c>
      <c r="C54" s="536">
        <v>44</v>
      </c>
      <c r="D54" s="275">
        <f t="shared" si="8"/>
        <v>2</v>
      </c>
      <c r="G54" s="273">
        <v>2011</v>
      </c>
      <c r="H54" s="278">
        <v>5588992</v>
      </c>
      <c r="I54" s="314">
        <v>1482609</v>
      </c>
      <c r="J54" s="512">
        <f t="shared" si="9"/>
        <v>0.26527305818294244</v>
      </c>
      <c r="M54" s="296"/>
      <c r="N54" s="296"/>
    </row>
    <row r="55" spans="1:14" s="245" customFormat="1" x14ac:dyDescent="0.2">
      <c r="A55" s="273">
        <v>2012</v>
      </c>
      <c r="B55" s="314">
        <v>53</v>
      </c>
      <c r="C55" s="278">
        <f>+F28</f>
        <v>20</v>
      </c>
      <c r="D55" s="275">
        <f t="shared" si="8"/>
        <v>0.37735849056603776</v>
      </c>
      <c r="G55" s="273">
        <v>2012</v>
      </c>
      <c r="H55" s="314">
        <v>3543718</v>
      </c>
      <c r="I55" s="314">
        <f>+F21</f>
        <v>2094295</v>
      </c>
      <c r="J55" s="512">
        <f t="shared" si="9"/>
        <v>0.59098805266107513</v>
      </c>
      <c r="M55" s="296"/>
      <c r="N55" s="296"/>
    </row>
    <row r="56" spans="1:14" s="245" customFormat="1" x14ac:dyDescent="0.2">
      <c r="A56" s="273">
        <v>2013</v>
      </c>
      <c r="B56" s="314">
        <v>17</v>
      </c>
      <c r="C56" s="278">
        <f>G28</f>
        <v>24</v>
      </c>
      <c r="D56" s="275">
        <f t="shared" si="8"/>
        <v>1.411764705882353</v>
      </c>
      <c r="G56" s="273">
        <v>2013</v>
      </c>
      <c r="H56" s="314">
        <v>2514970</v>
      </c>
      <c r="I56" s="314">
        <f>G21</f>
        <v>4516620</v>
      </c>
      <c r="J56" s="512">
        <f t="shared" si="9"/>
        <v>1.7958941856165282</v>
      </c>
      <c r="M56" s="296"/>
      <c r="N56" s="296"/>
    </row>
    <row r="57" spans="1:14" s="245" customFormat="1" x14ac:dyDescent="0.2">
      <c r="A57" s="273">
        <v>2014</v>
      </c>
      <c r="B57" s="278">
        <v>20</v>
      </c>
      <c r="C57" s="278">
        <f>H28</f>
        <v>31</v>
      </c>
      <c r="D57" s="275">
        <f t="shared" si="8"/>
        <v>1.55</v>
      </c>
      <c r="G57" s="273">
        <v>2014</v>
      </c>
      <c r="H57" s="562">
        <v>3316691</v>
      </c>
      <c r="I57" s="278">
        <f>H21</f>
        <v>2793132</v>
      </c>
      <c r="J57" s="275">
        <f t="shared" si="9"/>
        <v>0.84214417321360358</v>
      </c>
      <c r="M57" s="296"/>
      <c r="N57" s="296"/>
    </row>
    <row r="58" spans="1:14" s="245" customFormat="1" x14ac:dyDescent="0.2">
      <c r="A58" s="273">
        <v>2015</v>
      </c>
      <c r="B58" s="278">
        <f>I28</f>
        <v>25</v>
      </c>
      <c r="C58" s="278"/>
      <c r="D58" s="275"/>
      <c r="G58" s="273">
        <v>2015</v>
      </c>
      <c r="H58" s="562">
        <f>I21</f>
        <v>3517117</v>
      </c>
      <c r="I58" s="278"/>
      <c r="J58" s="275"/>
      <c r="M58" s="296"/>
      <c r="N58" s="296"/>
    </row>
    <row r="59" spans="1:14" s="245" customFormat="1" x14ac:dyDescent="0.2">
      <c r="A59" s="273">
        <v>2016</v>
      </c>
      <c r="B59" s="278">
        <f>J28</f>
        <v>61.544399201296244</v>
      </c>
      <c r="G59" s="273">
        <v>2016</v>
      </c>
      <c r="H59" s="562">
        <f>J21</f>
        <v>6514177.144002378</v>
      </c>
      <c r="I59" s="296"/>
      <c r="M59" s="296"/>
      <c r="N59" s="296"/>
    </row>
    <row r="60" spans="1:14" s="245" customFormat="1" x14ac:dyDescent="0.2">
      <c r="A60" s="273">
        <v>2017</v>
      </c>
      <c r="B60" s="278">
        <f>K28</f>
        <v>46.77656596062748</v>
      </c>
      <c r="G60" s="273">
        <v>2017</v>
      </c>
      <c r="H60" s="562">
        <f>K21</f>
        <v>4411365.1742170686</v>
      </c>
      <c r="I60" s="296"/>
      <c r="M60" s="296"/>
      <c r="N60" s="296"/>
    </row>
    <row r="61" spans="1:14" s="245" customFormat="1" x14ac:dyDescent="0.2">
      <c r="A61" s="273">
        <v>2018</v>
      </c>
      <c r="B61" s="278" t="e">
        <f>L28</f>
        <v>#REF!</v>
      </c>
      <c r="G61" s="273">
        <v>2018</v>
      </c>
      <c r="H61" s="562" t="e">
        <f>L21</f>
        <v>#REF!</v>
      </c>
      <c r="I61" s="296"/>
      <c r="M61" s="296"/>
      <c r="N61" s="296"/>
    </row>
    <row r="62" spans="1:14" s="245" customFormat="1" x14ac:dyDescent="0.2">
      <c r="I62" s="296"/>
      <c r="M62" s="296"/>
      <c r="N62" s="296"/>
    </row>
    <row r="63" spans="1:14" s="245" customFormat="1" x14ac:dyDescent="0.2">
      <c r="I63" s="296"/>
      <c r="M63" s="296"/>
      <c r="N63" s="296"/>
    </row>
    <row r="64" spans="1:14" s="245" customFormat="1" x14ac:dyDescent="0.2">
      <c r="I64" s="296"/>
      <c r="M64" s="296"/>
      <c r="N64" s="296"/>
    </row>
    <row r="65" spans="5:14" s="245" customFormat="1" x14ac:dyDescent="0.2">
      <c r="I65" s="296"/>
      <c r="M65" s="296"/>
      <c r="N65" s="296"/>
    </row>
    <row r="66" spans="5:14" s="245" customFormat="1" x14ac:dyDescent="0.2">
      <c r="I66" s="296"/>
      <c r="M66" s="296"/>
      <c r="N66" s="296"/>
    </row>
    <row r="67" spans="5:14" x14ac:dyDescent="0.2">
      <c r="E67" s="3"/>
      <c r="F67" s="3"/>
      <c r="G67" s="3"/>
      <c r="H67" s="245"/>
      <c r="I67" s="296"/>
      <c r="M67" s="296"/>
      <c r="N67" s="296"/>
    </row>
    <row r="68" spans="5:14" x14ac:dyDescent="0.2">
      <c r="E68" s="3"/>
      <c r="F68" s="3"/>
      <c r="G68" s="3"/>
      <c r="H68" s="245"/>
      <c r="I68" s="296"/>
      <c r="M68" s="296"/>
      <c r="N68" s="296"/>
    </row>
    <row r="69" spans="5:14" x14ac:dyDescent="0.2">
      <c r="E69" s="3"/>
      <c r="F69" s="3"/>
      <c r="G69" s="3"/>
      <c r="H69" s="245"/>
      <c r="I69" s="296"/>
      <c r="M69" s="296"/>
      <c r="N69" s="296"/>
    </row>
    <row r="70" spans="5:14" x14ac:dyDescent="0.2">
      <c r="H70" s="245"/>
      <c r="I70" s="296"/>
      <c r="M70" s="296"/>
      <c r="N70" s="296"/>
    </row>
    <row r="71" spans="5:14" x14ac:dyDescent="0.2">
      <c r="H71" s="245"/>
      <c r="I71" s="296"/>
      <c r="M71" s="296"/>
      <c r="N71" s="296"/>
    </row>
    <row r="72" spans="5:14" x14ac:dyDescent="0.2">
      <c r="H72" s="245"/>
      <c r="I72" s="296"/>
      <c r="M72" s="296"/>
      <c r="N72" s="296"/>
    </row>
    <row r="73" spans="5:14" x14ac:dyDescent="0.2">
      <c r="H73" s="245"/>
      <c r="I73" s="296"/>
      <c r="M73" s="296"/>
      <c r="N73" s="296"/>
    </row>
    <row r="74" spans="5:14" x14ac:dyDescent="0.2">
      <c r="H74" s="245"/>
      <c r="I74" s="296"/>
      <c r="M74" s="296"/>
      <c r="N74" s="296"/>
    </row>
    <row r="75" spans="5:14" x14ac:dyDescent="0.2">
      <c r="H75" s="245"/>
      <c r="I75" s="296"/>
      <c r="M75" s="296"/>
      <c r="N75" s="296"/>
    </row>
    <row r="76" spans="5:14" x14ac:dyDescent="0.2">
      <c r="H76" s="245"/>
      <c r="I76" s="296"/>
      <c r="M76" s="296"/>
      <c r="N76" s="296"/>
    </row>
    <row r="77" spans="5:14" x14ac:dyDescent="0.2">
      <c r="H77" s="245"/>
      <c r="I77" s="296"/>
      <c r="M77" s="296"/>
      <c r="N77" s="296"/>
    </row>
    <row r="78" spans="5:14" x14ac:dyDescent="0.2">
      <c r="H78" s="245"/>
      <c r="I78" s="181"/>
      <c r="M78" s="181"/>
      <c r="N78" s="181"/>
    </row>
    <row r="79" spans="5:14" x14ac:dyDescent="0.2">
      <c r="H79" s="245"/>
    </row>
    <row r="80" spans="5:14" x14ac:dyDescent="0.2">
      <c r="H80" s="245"/>
    </row>
    <row r="81" spans="8:8" x14ac:dyDescent="0.2">
      <c r="H81" s="245"/>
    </row>
    <row r="82" spans="8:8" x14ac:dyDescent="0.2">
      <c r="H82" s="245"/>
    </row>
    <row r="83" spans="8:8" x14ac:dyDescent="0.2">
      <c r="H83" s="245"/>
    </row>
    <row r="84" spans="8:8" x14ac:dyDescent="0.2">
      <c r="H84" s="245"/>
    </row>
    <row r="85" spans="8:8" x14ac:dyDescent="0.2">
      <c r="H85" s="245"/>
    </row>
    <row r="86" spans="8:8" x14ac:dyDescent="0.2">
      <c r="H86" s="245"/>
    </row>
    <row r="87" spans="8:8" x14ac:dyDescent="0.2">
      <c r="H87" s="245"/>
    </row>
    <row r="88" spans="8:8" x14ac:dyDescent="0.2">
      <c r="H88" s="245"/>
    </row>
    <row r="89" spans="8:8" x14ac:dyDescent="0.2">
      <c r="H89" s="245"/>
    </row>
    <row r="90" spans="8:8" x14ac:dyDescent="0.2">
      <c r="H90" s="245"/>
    </row>
    <row r="91" spans="8:8" x14ac:dyDescent="0.2">
      <c r="H91" s="245"/>
    </row>
    <row r="92" spans="8:8" x14ac:dyDescent="0.2">
      <c r="H92" s="245"/>
    </row>
    <row r="93" spans="8:8" x14ac:dyDescent="0.2">
      <c r="H93" s="245"/>
    </row>
    <row r="94" spans="8:8" x14ac:dyDescent="0.2">
      <c r="H94" s="245"/>
    </row>
    <row r="95" spans="8:8" x14ac:dyDescent="0.2">
      <c r="H95" s="245"/>
    </row>
    <row r="96" spans="8:8" x14ac:dyDescent="0.2">
      <c r="H96" s="245"/>
    </row>
    <row r="97" spans="8:8" x14ac:dyDescent="0.2">
      <c r="H97" s="245"/>
    </row>
    <row r="98" spans="8:8" x14ac:dyDescent="0.2">
      <c r="H98" s="245"/>
    </row>
    <row r="99" spans="8:8" x14ac:dyDescent="0.2">
      <c r="H99" s="245"/>
    </row>
    <row r="100" spans="8:8" x14ac:dyDescent="0.2">
      <c r="H100" s="245"/>
    </row>
    <row r="101" spans="8:8" x14ac:dyDescent="0.2">
      <c r="H101" s="245"/>
    </row>
    <row r="102" spans="8:8" x14ac:dyDescent="0.2">
      <c r="H102" s="245"/>
    </row>
    <row r="103" spans="8:8" x14ac:dyDescent="0.2">
      <c r="H103" s="245"/>
    </row>
    <row r="104" spans="8:8" x14ac:dyDescent="0.2">
      <c r="H104" s="245"/>
    </row>
    <row r="105" spans="8:8" x14ac:dyDescent="0.2">
      <c r="H105" s="245"/>
    </row>
    <row r="106" spans="8:8" x14ac:dyDescent="0.2">
      <c r="H106" s="245"/>
    </row>
    <row r="107" spans="8:8" x14ac:dyDescent="0.2">
      <c r="H107" s="245"/>
    </row>
    <row r="108" spans="8:8" x14ac:dyDescent="0.2">
      <c r="H108" s="245"/>
    </row>
    <row r="109" spans="8:8" x14ac:dyDescent="0.2">
      <c r="H109" s="245"/>
    </row>
    <row r="110" spans="8:8" x14ac:dyDescent="0.2">
      <c r="H110" s="245"/>
    </row>
    <row r="111" spans="8:8" x14ac:dyDescent="0.2">
      <c r="H111" s="245"/>
    </row>
    <row r="112" spans="8:8" x14ac:dyDescent="0.2">
      <c r="H112" s="245"/>
    </row>
    <row r="113" spans="8:8" x14ac:dyDescent="0.2">
      <c r="H113" s="245"/>
    </row>
    <row r="114" spans="8:8" x14ac:dyDescent="0.2">
      <c r="H114" s="245"/>
    </row>
    <row r="115" spans="8:8" x14ac:dyDescent="0.2">
      <c r="H115" s="245"/>
    </row>
    <row r="116" spans="8:8" x14ac:dyDescent="0.2">
      <c r="H116" s="245"/>
    </row>
    <row r="117" spans="8:8" x14ac:dyDescent="0.2">
      <c r="H117" s="168"/>
    </row>
    <row r="118" spans="8:8" x14ac:dyDescent="0.2">
      <c r="H118" s="168"/>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6383" man="1"/>
  </row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32">
    <tabColor indexed="44"/>
    <pageSetUpPr fitToPage="1"/>
  </sheetPr>
  <dimension ref="A1:U78"/>
  <sheetViews>
    <sheetView zoomScaleNormal="100" workbookViewId="0">
      <selection activeCell="W61" sqref="W61"/>
    </sheetView>
  </sheetViews>
  <sheetFormatPr defaultRowHeight="12.75" x14ac:dyDescent="0.2"/>
  <cols>
    <col min="1" max="1" width="39.28515625" style="168" bestFit="1" customWidth="1"/>
    <col min="2" max="9" width="13.28515625" style="168" customWidth="1"/>
    <col min="10" max="12" width="13.28515625" style="245" customWidth="1"/>
    <col min="13" max="13" width="6.85546875" style="168" bestFit="1" customWidth="1"/>
    <col min="14" max="14" width="11.28515625" style="168" customWidth="1"/>
    <col min="15" max="15" width="6.85546875" style="168" bestFit="1" customWidth="1"/>
    <col min="16" max="16" width="14.140625" style="168" customWidth="1"/>
    <col min="17" max="17" width="3.28515625" style="168" customWidth="1"/>
    <col min="18" max="18" width="3.7109375" style="168" customWidth="1"/>
    <col min="19" max="19" width="3.5703125" style="168" customWidth="1"/>
    <col min="20" max="20" width="10.7109375" style="168" customWidth="1"/>
    <col min="21" max="21" width="12.28515625" style="168" customWidth="1"/>
    <col min="22" max="16384" width="9.140625" style="168"/>
  </cols>
  <sheetData>
    <row r="1" spans="1:21" ht="15.75" x14ac:dyDescent="0.25">
      <c r="A1" s="3055" t="s">
        <v>77</v>
      </c>
      <c r="B1" s="3055"/>
      <c r="C1" s="3055"/>
      <c r="D1" s="3055"/>
      <c r="E1" s="3055"/>
      <c r="F1" s="3055"/>
      <c r="G1" s="3055"/>
      <c r="H1" s="3055"/>
      <c r="I1" s="3055"/>
      <c r="J1" s="3055"/>
      <c r="K1" s="3055"/>
      <c r="L1" s="3055"/>
      <c r="M1" s="3055"/>
      <c r="N1" s="1914"/>
      <c r="O1" s="1914"/>
      <c r="P1" s="170"/>
      <c r="Q1" s="170"/>
      <c r="R1" s="170"/>
      <c r="S1" s="170"/>
      <c r="T1" s="170"/>
      <c r="U1" s="170"/>
    </row>
    <row r="2" spans="1:21" x14ac:dyDescent="0.2">
      <c r="A2" s="169"/>
      <c r="P2" s="170"/>
      <c r="Q2" s="170"/>
      <c r="R2" s="170"/>
      <c r="S2" s="170"/>
      <c r="T2" s="170"/>
      <c r="U2" s="170"/>
    </row>
    <row r="3" spans="1:21" ht="15.75" x14ac:dyDescent="0.25">
      <c r="A3" s="172" t="s">
        <v>200</v>
      </c>
    </row>
    <row r="4" spans="1:21" x14ac:dyDescent="0.2">
      <c r="A4" s="169"/>
    </row>
    <row r="5" spans="1:21" s="245" customFormat="1" x14ac:dyDescent="0.2">
      <c r="A5" s="242"/>
      <c r="I5" s="284"/>
      <c r="J5" s="794"/>
      <c r="K5" s="794"/>
      <c r="L5" s="794"/>
      <c r="M5" s="284"/>
      <c r="N5" s="284"/>
    </row>
    <row r="6" spans="1:21" s="245" customFormat="1" x14ac:dyDescent="0.2">
      <c r="A6" s="242"/>
      <c r="B6" s="243">
        <v>2008</v>
      </c>
      <c r="C6" s="243">
        <v>2009</v>
      </c>
      <c r="D6" s="243">
        <v>2010</v>
      </c>
      <c r="E6" s="243">
        <v>2011</v>
      </c>
      <c r="F6" s="243">
        <v>2012</v>
      </c>
      <c r="G6" s="243">
        <v>2013</v>
      </c>
      <c r="H6" s="243">
        <v>2014</v>
      </c>
      <c r="I6" s="243">
        <v>2015</v>
      </c>
      <c r="J6" s="243">
        <v>2016</v>
      </c>
      <c r="K6" s="243">
        <v>2017</v>
      </c>
      <c r="L6" s="243">
        <v>2018</v>
      </c>
    </row>
    <row r="7" spans="1:21" s="245"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row>
    <row r="8" spans="1:21" s="245" customFormat="1" x14ac:dyDescent="0.2">
      <c r="A8" s="244"/>
      <c r="G8" s="284"/>
      <c r="I8" s="575"/>
      <c r="J8" s="575"/>
      <c r="K8" s="575"/>
      <c r="L8" s="575"/>
    </row>
    <row r="9" spans="1:21" s="245" customFormat="1" x14ac:dyDescent="0.2">
      <c r="A9" s="244" t="s">
        <v>53</v>
      </c>
      <c r="B9" s="252">
        <v>4113</v>
      </c>
      <c r="C9" s="252">
        <v>4141.3</v>
      </c>
      <c r="D9" s="252">
        <v>5401.8</v>
      </c>
      <c r="E9" s="252">
        <v>9260.65</v>
      </c>
      <c r="F9" s="252">
        <v>100084</v>
      </c>
      <c r="G9" s="252">
        <v>177632.59</v>
      </c>
      <c r="H9" s="252">
        <v>156337.70000000001</v>
      </c>
      <c r="I9" s="252">
        <v>101500</v>
      </c>
      <c r="J9" s="252">
        <f>'SCG Table C 2016'!$C$25</f>
        <v>101500</v>
      </c>
      <c r="K9" s="252">
        <f>'SCG Table C 2017'!$C$25</f>
        <v>139553</v>
      </c>
      <c r="L9" s="252">
        <f>'SCG Table C 2019'!$C$24</f>
        <v>81488</v>
      </c>
    </row>
    <row r="10" spans="1:21" s="245" customFormat="1" x14ac:dyDescent="0.2">
      <c r="A10" s="244" t="s">
        <v>45</v>
      </c>
      <c r="B10" s="252">
        <v>1198</v>
      </c>
      <c r="C10" s="252">
        <v>1236.25</v>
      </c>
      <c r="D10" s="252">
        <v>527.44000000000005</v>
      </c>
      <c r="E10" s="252">
        <v>1508.75</v>
      </c>
      <c r="F10" s="252">
        <v>341</v>
      </c>
      <c r="G10" s="252">
        <v>341.46</v>
      </c>
      <c r="H10" s="252">
        <v>18377.5</v>
      </c>
      <c r="I10" s="252">
        <v>39633</v>
      </c>
      <c r="J10" s="252">
        <f>'SCG Table C 2016'!$E$25</f>
        <v>61901</v>
      </c>
      <c r="K10" s="252">
        <f>'SCG Table C 2017'!$E$25</f>
        <v>12000</v>
      </c>
      <c r="L10" s="252">
        <f>'SCG Table C 2019'!$E$24</f>
        <v>13315.26</v>
      </c>
    </row>
    <row r="11" spans="1:21" s="245" customFormat="1" x14ac:dyDescent="0.2">
      <c r="A11" s="244" t="s">
        <v>202</v>
      </c>
      <c r="B11" s="252">
        <v>0</v>
      </c>
      <c r="C11" s="252">
        <v>0</v>
      </c>
      <c r="D11" s="252">
        <v>0</v>
      </c>
      <c r="E11" s="252">
        <v>0</v>
      </c>
      <c r="F11" s="252">
        <v>0</v>
      </c>
      <c r="G11" s="252">
        <v>0</v>
      </c>
      <c r="H11" s="252">
        <v>0</v>
      </c>
      <c r="I11" s="252">
        <v>2000</v>
      </c>
      <c r="J11" s="252">
        <f>'SCG Table C 2016'!$D$25</f>
        <v>4370</v>
      </c>
      <c r="K11" s="252">
        <f>'SCG Table C 2017'!$D$25</f>
        <v>2000</v>
      </c>
      <c r="L11" s="252">
        <f>'SCG Table C 2019'!$D$24</f>
        <v>2000</v>
      </c>
    </row>
    <row r="12" spans="1:21" s="245" customFormat="1" ht="14.25" x14ac:dyDescent="0.2">
      <c r="A12" s="244" t="s">
        <v>2</v>
      </c>
      <c r="B12" s="252">
        <v>54060</v>
      </c>
      <c r="C12" s="252">
        <v>179427</v>
      </c>
      <c r="D12" s="252">
        <v>72281</v>
      </c>
      <c r="E12" s="252">
        <v>1025204.28</v>
      </c>
      <c r="F12" s="252">
        <v>66982</v>
      </c>
      <c r="G12" s="252">
        <v>651786.58000000007</v>
      </c>
      <c r="H12" s="252">
        <v>621414.09000000008</v>
      </c>
      <c r="I12" s="257">
        <v>343287</v>
      </c>
      <c r="J12" s="257">
        <f>'SCG Table C 2016'!$F$25</f>
        <v>524401</v>
      </c>
      <c r="K12" s="257">
        <f>'SCG Table C 2017'!$F$25</f>
        <v>666169</v>
      </c>
      <c r="L12" s="257">
        <f>'SCG Table C 2019'!$F$24</f>
        <v>1211948</v>
      </c>
      <c r="M12" s="947" t="s">
        <v>326</v>
      </c>
    </row>
    <row r="13" spans="1:21" s="245" customFormat="1" ht="14.25" x14ac:dyDescent="0.2">
      <c r="A13" s="244" t="s">
        <v>14</v>
      </c>
      <c r="B13" s="252">
        <v>800</v>
      </c>
      <c r="C13" s="252">
        <v>525.91999999999996</v>
      </c>
      <c r="D13" s="252">
        <v>5984.92</v>
      </c>
      <c r="E13" s="252">
        <v>937.34</v>
      </c>
      <c r="F13" s="252">
        <v>893</v>
      </c>
      <c r="G13" s="252">
        <v>2642</v>
      </c>
      <c r="H13" s="252">
        <v>7717</v>
      </c>
      <c r="I13" s="252">
        <v>10500</v>
      </c>
      <c r="J13" s="252">
        <f>'SCG Table C 2016'!$G$25</f>
        <v>13110</v>
      </c>
      <c r="K13" s="252">
        <f>'SCG Table C 2017'!$G$25</f>
        <v>14814</v>
      </c>
      <c r="L13" s="252">
        <f>'SCG Table C 2019'!$G$24</f>
        <v>14814</v>
      </c>
      <c r="M13" s="947" t="s">
        <v>327</v>
      </c>
    </row>
    <row r="14" spans="1:21" s="245" customFormat="1" ht="15" x14ac:dyDescent="0.35">
      <c r="A14" s="244" t="s">
        <v>46</v>
      </c>
      <c r="B14" s="256">
        <v>159</v>
      </c>
      <c r="C14" s="256">
        <v>43.55</v>
      </c>
      <c r="D14" s="256">
        <v>126.83</v>
      </c>
      <c r="E14" s="256">
        <v>6.78</v>
      </c>
      <c r="F14" s="256">
        <v>537</v>
      </c>
      <c r="G14" s="256">
        <v>3265</v>
      </c>
      <c r="H14" s="256">
        <v>4237.05</v>
      </c>
      <c r="I14" s="256">
        <v>4200</v>
      </c>
      <c r="J14" s="256">
        <f>'SCG Table C 2016'!$H$25</f>
        <v>4370</v>
      </c>
      <c r="K14" s="256">
        <f>'SCG Table C 2017'!$H$25</f>
        <v>4200</v>
      </c>
      <c r="L14" s="256">
        <f>'SCG Table C 2019'!$H$24</f>
        <v>4200</v>
      </c>
    </row>
    <row r="15" spans="1:21" s="245" customFormat="1" x14ac:dyDescent="0.2">
      <c r="A15" s="244" t="s">
        <v>86</v>
      </c>
      <c r="B15" s="252">
        <f t="shared" ref="B15:J15" si="0">SUM(B9:B14)</f>
        <v>60330</v>
      </c>
      <c r="C15" s="252">
        <f t="shared" si="0"/>
        <v>185374.02</v>
      </c>
      <c r="D15" s="252">
        <f t="shared" si="0"/>
        <v>84321.99</v>
      </c>
      <c r="E15" s="252">
        <f t="shared" si="0"/>
        <v>1036917.8</v>
      </c>
      <c r="F15" s="252">
        <f t="shared" si="0"/>
        <v>168837</v>
      </c>
      <c r="G15" s="513">
        <f t="shared" si="0"/>
        <v>835667.63000000012</v>
      </c>
      <c r="H15" s="252">
        <f>SUM(H9:H14)</f>
        <v>808083.34000000008</v>
      </c>
      <c r="I15" s="504">
        <f t="shared" si="0"/>
        <v>501120</v>
      </c>
      <c r="J15" s="504">
        <f t="shared" si="0"/>
        <v>709652</v>
      </c>
      <c r="K15" s="504">
        <f>SUM(K9:K14)</f>
        <v>838736</v>
      </c>
      <c r="L15" s="504">
        <f>SUM(L9:L14)</f>
        <v>1327765.26</v>
      </c>
      <c r="M15" s="246" t="s">
        <v>201</v>
      </c>
    </row>
    <row r="16" spans="1:21" s="245" customFormat="1" x14ac:dyDescent="0.2">
      <c r="A16" s="244"/>
      <c r="B16" s="260"/>
      <c r="G16" s="284"/>
      <c r="H16" s="255"/>
      <c r="I16" s="284"/>
      <c r="J16" s="284"/>
      <c r="K16" s="284"/>
      <c r="L16" s="284"/>
    </row>
    <row r="17" spans="1:21" s="245" customFormat="1" ht="15" x14ac:dyDescent="0.35">
      <c r="A17" s="262"/>
      <c r="B17" s="258"/>
      <c r="G17" s="294"/>
      <c r="I17" s="294"/>
      <c r="J17" s="294"/>
      <c r="K17" s="294"/>
      <c r="L17" s="294"/>
      <c r="M17" s="263"/>
    </row>
    <row r="18" spans="1:21" s="245" customFormat="1" ht="25.5" x14ac:dyDescent="0.2">
      <c r="A18" s="247" t="s">
        <v>83</v>
      </c>
      <c r="B18" s="264" t="s">
        <v>210</v>
      </c>
      <c r="C18" s="264" t="s">
        <v>219</v>
      </c>
      <c r="D18" s="264" t="s">
        <v>259</v>
      </c>
      <c r="E18" s="264" t="s">
        <v>322</v>
      </c>
      <c r="F18" s="264" t="s">
        <v>479</v>
      </c>
      <c r="G18" s="264" t="s">
        <v>567</v>
      </c>
      <c r="H18" s="264" t="s">
        <v>568</v>
      </c>
      <c r="I18" s="264" t="s">
        <v>334</v>
      </c>
      <c r="J18" s="264" t="s">
        <v>564</v>
      </c>
      <c r="K18" s="264" t="s">
        <v>565</v>
      </c>
      <c r="L18" s="264" t="s">
        <v>566</v>
      </c>
      <c r="M18" s="246"/>
      <c r="O18" s="244"/>
      <c r="P18" s="244"/>
      <c r="Q18" s="244"/>
      <c r="R18" s="244"/>
      <c r="S18" s="244"/>
      <c r="T18" s="244"/>
      <c r="U18" s="244"/>
    </row>
    <row r="19" spans="1:21" s="245" customFormat="1" x14ac:dyDescent="0.2">
      <c r="G19" s="284"/>
      <c r="I19" s="180"/>
      <c r="J19" s="180"/>
      <c r="K19" s="180"/>
      <c r="L19" s="180"/>
      <c r="M19" s="246"/>
      <c r="O19" s="186"/>
      <c r="P19" s="186"/>
      <c r="Q19" s="180"/>
      <c r="R19" s="180"/>
      <c r="S19" s="180"/>
      <c r="T19" s="244"/>
      <c r="U19" s="244"/>
    </row>
    <row r="20" spans="1:21" s="245" customFormat="1" x14ac:dyDescent="0.2">
      <c r="A20" s="245" t="s">
        <v>49</v>
      </c>
      <c r="B20" s="569">
        <v>13025</v>
      </c>
      <c r="C20" s="282">
        <v>30977</v>
      </c>
      <c r="D20" s="282">
        <v>37364</v>
      </c>
      <c r="E20" s="282">
        <v>126393</v>
      </c>
      <c r="F20" s="267">
        <v>260918</v>
      </c>
      <c r="G20" s="302">
        <v>222408</v>
      </c>
      <c r="H20" s="531">
        <v>508340</v>
      </c>
      <c r="I20" s="506">
        <v>104500</v>
      </c>
      <c r="J20" s="506">
        <f>'2016 Summary Table B'!$M$38</f>
        <v>213601.43630499949</v>
      </c>
      <c r="K20" s="506">
        <f>'2017 Summary Table B'!$M$38</f>
        <v>241277.4620396847</v>
      </c>
      <c r="L20" s="506" t="e">
        <f>'2019 Summary Table B'!$M$38</f>
        <v>#REF!</v>
      </c>
      <c r="M20" s="246" t="s">
        <v>64</v>
      </c>
      <c r="O20" s="186"/>
      <c r="P20" s="186"/>
      <c r="Q20" s="187"/>
      <c r="R20" s="187"/>
      <c r="S20" s="187"/>
      <c r="T20" s="244"/>
      <c r="U20" s="244"/>
    </row>
    <row r="21" spans="1:21" s="245" customFormat="1" x14ac:dyDescent="0.2">
      <c r="A21" s="245" t="s">
        <v>50</v>
      </c>
      <c r="B21" s="569">
        <v>195375</v>
      </c>
      <c r="C21" s="282">
        <v>629418</v>
      </c>
      <c r="D21" s="282">
        <v>398807</v>
      </c>
      <c r="E21" s="282">
        <v>1833674</v>
      </c>
      <c r="F21" s="267">
        <v>3086992</v>
      </c>
      <c r="G21" s="302">
        <v>2322354</v>
      </c>
      <c r="H21" s="531">
        <v>5157938</v>
      </c>
      <c r="I21" s="506">
        <v>1177486</v>
      </c>
      <c r="J21" s="506">
        <f>'2016 Summary Table B'!$N$38</f>
        <v>2341601.7354049161</v>
      </c>
      <c r="K21" s="506">
        <f>'2017 Summary Table B'!$N$38</f>
        <v>2650376.584379673</v>
      </c>
      <c r="L21" s="506" t="e">
        <f>'2019 Summary Table B'!$N$38</f>
        <v>#REF!</v>
      </c>
      <c r="M21" s="246" t="s">
        <v>10</v>
      </c>
      <c r="O21" s="180"/>
      <c r="P21" s="185"/>
      <c r="Q21" s="182"/>
      <c r="R21" s="182"/>
      <c r="S21" s="182"/>
      <c r="T21" s="244"/>
      <c r="U21" s="244"/>
    </row>
    <row r="22" spans="1:21" s="245" customFormat="1" x14ac:dyDescent="0.2">
      <c r="B22" s="569"/>
      <c r="G22" s="284"/>
      <c r="H22" s="527"/>
      <c r="I22" s="180"/>
      <c r="J22" s="180"/>
      <c r="K22" s="180"/>
      <c r="L22" s="180"/>
      <c r="M22" s="246"/>
      <c r="O22" s="180"/>
      <c r="P22" s="185"/>
      <c r="Q22" s="183"/>
      <c r="R22" s="183"/>
      <c r="S22" s="183"/>
      <c r="T22" s="244"/>
      <c r="U22" s="244"/>
    </row>
    <row r="23" spans="1:21" s="245" customFormat="1" x14ac:dyDescent="0.2">
      <c r="A23" s="245" t="s">
        <v>51</v>
      </c>
      <c r="B23" s="269">
        <f>SUM(B15/B20)</f>
        <v>4.6318618042226491</v>
      </c>
      <c r="C23" s="551">
        <f>IF(ISERROR(C15/C20),"-",(C15/C20))</f>
        <v>5.9842470219840527</v>
      </c>
      <c r="D23" s="551">
        <f>IF(ISERROR(D15/D20),"-",(D15/D20))</f>
        <v>2.2567709560004285</v>
      </c>
      <c r="E23" s="551">
        <f>IF(ISERROR(E15/E20),"-",(E15/E20))</f>
        <v>8.2039179384934293</v>
      </c>
      <c r="F23" s="269">
        <f t="shared" ref="F23:L23" si="1">SUM(F15/F20)</f>
        <v>0.64708835726166847</v>
      </c>
      <c r="G23" s="269">
        <f t="shared" si="1"/>
        <v>3.757363179382037</v>
      </c>
      <c r="H23" s="528">
        <f t="shared" si="1"/>
        <v>1.5896512963764411</v>
      </c>
      <c r="I23" s="269">
        <f t="shared" si="1"/>
        <v>4.7954066985645936</v>
      </c>
      <c r="J23" s="269">
        <f t="shared" si="1"/>
        <v>3.3223184837891004</v>
      </c>
      <c r="K23" s="269">
        <f t="shared" si="1"/>
        <v>3.4762301994955784</v>
      </c>
      <c r="L23" s="269" t="e">
        <f t="shared" si="1"/>
        <v>#REF!</v>
      </c>
      <c r="M23" s="246" t="s">
        <v>65</v>
      </c>
      <c r="O23" s="180"/>
      <c r="P23" s="185"/>
      <c r="Q23" s="183"/>
      <c r="R23" s="183"/>
      <c r="S23" s="183"/>
      <c r="T23" s="244"/>
      <c r="U23" s="244"/>
    </row>
    <row r="24" spans="1:21" s="245" customFormat="1" x14ac:dyDescent="0.2">
      <c r="A24" s="245" t="s">
        <v>52</v>
      </c>
      <c r="B24" s="269">
        <f>SUM(B15/B21)</f>
        <v>0.30879078694817658</v>
      </c>
      <c r="C24" s="551">
        <f>IF(ISERROR(C15/C21),"-",(C15/C21))</f>
        <v>0.294516553387415</v>
      </c>
      <c r="D24" s="551">
        <f>IF(ISERROR(D15/D21),"-",(D15/D21))</f>
        <v>0.2114355816221882</v>
      </c>
      <c r="E24" s="551">
        <f>IF(ISERROR(E15/E21),"-",(E15/E21))</f>
        <v>0.56548644960881822</v>
      </c>
      <c r="F24" s="269">
        <f t="shared" ref="F24:L24" si="2">SUM(F15/F21)</f>
        <v>5.4693047471454412E-2</v>
      </c>
      <c r="G24" s="269">
        <f t="shared" si="2"/>
        <v>0.35983645473515241</v>
      </c>
      <c r="H24" s="528">
        <f t="shared" si="2"/>
        <v>0.15666790488757332</v>
      </c>
      <c r="I24" s="269">
        <f t="shared" si="2"/>
        <v>0.42558467786453513</v>
      </c>
      <c r="J24" s="269">
        <f t="shared" si="2"/>
        <v>0.3030626383940927</v>
      </c>
      <c r="K24" s="269">
        <f t="shared" si="2"/>
        <v>0.31645917977965693</v>
      </c>
      <c r="L24" s="269" t="e">
        <f t="shared" si="2"/>
        <v>#REF!</v>
      </c>
      <c r="M24" s="246" t="s">
        <v>66</v>
      </c>
      <c r="O24" s="180"/>
      <c r="P24" s="185"/>
      <c r="Q24" s="184"/>
      <c r="R24" s="184"/>
      <c r="S24" s="184"/>
      <c r="T24" s="244"/>
      <c r="U24" s="244"/>
    </row>
    <row r="25" spans="1:21" s="245" customFormat="1" x14ac:dyDescent="0.2">
      <c r="B25" s="569"/>
      <c r="G25" s="284"/>
      <c r="H25" s="249"/>
      <c r="M25" s="246"/>
      <c r="O25" s="180"/>
      <c r="P25" s="185"/>
      <c r="Q25" s="182"/>
      <c r="R25" s="182"/>
      <c r="S25" s="182"/>
      <c r="T25" s="244"/>
      <c r="U25" s="244"/>
    </row>
    <row r="26" spans="1:21" s="245" customFormat="1" x14ac:dyDescent="0.2">
      <c r="A26" s="245" t="s">
        <v>84</v>
      </c>
      <c r="B26" s="257">
        <f>C26/C21*B21</f>
        <v>166540.78661309637</v>
      </c>
      <c r="C26" s="309">
        <v>536526.00807903719</v>
      </c>
      <c r="D26" s="309">
        <v>348252.51505472616</v>
      </c>
      <c r="E26" s="309">
        <v>1443378.4073619659</v>
      </c>
      <c r="F26" s="257">
        <f>+F21/3270872*1823982</f>
        <v>1721442.429463458</v>
      </c>
      <c r="G26" s="295">
        <v>1286888</v>
      </c>
      <c r="H26" s="257">
        <v>4206394</v>
      </c>
      <c r="I26" s="747">
        <v>1313503</v>
      </c>
      <c r="J26" s="747">
        <f>'2016 Summary Table B'!$F$38</f>
        <v>1745767.774229602</v>
      </c>
      <c r="K26" s="747">
        <f>'2017 Summary Table B'!$F$38</f>
        <v>1829480.6209528823</v>
      </c>
      <c r="L26" s="747" t="e">
        <f>'2019 Summary Table B'!$F$38</f>
        <v>#REF!</v>
      </c>
      <c r="M26" s="246" t="s">
        <v>67</v>
      </c>
      <c r="O26" s="180"/>
      <c r="P26" s="185"/>
      <c r="Q26" s="185"/>
      <c r="R26" s="185"/>
      <c r="S26" s="185"/>
      <c r="T26" s="244"/>
      <c r="U26" s="244"/>
    </row>
    <row r="27" spans="1:21" s="245" customFormat="1" x14ac:dyDescent="0.2">
      <c r="A27" s="245" t="s">
        <v>85</v>
      </c>
      <c r="B27" s="271">
        <f>SUM(B26/B15)</f>
        <v>2.7604970431476277</v>
      </c>
      <c r="C27" s="271">
        <f>SUM(C26/C15)</f>
        <v>2.8942891138630817</v>
      </c>
      <c r="D27" s="271">
        <f>SUM(D26/D15)</f>
        <v>4.1300319768867659</v>
      </c>
      <c r="E27" s="271">
        <v>4.1300319768867659</v>
      </c>
      <c r="F27" s="271">
        <f t="shared" ref="F27:L27" si="3">SUM(F26/F15)</f>
        <v>10.195883778220757</v>
      </c>
      <c r="G27" s="271">
        <f t="shared" si="3"/>
        <v>1.5399519543433791</v>
      </c>
      <c r="H27" s="529">
        <f t="shared" si="3"/>
        <v>5.2053962651921513</v>
      </c>
      <c r="I27" s="271">
        <f t="shared" si="3"/>
        <v>2.6211346583652619</v>
      </c>
      <c r="J27" s="271">
        <f t="shared" si="3"/>
        <v>2.4600336139820671</v>
      </c>
      <c r="K27" s="271">
        <f t="shared" si="3"/>
        <v>2.1812353600571366</v>
      </c>
      <c r="L27" s="271" t="e">
        <f t="shared" si="3"/>
        <v>#REF!</v>
      </c>
      <c r="M27" s="246" t="s">
        <v>68</v>
      </c>
      <c r="O27" s="180"/>
      <c r="P27" s="185"/>
      <c r="Q27" s="183"/>
      <c r="R27" s="185"/>
      <c r="S27" s="183"/>
      <c r="T27" s="244"/>
      <c r="U27" s="244"/>
    </row>
    <row r="28" spans="1:21" s="245" customFormat="1" x14ac:dyDescent="0.2">
      <c r="A28" s="245" t="s">
        <v>214</v>
      </c>
      <c r="B28" s="281">
        <v>1</v>
      </c>
      <c r="C28" s="282">
        <v>2</v>
      </c>
      <c r="D28" s="282">
        <v>9</v>
      </c>
      <c r="E28" s="282">
        <v>11</v>
      </c>
      <c r="F28" s="281">
        <v>36</v>
      </c>
      <c r="G28" s="301">
        <v>31</v>
      </c>
      <c r="H28" s="534">
        <v>40</v>
      </c>
      <c r="I28" s="506">
        <v>8</v>
      </c>
      <c r="J28" s="506">
        <f>'2016 Summary Table B'!$K$38</f>
        <v>22.122897303597739</v>
      </c>
      <c r="K28" s="506">
        <f>'2017 Summary Table B'!$K$38</f>
        <v>28.103661842445764</v>
      </c>
      <c r="L28" s="506" t="e">
        <f>'2019 Summary Table B'!$K$38</f>
        <v>#REF!</v>
      </c>
      <c r="M28" s="246" t="s">
        <v>69</v>
      </c>
      <c r="O28" s="180"/>
      <c r="P28" s="185"/>
      <c r="Q28" s="183"/>
      <c r="R28" s="183"/>
      <c r="S28" s="183"/>
      <c r="T28" s="244"/>
      <c r="U28" s="244"/>
    </row>
    <row r="29" spans="1:21" s="245" customFormat="1" x14ac:dyDescent="0.2">
      <c r="A29" s="245" t="s">
        <v>215</v>
      </c>
      <c r="B29" s="569">
        <f>SUM(B21/B28)</f>
        <v>195375</v>
      </c>
      <c r="C29" s="577">
        <f>IF(ISERROR(C21/C28),"-",C21/128)</f>
        <v>4917.328125</v>
      </c>
      <c r="D29" s="577">
        <f>IF(ISERROR(D21/D28),"-",D21/128)</f>
        <v>3115.6796875</v>
      </c>
      <c r="E29" s="577">
        <v>3115.6796875</v>
      </c>
      <c r="F29" s="282">
        <f>SUM(F21/F28)</f>
        <v>85749.777777777781</v>
      </c>
      <c r="G29" s="312">
        <f>G21/G28</f>
        <v>74914.645161290318</v>
      </c>
      <c r="H29" s="282">
        <f>SUM(H21/H28)</f>
        <v>128948.45</v>
      </c>
      <c r="I29" s="266">
        <f>SUM(I21/I28)</f>
        <v>147185.75</v>
      </c>
      <c r="J29" s="266">
        <f>SUM(J21/J28)</f>
        <v>105845.16590528641</v>
      </c>
      <c r="K29" s="266">
        <f>SUM(K21/K28)</f>
        <v>94307.161794009822</v>
      </c>
      <c r="L29" s="266" t="e">
        <f>SUM(L21/L28)</f>
        <v>#REF!</v>
      </c>
      <c r="M29" s="246" t="s">
        <v>70</v>
      </c>
      <c r="O29" s="180"/>
      <c r="P29" s="185"/>
      <c r="Q29" s="182"/>
      <c r="R29" s="182"/>
      <c r="S29" s="182"/>
      <c r="T29" s="244"/>
      <c r="U29" s="244"/>
    </row>
    <row r="30" spans="1:21" s="245" customFormat="1" x14ac:dyDescent="0.2">
      <c r="A30" s="245" t="s">
        <v>216</v>
      </c>
      <c r="B30" s="257">
        <f>SUM(B15/B28)</f>
        <v>60330</v>
      </c>
      <c r="C30" s="558">
        <f>IF(ISERROR(C15/C28),"-",C15/128)</f>
        <v>1448.2345312499999</v>
      </c>
      <c r="D30" s="558">
        <f>IF(ISERROR(D15/D28),"-",D15/128)</f>
        <v>658.76554687500004</v>
      </c>
      <c r="E30" s="558">
        <v>658.76554687500004</v>
      </c>
      <c r="F30" s="257">
        <f>SUM(F15/F28)</f>
        <v>4689.916666666667</v>
      </c>
      <c r="G30" s="283">
        <f>G15/G28</f>
        <v>26957.020322580651</v>
      </c>
      <c r="H30" s="530">
        <f>SUM(H15/H28)</f>
        <v>20202.083500000001</v>
      </c>
      <c r="I30" s="257">
        <f>SUM(I15/I28)</f>
        <v>62640</v>
      </c>
      <c r="J30" s="257">
        <f>SUM(J15/J28)</f>
        <v>32077.715240516565</v>
      </c>
      <c r="K30" s="257">
        <f>SUM(K15/K28)</f>
        <v>29844.367068679749</v>
      </c>
      <c r="L30" s="257" t="e">
        <f>SUM(L15/L28)</f>
        <v>#REF!</v>
      </c>
      <c r="M30" s="246" t="s">
        <v>72</v>
      </c>
      <c r="O30" s="180"/>
      <c r="P30" s="185"/>
      <c r="Q30" s="182"/>
      <c r="R30" s="182"/>
      <c r="S30" s="182"/>
      <c r="T30" s="244"/>
      <c r="U30" s="244"/>
    </row>
    <row r="31" spans="1:21" s="245" customFormat="1" x14ac:dyDescent="0.2">
      <c r="A31" s="245" t="s">
        <v>217</v>
      </c>
      <c r="B31" s="257">
        <f>SUM(B26/B28)</f>
        <v>166540.78661309637</v>
      </c>
      <c r="C31" s="558">
        <f>IF(ISERROR(C26/C28),"-",C26/128)</f>
        <v>4191.609438117478</v>
      </c>
      <c r="D31" s="558">
        <f>IF(ISERROR(D26/D28),"-",D26/128)</f>
        <v>2720.7227738650481</v>
      </c>
      <c r="E31" s="558">
        <v>2720.7227738650481</v>
      </c>
      <c r="F31" s="257">
        <f>SUM(F26/F28)</f>
        <v>47817.845262873831</v>
      </c>
      <c r="G31" s="283">
        <f>G26/G28</f>
        <v>41512.516129032258</v>
      </c>
      <c r="H31" s="530">
        <f>SUM(H26/H28)</f>
        <v>105159.85</v>
      </c>
      <c r="I31" s="257">
        <f>SUM(I26/I28)</f>
        <v>164187.875</v>
      </c>
      <c r="J31" s="257">
        <f>SUM(J26/J28)</f>
        <v>78912.2577514156</v>
      </c>
      <c r="K31" s="257">
        <f>SUM(K26/K28)</f>
        <v>65097.588748729017</v>
      </c>
      <c r="L31" s="257" t="e">
        <f>SUM(L26/L28)</f>
        <v>#REF!</v>
      </c>
      <c r="M31" s="246" t="s">
        <v>73</v>
      </c>
      <c r="O31" s="244"/>
      <c r="P31" s="244"/>
      <c r="Q31" s="244"/>
      <c r="R31" s="244"/>
      <c r="S31" s="244"/>
      <c r="T31" s="244"/>
      <c r="U31" s="244"/>
    </row>
    <row r="32" spans="1:21" s="245" customFormat="1" ht="14.25" x14ac:dyDescent="0.2">
      <c r="A32" s="704" t="s">
        <v>324</v>
      </c>
      <c r="B32" s="945">
        <f t="shared" ref="B32:J32" si="4">B12/B21</f>
        <v>0.2766986564299424</v>
      </c>
      <c r="C32" s="945">
        <f t="shared" si="4"/>
        <v>0.28506811054021336</v>
      </c>
      <c r="D32" s="945">
        <f t="shared" si="4"/>
        <v>0.18124305741875144</v>
      </c>
      <c r="E32" s="945">
        <f t="shared" si="4"/>
        <v>0.55909844388915375</v>
      </c>
      <c r="F32" s="945">
        <f t="shared" si="4"/>
        <v>2.1698144990333634E-2</v>
      </c>
      <c r="G32" s="945">
        <f t="shared" si="4"/>
        <v>0.28065772057145466</v>
      </c>
      <c r="H32" s="945">
        <f t="shared" si="4"/>
        <v>0.12047723140526313</v>
      </c>
      <c r="I32" s="945">
        <f t="shared" si="4"/>
        <v>0.29154231982376011</v>
      </c>
      <c r="J32" s="945">
        <f t="shared" si="4"/>
        <v>0.22394969736786566</v>
      </c>
      <c r="K32" s="945">
        <f>K12/K21</f>
        <v>0.25134880979787949</v>
      </c>
      <c r="L32" s="945" t="e">
        <f>L12/L21</f>
        <v>#REF!</v>
      </c>
      <c r="M32" s="557" t="s">
        <v>328</v>
      </c>
      <c r="O32" s="244"/>
      <c r="P32" s="244"/>
      <c r="Q32" s="244"/>
      <c r="R32" s="244"/>
      <c r="S32" s="244"/>
      <c r="T32" s="244"/>
      <c r="U32" s="244"/>
    </row>
    <row r="33" spans="1:21" s="245" customFormat="1" ht="14.25" x14ac:dyDescent="0.2">
      <c r="A33" s="704" t="s">
        <v>325</v>
      </c>
      <c r="B33" s="946">
        <f t="shared" ref="B33:J33" si="5">B13/B21</f>
        <v>4.0946896992962254E-3</v>
      </c>
      <c r="C33" s="946">
        <f t="shared" si="5"/>
        <v>8.3556555421039744E-4</v>
      </c>
      <c r="D33" s="946">
        <f t="shared" si="5"/>
        <v>1.5007058552131733E-2</v>
      </c>
      <c r="E33" s="946">
        <f t="shared" si="5"/>
        <v>5.1118137684233954E-4</v>
      </c>
      <c r="F33" s="946">
        <f t="shared" si="5"/>
        <v>2.8927836547681365E-4</v>
      </c>
      <c r="G33" s="946">
        <f t="shared" si="5"/>
        <v>1.137638792363266E-3</v>
      </c>
      <c r="H33" s="946">
        <f t="shared" si="5"/>
        <v>1.4961405119642771E-3</v>
      </c>
      <c r="I33" s="946">
        <f t="shared" si="5"/>
        <v>8.9173034753704077E-3</v>
      </c>
      <c r="J33" s="946">
        <f t="shared" si="5"/>
        <v>5.5987317577440143E-3</v>
      </c>
      <c r="K33" s="946">
        <f>K13/K21</f>
        <v>5.5893943854274019E-3</v>
      </c>
      <c r="L33" s="946" t="e">
        <f>L13/L21</f>
        <v>#REF!</v>
      </c>
      <c r="M33" s="557" t="s">
        <v>329</v>
      </c>
      <c r="O33" s="244"/>
      <c r="P33" s="244"/>
      <c r="Q33" s="244"/>
      <c r="R33" s="244"/>
      <c r="S33" s="244"/>
      <c r="T33" s="244"/>
      <c r="U33" s="244"/>
    </row>
    <row r="34" spans="1:21" s="245" customFormat="1" x14ac:dyDescent="0.2">
      <c r="A34" s="247"/>
      <c r="B34" s="265"/>
      <c r="C34" s="250"/>
      <c r="D34" s="250"/>
      <c r="I34" s="296"/>
      <c r="M34" s="296"/>
      <c r="N34" s="296"/>
      <c r="P34" s="180"/>
      <c r="Q34" s="185"/>
      <c r="R34" s="182"/>
      <c r="S34" s="182"/>
      <c r="T34" s="182"/>
      <c r="U34" s="244"/>
    </row>
    <row r="35" spans="1:21" s="245" customFormat="1" x14ac:dyDescent="0.2">
      <c r="A35" s="248" t="s">
        <v>194</v>
      </c>
      <c r="B35" s="270"/>
      <c r="C35" s="244"/>
      <c r="G35" s="276" t="s">
        <v>191</v>
      </c>
      <c r="M35" s="296"/>
      <c r="N35" s="296"/>
      <c r="P35" s="180"/>
      <c r="Q35" s="185"/>
      <c r="R35" s="182"/>
      <c r="S35" s="182"/>
      <c r="T35" s="182"/>
      <c r="U35" s="244"/>
    </row>
    <row r="36" spans="1:21" s="245" customFormat="1" x14ac:dyDescent="0.2">
      <c r="A36" s="273" t="s">
        <v>185</v>
      </c>
      <c r="B36" s="250" t="s">
        <v>1</v>
      </c>
      <c r="C36" s="250" t="s">
        <v>186</v>
      </c>
      <c r="D36" s="250" t="s">
        <v>18</v>
      </c>
      <c r="G36" s="273" t="s">
        <v>185</v>
      </c>
      <c r="H36" s="250" t="s">
        <v>188</v>
      </c>
      <c r="I36" s="250" t="s">
        <v>186</v>
      </c>
      <c r="J36" s="250" t="s">
        <v>189</v>
      </c>
      <c r="M36" s="296"/>
      <c r="N36" s="296"/>
    </row>
    <row r="37" spans="1:21" s="245" customFormat="1" x14ac:dyDescent="0.2">
      <c r="A37" s="273">
        <v>2008</v>
      </c>
      <c r="B37" s="283">
        <v>361197</v>
      </c>
      <c r="C37" s="283">
        <v>60330</v>
      </c>
      <c r="D37" s="512">
        <f t="shared" ref="D37:D43" si="6">IF(ISERROR(C37/B37),"-",(C37/B37))</f>
        <v>0.16702796534854941</v>
      </c>
      <c r="G37" s="273">
        <v>2008</v>
      </c>
      <c r="H37" s="246" t="s">
        <v>195</v>
      </c>
      <c r="I37" s="314">
        <f>B20</f>
        <v>13025</v>
      </c>
      <c r="J37" s="512" t="str">
        <f t="shared" ref="J37:J43" si="7">IF(ISERROR(I37/H37),"-",(I37/H37))</f>
        <v>-</v>
      </c>
      <c r="M37" s="296"/>
      <c r="N37" s="296"/>
    </row>
    <row r="38" spans="1:21" s="245" customFormat="1" x14ac:dyDescent="0.2">
      <c r="A38" s="273">
        <v>2009</v>
      </c>
      <c r="B38" s="274">
        <v>300000</v>
      </c>
      <c r="C38" s="313">
        <f>+C15</f>
        <v>185374.02</v>
      </c>
      <c r="D38" s="512">
        <f t="shared" si="6"/>
        <v>0.61791339999999995</v>
      </c>
      <c r="G38" s="273">
        <v>2009</v>
      </c>
      <c r="H38" s="278">
        <v>88671.363083374745</v>
      </c>
      <c r="I38" s="314">
        <f>+C20</f>
        <v>30977</v>
      </c>
      <c r="J38" s="512">
        <f t="shared" si="7"/>
        <v>0.34934615779925876</v>
      </c>
      <c r="M38" s="296"/>
      <c r="N38" s="296"/>
    </row>
    <row r="39" spans="1:21" s="245" customFormat="1" x14ac:dyDescent="0.2">
      <c r="A39" s="273">
        <v>2010</v>
      </c>
      <c r="B39" s="274">
        <v>443750</v>
      </c>
      <c r="C39" s="313">
        <v>84321.99</v>
      </c>
      <c r="D39" s="512">
        <f t="shared" si="6"/>
        <v>0.19002138591549297</v>
      </c>
      <c r="G39" s="273">
        <v>2010</v>
      </c>
      <c r="H39" s="278">
        <v>195604</v>
      </c>
      <c r="I39" s="314">
        <v>37364</v>
      </c>
      <c r="J39" s="512">
        <f t="shared" si="7"/>
        <v>0.19101858857692072</v>
      </c>
      <c r="M39" s="296"/>
      <c r="N39" s="296"/>
    </row>
    <row r="40" spans="1:21" s="245" customFormat="1" x14ac:dyDescent="0.2">
      <c r="A40" s="273">
        <v>2011</v>
      </c>
      <c r="B40" s="274">
        <v>700000</v>
      </c>
      <c r="C40" s="313">
        <v>1036917.8</v>
      </c>
      <c r="D40" s="512">
        <f t="shared" si="6"/>
        <v>1.4813111428571428</v>
      </c>
      <c r="G40" s="273">
        <v>2011</v>
      </c>
      <c r="H40" s="278">
        <v>344288</v>
      </c>
      <c r="I40" s="314">
        <v>126393</v>
      </c>
      <c r="J40" s="512">
        <f t="shared" si="7"/>
        <v>0.3671141602379403</v>
      </c>
      <c r="M40" s="296"/>
      <c r="N40" s="296"/>
    </row>
    <row r="41" spans="1:21" s="245" customFormat="1" x14ac:dyDescent="0.2">
      <c r="A41" s="273">
        <v>2012</v>
      </c>
      <c r="B41" s="313">
        <v>860000</v>
      </c>
      <c r="C41" s="313">
        <f>+F15</f>
        <v>168837</v>
      </c>
      <c r="D41" s="512">
        <f t="shared" si="6"/>
        <v>0.19632209302325582</v>
      </c>
      <c r="G41" s="273">
        <v>2012</v>
      </c>
      <c r="H41" s="536">
        <v>284358</v>
      </c>
      <c r="I41" s="278">
        <f>+F20</f>
        <v>260918</v>
      </c>
      <c r="J41" s="512">
        <f t="shared" si="7"/>
        <v>0.91756869861231261</v>
      </c>
      <c r="M41" s="296"/>
      <c r="N41" s="296"/>
    </row>
    <row r="42" spans="1:21" s="245" customFormat="1" x14ac:dyDescent="0.2">
      <c r="A42" s="273">
        <v>2013</v>
      </c>
      <c r="B42" s="313">
        <v>800000</v>
      </c>
      <c r="C42" s="313">
        <f>G15</f>
        <v>835667.63000000012</v>
      </c>
      <c r="D42" s="512">
        <f t="shared" si="6"/>
        <v>1.0445845375000002</v>
      </c>
      <c r="G42" s="273">
        <v>2013</v>
      </c>
      <c r="H42" s="554">
        <v>206015</v>
      </c>
      <c r="I42" s="314">
        <f>G20</f>
        <v>222408</v>
      </c>
      <c r="J42" s="532">
        <f t="shared" si="7"/>
        <v>1.0795718758342838</v>
      </c>
      <c r="M42" s="296"/>
      <c r="N42" s="296"/>
    </row>
    <row r="43" spans="1:21" s="245" customFormat="1" x14ac:dyDescent="0.2">
      <c r="A43" s="273">
        <v>2014</v>
      </c>
      <c r="B43" s="274">
        <v>628862</v>
      </c>
      <c r="C43" s="274">
        <f>H15</f>
        <v>808083.34000000008</v>
      </c>
      <c r="D43" s="275">
        <f t="shared" si="6"/>
        <v>1.2849931145465938</v>
      </c>
      <c r="G43" s="273">
        <v>2014</v>
      </c>
      <c r="H43" s="562">
        <v>157123</v>
      </c>
      <c r="I43" s="278">
        <f>H20</f>
        <v>508340</v>
      </c>
      <c r="J43" s="275">
        <f t="shared" si="7"/>
        <v>3.2352997333299389</v>
      </c>
      <c r="M43" s="296"/>
      <c r="N43" s="296"/>
    </row>
    <row r="44" spans="1:21" s="245" customFormat="1" x14ac:dyDescent="0.2">
      <c r="A44" s="273">
        <v>2015</v>
      </c>
      <c r="B44" s="274">
        <f>I15</f>
        <v>501120</v>
      </c>
      <c r="C44" s="274"/>
      <c r="D44" s="275"/>
      <c r="G44" s="273">
        <v>2015</v>
      </c>
      <c r="H44" s="562">
        <f>I20</f>
        <v>104500</v>
      </c>
      <c r="I44" s="278"/>
      <c r="J44" s="275"/>
      <c r="M44" s="296"/>
      <c r="N44" s="296"/>
    </row>
    <row r="45" spans="1:21" s="245" customFormat="1" x14ac:dyDescent="0.2">
      <c r="A45" s="273">
        <v>2016</v>
      </c>
      <c r="B45" s="309">
        <f>J15</f>
        <v>709652</v>
      </c>
      <c r="G45" s="273">
        <v>2016</v>
      </c>
      <c r="H45" s="562">
        <f>J20</f>
        <v>213601.43630499949</v>
      </c>
      <c r="I45" s="568"/>
      <c r="J45" s="168"/>
      <c r="M45" s="296"/>
      <c r="N45" s="296"/>
    </row>
    <row r="46" spans="1:21" s="245" customFormat="1" x14ac:dyDescent="0.2">
      <c r="A46" s="273">
        <v>2017</v>
      </c>
      <c r="B46" s="309">
        <f>K15</f>
        <v>838736</v>
      </c>
      <c r="G46" s="273">
        <v>2017</v>
      </c>
      <c r="H46" s="562">
        <f>K20</f>
        <v>241277.4620396847</v>
      </c>
      <c r="I46" s="568"/>
      <c r="J46" s="168"/>
      <c r="M46" s="296"/>
      <c r="N46" s="296"/>
    </row>
    <row r="47" spans="1:21" s="245" customFormat="1" x14ac:dyDescent="0.2">
      <c r="A47" s="273">
        <v>2018</v>
      </c>
      <c r="B47" s="309">
        <f>L15</f>
        <v>1327765.26</v>
      </c>
      <c r="G47" s="273">
        <v>2018</v>
      </c>
      <c r="H47" s="562" t="e">
        <f>L20</f>
        <v>#REF!</v>
      </c>
      <c r="I47" s="568"/>
      <c r="J47" s="168"/>
      <c r="M47" s="296"/>
      <c r="N47" s="296"/>
    </row>
    <row r="48" spans="1:21" s="245" customFormat="1" x14ac:dyDescent="0.2">
      <c r="A48" s="273"/>
      <c r="G48" s="273"/>
      <c r="H48" s="168"/>
      <c r="I48" s="568"/>
      <c r="J48" s="168"/>
      <c r="M48" s="296"/>
      <c r="N48" s="296"/>
    </row>
    <row r="49" spans="1:14" s="245" customFormat="1" x14ac:dyDescent="0.2">
      <c r="A49" s="276" t="s">
        <v>193</v>
      </c>
      <c r="G49" s="276" t="s">
        <v>190</v>
      </c>
      <c r="H49" s="168"/>
      <c r="I49" s="568"/>
      <c r="J49" s="168"/>
      <c r="M49" s="296"/>
      <c r="N49" s="296"/>
    </row>
    <row r="50" spans="1:14" s="245" customFormat="1" x14ac:dyDescent="0.2">
      <c r="A50" s="273" t="s">
        <v>185</v>
      </c>
      <c r="B50" s="250" t="s">
        <v>188</v>
      </c>
      <c r="C50" s="250" t="s">
        <v>186</v>
      </c>
      <c r="D50" s="250" t="s">
        <v>189</v>
      </c>
      <c r="G50" s="273" t="s">
        <v>185</v>
      </c>
      <c r="H50" s="250" t="s">
        <v>188</v>
      </c>
      <c r="I50" s="567" t="s">
        <v>186</v>
      </c>
      <c r="J50" s="250" t="s">
        <v>189</v>
      </c>
      <c r="M50" s="296"/>
      <c r="N50" s="296"/>
    </row>
    <row r="51" spans="1:14" s="245" customFormat="1" x14ac:dyDescent="0.2">
      <c r="A51" s="273">
        <v>2008</v>
      </c>
      <c r="B51" s="314" t="s">
        <v>195</v>
      </c>
      <c r="C51" s="314">
        <v>1</v>
      </c>
      <c r="D51" s="512" t="str">
        <f t="shared" ref="D51:D57" si="8">IF(ISERROR(C51/B51),"-",(C51/B51))</f>
        <v>-</v>
      </c>
      <c r="G51" s="273">
        <v>2008</v>
      </c>
      <c r="H51" s="314" t="s">
        <v>195</v>
      </c>
      <c r="I51" s="314">
        <f>B21</f>
        <v>195375</v>
      </c>
      <c r="J51" s="512" t="str">
        <f t="shared" ref="J51:J57" si="9">IF(ISERROR(I51/H51),"-",(I51/H51))</f>
        <v>-</v>
      </c>
      <c r="M51" s="296"/>
      <c r="N51" s="296"/>
    </row>
    <row r="52" spans="1:14" s="245" customFormat="1" x14ac:dyDescent="0.2">
      <c r="A52" s="273">
        <v>2009</v>
      </c>
      <c r="B52" s="278">
        <v>17</v>
      </c>
      <c r="C52" s="314">
        <f>C28</f>
        <v>2</v>
      </c>
      <c r="D52" s="512">
        <f t="shared" si="8"/>
        <v>0.11764705882352941</v>
      </c>
      <c r="G52" s="273">
        <v>2009</v>
      </c>
      <c r="H52" s="278">
        <v>975384.99391712225</v>
      </c>
      <c r="I52" s="314">
        <f>+C21</f>
        <v>629418</v>
      </c>
      <c r="J52" s="512">
        <f t="shared" si="9"/>
        <v>0.64530211549828409</v>
      </c>
      <c r="M52" s="296"/>
      <c r="N52" s="296"/>
    </row>
    <row r="53" spans="1:14" s="245" customFormat="1" x14ac:dyDescent="0.2">
      <c r="A53" s="273">
        <v>2010</v>
      </c>
      <c r="B53" s="278">
        <v>23</v>
      </c>
      <c r="C53" s="314">
        <v>9</v>
      </c>
      <c r="D53" s="512">
        <f t="shared" si="8"/>
        <v>0.39130434782608697</v>
      </c>
      <c r="G53" s="273">
        <v>2010</v>
      </c>
      <c r="H53" s="278">
        <v>3003409</v>
      </c>
      <c r="I53" s="314">
        <v>398807</v>
      </c>
      <c r="J53" s="512">
        <f t="shared" si="9"/>
        <v>0.13278477889624757</v>
      </c>
      <c r="M53" s="296"/>
      <c r="N53" s="296"/>
    </row>
    <row r="54" spans="1:14" s="245" customFormat="1" x14ac:dyDescent="0.2">
      <c r="A54" s="273">
        <v>2011</v>
      </c>
      <c r="B54" s="278">
        <v>20</v>
      </c>
      <c r="C54" s="314">
        <v>11</v>
      </c>
      <c r="D54" s="512">
        <f t="shared" si="8"/>
        <v>0.55000000000000004</v>
      </c>
      <c r="G54" s="273">
        <v>2011</v>
      </c>
      <c r="H54" s="278">
        <v>4871525</v>
      </c>
      <c r="I54" s="314">
        <v>1833674</v>
      </c>
      <c r="J54" s="512">
        <f t="shared" si="9"/>
        <v>0.37640656673218348</v>
      </c>
      <c r="M54" s="296"/>
      <c r="N54" s="296"/>
    </row>
    <row r="55" spans="1:14" s="245" customFormat="1" x14ac:dyDescent="0.2">
      <c r="A55" s="273">
        <v>2012</v>
      </c>
      <c r="B55" s="314">
        <v>49</v>
      </c>
      <c r="C55" s="278">
        <f>+F28</f>
        <v>36</v>
      </c>
      <c r="D55" s="512">
        <f t="shared" si="8"/>
        <v>0.73469387755102045</v>
      </c>
      <c r="G55" s="273">
        <v>2012</v>
      </c>
      <c r="H55" s="314">
        <v>3270872</v>
      </c>
      <c r="I55" s="314">
        <f>+F21</f>
        <v>3086992</v>
      </c>
      <c r="J55" s="512">
        <f t="shared" si="9"/>
        <v>0.94378257541108301</v>
      </c>
      <c r="M55" s="296"/>
      <c r="N55" s="296"/>
    </row>
    <row r="56" spans="1:14" s="245" customFormat="1" x14ac:dyDescent="0.2">
      <c r="A56" s="273">
        <v>2013</v>
      </c>
      <c r="B56" s="314">
        <v>16</v>
      </c>
      <c r="C56" s="314">
        <f>G28</f>
        <v>31</v>
      </c>
      <c r="D56" s="512">
        <f t="shared" si="8"/>
        <v>1.9375</v>
      </c>
      <c r="G56" s="273">
        <v>2013</v>
      </c>
      <c r="H56" s="314">
        <v>2321332</v>
      </c>
      <c r="I56" s="314">
        <f>G21</f>
        <v>2322354</v>
      </c>
      <c r="J56" s="512">
        <f t="shared" si="9"/>
        <v>1.0004402644688482</v>
      </c>
      <c r="M56" s="296"/>
      <c r="N56" s="296"/>
    </row>
    <row r="57" spans="1:14" s="245" customFormat="1" x14ac:dyDescent="0.2">
      <c r="A57" s="273">
        <v>2014</v>
      </c>
      <c r="B57" s="278">
        <v>11</v>
      </c>
      <c r="C57" s="278">
        <f>H28</f>
        <v>40</v>
      </c>
      <c r="D57" s="275">
        <f t="shared" si="8"/>
        <v>3.6363636363636362</v>
      </c>
      <c r="G57" s="273">
        <v>2014</v>
      </c>
      <c r="H57" s="314">
        <v>1770426</v>
      </c>
      <c r="I57" s="278">
        <f>H21</f>
        <v>5157938</v>
      </c>
      <c r="J57" s="275">
        <f t="shared" si="9"/>
        <v>2.9133880772198331</v>
      </c>
      <c r="M57" s="296"/>
      <c r="N57" s="296"/>
    </row>
    <row r="58" spans="1:14" s="245" customFormat="1" x14ac:dyDescent="0.2">
      <c r="A58" s="273">
        <v>2015</v>
      </c>
      <c r="B58" s="278">
        <f>I28</f>
        <v>8</v>
      </c>
      <c r="C58" s="278"/>
      <c r="D58" s="275"/>
      <c r="G58" s="273">
        <v>2015</v>
      </c>
      <c r="H58" s="314">
        <f>I21</f>
        <v>1177486</v>
      </c>
      <c r="I58" s="278"/>
      <c r="J58" s="275"/>
      <c r="M58" s="296"/>
      <c r="N58" s="296"/>
    </row>
    <row r="59" spans="1:14" s="245" customFormat="1" x14ac:dyDescent="0.2">
      <c r="A59" s="273">
        <v>2016</v>
      </c>
      <c r="B59" s="278">
        <f>J28</f>
        <v>22.122897303597739</v>
      </c>
      <c r="G59" s="273">
        <v>2016</v>
      </c>
      <c r="H59" s="314">
        <f>J21</f>
        <v>2341601.7354049161</v>
      </c>
      <c r="I59" s="296"/>
      <c r="M59" s="296"/>
      <c r="N59" s="296"/>
    </row>
    <row r="60" spans="1:14" s="245" customFormat="1" x14ac:dyDescent="0.2">
      <c r="A60" s="273">
        <v>2017</v>
      </c>
      <c r="B60" s="278">
        <f>K28</f>
        <v>28.103661842445764</v>
      </c>
      <c r="G60" s="273">
        <v>2017</v>
      </c>
      <c r="H60" s="314">
        <f>K21</f>
        <v>2650376.584379673</v>
      </c>
      <c r="I60" s="296"/>
      <c r="M60" s="296"/>
      <c r="N60" s="296"/>
    </row>
    <row r="61" spans="1:14" s="245" customFormat="1" x14ac:dyDescent="0.2">
      <c r="A61" s="273">
        <v>2018</v>
      </c>
      <c r="B61" s="278" t="e">
        <f>L28</f>
        <v>#REF!</v>
      </c>
      <c r="G61" s="273">
        <v>2018</v>
      </c>
      <c r="H61" s="314" t="e">
        <f>L21</f>
        <v>#REF!</v>
      </c>
      <c r="I61" s="296"/>
      <c r="M61" s="296"/>
      <c r="N61" s="296"/>
    </row>
    <row r="62" spans="1:14" s="245" customFormat="1" x14ac:dyDescent="0.2">
      <c r="I62" s="296"/>
      <c r="M62" s="296"/>
      <c r="N62" s="296"/>
    </row>
    <row r="63" spans="1:14" s="245" customFormat="1" x14ac:dyDescent="0.2">
      <c r="I63" s="296"/>
      <c r="M63" s="296"/>
      <c r="N63" s="296"/>
    </row>
    <row r="64" spans="1:14" s="245" customFormat="1" x14ac:dyDescent="0.2">
      <c r="I64" s="296"/>
      <c r="M64" s="296"/>
      <c r="N64" s="296"/>
    </row>
    <row r="65" spans="5:14" s="245" customFormat="1" x14ac:dyDescent="0.2">
      <c r="I65" s="296"/>
      <c r="M65" s="296"/>
      <c r="N65" s="296"/>
    </row>
    <row r="66" spans="5:14" s="245" customFormat="1" x14ac:dyDescent="0.2">
      <c r="I66" s="296"/>
      <c r="M66" s="296"/>
      <c r="N66" s="296"/>
    </row>
    <row r="67" spans="5:14" x14ac:dyDescent="0.2">
      <c r="E67" s="3"/>
      <c r="F67" s="3"/>
      <c r="G67" s="3"/>
      <c r="H67" s="3"/>
      <c r="I67" s="296"/>
      <c r="M67" s="296"/>
      <c r="N67" s="296"/>
    </row>
    <row r="68" spans="5:14" x14ac:dyDescent="0.2">
      <c r="E68" s="3"/>
      <c r="F68" s="3"/>
      <c r="G68" s="3"/>
      <c r="H68" s="3"/>
      <c r="I68" s="296"/>
      <c r="M68" s="296"/>
      <c r="N68" s="296"/>
    </row>
    <row r="69" spans="5:14" x14ac:dyDescent="0.2">
      <c r="E69" s="3"/>
      <c r="F69" s="3"/>
      <c r="G69" s="3"/>
      <c r="H69" s="3"/>
      <c r="I69" s="296"/>
      <c r="M69" s="296"/>
      <c r="N69" s="296"/>
    </row>
    <row r="70" spans="5:14" x14ac:dyDescent="0.2">
      <c r="I70" s="296"/>
      <c r="M70" s="296"/>
      <c r="N70" s="296"/>
    </row>
    <row r="71" spans="5:14" x14ac:dyDescent="0.2">
      <c r="I71" s="296"/>
      <c r="M71" s="296"/>
      <c r="N71" s="296"/>
    </row>
    <row r="72" spans="5:14" x14ac:dyDescent="0.2">
      <c r="I72" s="296"/>
      <c r="M72" s="296"/>
      <c r="N72" s="296"/>
    </row>
    <row r="73" spans="5:14" x14ac:dyDescent="0.2">
      <c r="I73" s="296"/>
      <c r="M73" s="296"/>
      <c r="N73" s="296"/>
    </row>
    <row r="74" spans="5:14" x14ac:dyDescent="0.2">
      <c r="I74" s="296"/>
      <c r="M74" s="296"/>
      <c r="N74" s="296"/>
    </row>
    <row r="75" spans="5:14" x14ac:dyDescent="0.2">
      <c r="I75" s="296"/>
      <c r="M75" s="296"/>
      <c r="N75" s="296"/>
    </row>
    <row r="76" spans="5:14" x14ac:dyDescent="0.2">
      <c r="I76" s="296"/>
      <c r="M76" s="296"/>
      <c r="N76" s="296"/>
    </row>
    <row r="77" spans="5:14" x14ac:dyDescent="0.2">
      <c r="I77" s="296"/>
      <c r="M77" s="296"/>
      <c r="N77" s="296"/>
    </row>
    <row r="78" spans="5:14" x14ac:dyDescent="0.2">
      <c r="I78" s="181"/>
      <c r="M78" s="181"/>
      <c r="N78" s="181"/>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2"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33">
    <tabColor indexed="11"/>
    <pageSetUpPr fitToPage="1"/>
  </sheetPr>
  <dimension ref="A1:W122"/>
  <sheetViews>
    <sheetView workbookViewId="0">
      <selection activeCell="H14" sqref="H14"/>
    </sheetView>
  </sheetViews>
  <sheetFormatPr defaultRowHeight="12.75" x14ac:dyDescent="0.2"/>
  <cols>
    <col min="1" max="1" width="39.28515625" style="168" bestFit="1" customWidth="1"/>
    <col min="2" max="3" width="9.7109375" style="168" bestFit="1" customWidth="1"/>
    <col min="4" max="4" width="11.7109375" style="168" bestFit="1" customWidth="1"/>
    <col min="5" max="5" width="8.7109375" style="168" bestFit="1" customWidth="1"/>
    <col min="6" max="6" width="9.7109375" style="168" bestFit="1" customWidth="1"/>
    <col min="7" max="7" width="7.5703125" style="168" bestFit="1" customWidth="1"/>
    <col min="8" max="8" width="9.85546875" style="168" bestFit="1" customWidth="1"/>
    <col min="9" max="9" width="10" style="3" bestFit="1" customWidth="1"/>
    <col min="10" max="10" width="13.28515625" style="3" customWidth="1"/>
    <col min="11" max="11" width="9.85546875" style="168" bestFit="1" customWidth="1"/>
    <col min="12" max="13" width="9.85546875" style="168" customWidth="1"/>
    <col min="14" max="14" width="6.85546875" style="168" bestFit="1" customWidth="1"/>
    <col min="15" max="15" width="9.140625" style="168"/>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48</v>
      </c>
      <c r="B1" s="3055"/>
      <c r="C1" s="3055"/>
      <c r="D1" s="3055"/>
      <c r="E1" s="3055"/>
      <c r="F1" s="3055"/>
      <c r="G1" s="3055"/>
      <c r="H1" s="3055"/>
      <c r="I1" s="3055"/>
      <c r="J1" s="3055"/>
      <c r="K1" s="3055"/>
      <c r="L1" s="3055"/>
      <c r="M1" s="3055"/>
      <c r="N1" s="3055"/>
      <c r="O1" s="3055"/>
    </row>
    <row r="2" spans="1:15" x14ac:dyDescent="0.2">
      <c r="A2" s="169"/>
    </row>
    <row r="3" spans="1:15" ht="15.75" x14ac:dyDescent="0.25">
      <c r="A3" s="172" t="s">
        <v>205</v>
      </c>
    </row>
    <row r="4" spans="1:15" x14ac:dyDescent="0.2">
      <c r="A4" s="169"/>
    </row>
    <row r="5" spans="1:15" x14ac:dyDescent="0.2">
      <c r="A5" s="173"/>
      <c r="I5" s="171"/>
      <c r="J5" s="171"/>
      <c r="K5" s="284"/>
    </row>
    <row r="6" spans="1:15" s="245" customFormat="1" x14ac:dyDescent="0.2">
      <c r="A6" s="242"/>
      <c r="B6" s="243">
        <v>2006</v>
      </c>
      <c r="C6" s="243">
        <v>2007</v>
      </c>
      <c r="D6" s="243">
        <v>2008</v>
      </c>
      <c r="E6" s="243">
        <v>2009</v>
      </c>
      <c r="F6" s="243">
        <v>2010</v>
      </c>
      <c r="G6" s="243">
        <v>2011</v>
      </c>
      <c r="H6" s="243">
        <v>2012</v>
      </c>
      <c r="I6" s="243">
        <v>2012</v>
      </c>
      <c r="J6" s="243">
        <v>2012</v>
      </c>
      <c r="K6" s="243">
        <v>2013</v>
      </c>
      <c r="L6" s="243">
        <v>2014</v>
      </c>
      <c r="M6" s="243">
        <v>2015</v>
      </c>
    </row>
    <row r="7" spans="1:15" s="245" customFormat="1" x14ac:dyDescent="0.2">
      <c r="A7" s="247" t="s">
        <v>44</v>
      </c>
      <c r="B7" s="248" t="s">
        <v>148</v>
      </c>
      <c r="C7" s="248" t="s">
        <v>148</v>
      </c>
      <c r="D7" s="248" t="s">
        <v>148</v>
      </c>
      <c r="E7" s="248" t="s">
        <v>148</v>
      </c>
      <c r="F7" s="248" t="s">
        <v>148</v>
      </c>
      <c r="G7" s="248" t="s">
        <v>148</v>
      </c>
      <c r="H7" s="248" t="s">
        <v>1</v>
      </c>
      <c r="I7" s="248" t="s">
        <v>316</v>
      </c>
      <c r="J7" s="248" t="s">
        <v>212</v>
      </c>
      <c r="K7" s="248" t="s">
        <v>1</v>
      </c>
      <c r="L7" s="248" t="s">
        <v>1</v>
      </c>
      <c r="M7" s="248" t="s">
        <v>1</v>
      </c>
    </row>
    <row r="8" spans="1:15" s="245" customFormat="1" x14ac:dyDescent="0.2">
      <c r="A8" s="244"/>
      <c r="I8" s="251"/>
      <c r="J8" s="251"/>
      <c r="K8" s="284"/>
      <c r="L8" s="575"/>
      <c r="M8" s="575"/>
    </row>
    <row r="9" spans="1:15" s="245" customFormat="1" x14ac:dyDescent="0.2">
      <c r="A9" s="244" t="s">
        <v>53</v>
      </c>
      <c r="B9" s="246" t="s">
        <v>195</v>
      </c>
      <c r="C9" s="246" t="s">
        <v>195</v>
      </c>
      <c r="D9" s="252">
        <v>5316.5</v>
      </c>
      <c r="E9" s="252">
        <v>10774.68</v>
      </c>
      <c r="F9" s="252">
        <v>5006.4399999999996</v>
      </c>
      <c r="G9" s="252"/>
      <c r="H9" s="252">
        <v>75170</v>
      </c>
      <c r="I9" s="537"/>
      <c r="J9" s="537"/>
      <c r="K9" s="252" t="e">
        <f>#REF!</f>
        <v>#REF!</v>
      </c>
      <c r="L9" s="252" t="e">
        <f>K9</f>
        <v>#REF!</v>
      </c>
      <c r="M9" s="252" t="e">
        <f>L9</f>
        <v>#REF!</v>
      </c>
    </row>
    <row r="10" spans="1:15" s="245" customFormat="1" x14ac:dyDescent="0.2">
      <c r="A10" s="244" t="s">
        <v>45</v>
      </c>
      <c r="B10" s="246" t="s">
        <v>195</v>
      </c>
      <c r="C10" s="246" t="s">
        <v>195</v>
      </c>
      <c r="D10" s="252">
        <v>2090</v>
      </c>
      <c r="E10" s="252">
        <v>3430.7</v>
      </c>
      <c r="F10" s="252">
        <v>618.34</v>
      </c>
      <c r="G10" s="252"/>
      <c r="H10" s="252">
        <v>15000</v>
      </c>
      <c r="I10" s="537"/>
      <c r="J10" s="537"/>
      <c r="K10" s="252" t="e">
        <f>#REF!</f>
        <v>#REF!</v>
      </c>
      <c r="L10" s="252" t="e">
        <f t="shared" ref="L10:M14" si="0">K10</f>
        <v>#REF!</v>
      </c>
      <c r="M10" s="252" t="e">
        <f t="shared" si="0"/>
        <v>#REF!</v>
      </c>
    </row>
    <row r="11" spans="1:15" s="245" customFormat="1" x14ac:dyDescent="0.2">
      <c r="A11" s="244" t="s">
        <v>202</v>
      </c>
      <c r="B11" s="246" t="s">
        <v>195</v>
      </c>
      <c r="C11" s="246" t="s">
        <v>195</v>
      </c>
      <c r="D11" s="252">
        <v>100.5</v>
      </c>
      <c r="E11" s="252">
        <v>0</v>
      </c>
      <c r="F11" s="252">
        <v>516.80999999999995</v>
      </c>
      <c r="G11" s="252"/>
      <c r="H11" s="252">
        <v>1500</v>
      </c>
      <c r="I11" s="537"/>
      <c r="J11" s="537"/>
      <c r="K11" s="252" t="e">
        <f>#REF!</f>
        <v>#REF!</v>
      </c>
      <c r="L11" s="252" t="e">
        <f t="shared" si="0"/>
        <v>#REF!</v>
      </c>
      <c r="M11" s="252" t="e">
        <f t="shared" si="0"/>
        <v>#REF!</v>
      </c>
    </row>
    <row r="12" spans="1:15" s="245" customFormat="1" ht="14.25" x14ac:dyDescent="0.2">
      <c r="A12" s="244" t="s">
        <v>2</v>
      </c>
      <c r="B12" s="246" t="s">
        <v>195</v>
      </c>
      <c r="C12" s="246" t="s">
        <v>195</v>
      </c>
      <c r="D12" s="252">
        <v>0</v>
      </c>
      <c r="E12" s="252">
        <v>3250</v>
      </c>
      <c r="F12" s="252">
        <v>116347.18</v>
      </c>
      <c r="G12" s="252"/>
      <c r="H12" s="252">
        <v>220378</v>
      </c>
      <c r="I12" s="537"/>
      <c r="J12" s="537"/>
      <c r="K12" s="252" t="e">
        <f>#REF!</f>
        <v>#REF!</v>
      </c>
      <c r="L12" s="257" t="e">
        <f t="shared" si="0"/>
        <v>#REF!</v>
      </c>
      <c r="M12" s="257" t="e">
        <f t="shared" si="0"/>
        <v>#REF!</v>
      </c>
      <c r="N12" s="947" t="s">
        <v>326</v>
      </c>
    </row>
    <row r="13" spans="1:15" s="245" customFormat="1" ht="14.25" x14ac:dyDescent="0.2">
      <c r="A13" s="244" t="s">
        <v>14</v>
      </c>
      <c r="B13" s="246" t="s">
        <v>195</v>
      </c>
      <c r="C13" s="246" t="s">
        <v>195</v>
      </c>
      <c r="D13" s="252">
        <v>742</v>
      </c>
      <c r="E13" s="252">
        <v>430</v>
      </c>
      <c r="F13" s="252">
        <v>827.92</v>
      </c>
      <c r="G13" s="252"/>
      <c r="H13" s="252">
        <v>5000</v>
      </c>
      <c r="I13" s="537"/>
      <c r="J13" s="537"/>
      <c r="K13" s="252" t="e">
        <f>#REF!</f>
        <v>#REF!</v>
      </c>
      <c r="L13" s="252" t="e">
        <f t="shared" si="0"/>
        <v>#REF!</v>
      </c>
      <c r="M13" s="252" t="e">
        <f t="shared" si="0"/>
        <v>#REF!</v>
      </c>
      <c r="N13" s="947" t="s">
        <v>327</v>
      </c>
    </row>
    <row r="14" spans="1:15" s="245" customFormat="1" ht="15" x14ac:dyDescent="0.35">
      <c r="A14" s="244" t="s">
        <v>46</v>
      </c>
      <c r="B14" s="246" t="s">
        <v>195</v>
      </c>
      <c r="C14" s="246" t="s">
        <v>195</v>
      </c>
      <c r="D14" s="256">
        <v>0</v>
      </c>
      <c r="E14" s="263">
        <v>0</v>
      </c>
      <c r="F14" s="263">
        <v>20.92</v>
      </c>
      <c r="G14" s="256"/>
      <c r="H14" s="256">
        <v>7500</v>
      </c>
      <c r="I14" s="256"/>
      <c r="J14" s="256"/>
      <c r="K14" s="256" t="e">
        <f>#REF!</f>
        <v>#REF!</v>
      </c>
      <c r="L14" s="256" t="e">
        <f t="shared" si="0"/>
        <v>#REF!</v>
      </c>
      <c r="M14" s="256" t="e">
        <f t="shared" si="0"/>
        <v>#REF!</v>
      </c>
    </row>
    <row r="15" spans="1:15" s="245" customFormat="1" x14ac:dyDescent="0.2">
      <c r="A15" s="244" t="s">
        <v>86</v>
      </c>
      <c r="C15" s="257"/>
      <c r="D15" s="252">
        <f t="shared" ref="D15:M15" si="1">SUM(D9:D14)</f>
        <v>8249</v>
      </c>
      <c r="E15" s="252">
        <f t="shared" si="1"/>
        <v>17885.38</v>
      </c>
      <c r="F15" s="252">
        <f t="shared" si="1"/>
        <v>123337.60999999999</v>
      </c>
      <c r="G15" s="252">
        <f t="shared" si="1"/>
        <v>0</v>
      </c>
      <c r="H15" s="252">
        <f t="shared" si="1"/>
        <v>324548</v>
      </c>
      <c r="I15" s="546">
        <f t="shared" si="1"/>
        <v>0</v>
      </c>
      <c r="J15" s="548">
        <f t="shared" si="1"/>
        <v>0</v>
      </c>
      <c r="K15" s="513" t="e">
        <f t="shared" si="1"/>
        <v>#REF!</v>
      </c>
      <c r="L15" s="504" t="e">
        <f t="shared" si="1"/>
        <v>#REF!</v>
      </c>
      <c r="M15" s="504" t="e">
        <f t="shared" si="1"/>
        <v>#REF!</v>
      </c>
      <c r="N15" s="246" t="s">
        <v>201</v>
      </c>
    </row>
    <row r="16" spans="1:15" s="245" customFormat="1" x14ac:dyDescent="0.2">
      <c r="A16" s="244"/>
      <c r="B16" s="253"/>
      <c r="C16" s="259"/>
      <c r="D16" s="260"/>
      <c r="I16" s="255"/>
      <c r="J16" s="255"/>
      <c r="K16" s="284"/>
      <c r="L16" s="284"/>
      <c r="M16" s="284"/>
    </row>
    <row r="17" spans="1:23" s="245" customFormat="1" ht="15" x14ac:dyDescent="0.35">
      <c r="A17" s="262"/>
      <c r="C17" s="258"/>
      <c r="D17" s="258"/>
      <c r="K17" s="294"/>
      <c r="L17" s="294"/>
      <c r="M17" s="294"/>
      <c r="N17" s="263"/>
    </row>
    <row r="18" spans="1:23" s="245" customFormat="1" ht="25.5" x14ac:dyDescent="0.2">
      <c r="A18" s="247" t="s">
        <v>83</v>
      </c>
      <c r="B18" s="264" t="s">
        <v>196</v>
      </c>
      <c r="C18" s="264" t="s">
        <v>177</v>
      </c>
      <c r="D18" s="264" t="s">
        <v>210</v>
      </c>
      <c r="E18" s="264" t="s">
        <v>219</v>
      </c>
      <c r="F18" s="264" t="s">
        <v>259</v>
      </c>
      <c r="G18" s="264" t="s">
        <v>321</v>
      </c>
      <c r="H18" s="264" t="s">
        <v>315</v>
      </c>
      <c r="I18" s="264" t="s">
        <v>317</v>
      </c>
      <c r="J18" s="264" t="s">
        <v>323</v>
      </c>
      <c r="K18" s="264" t="s">
        <v>320</v>
      </c>
      <c r="L18" s="264" t="s">
        <v>333</v>
      </c>
      <c r="M18" s="264" t="s">
        <v>334</v>
      </c>
      <c r="N18" s="246"/>
      <c r="Q18" s="244"/>
      <c r="R18" s="244"/>
      <c r="S18" s="244"/>
      <c r="T18" s="244"/>
      <c r="U18" s="244"/>
      <c r="V18" s="244"/>
      <c r="W18" s="244"/>
    </row>
    <row r="19" spans="1:23" s="245" customFormat="1" x14ac:dyDescent="0.2">
      <c r="K19" s="284"/>
      <c r="L19" s="180"/>
      <c r="M19" s="180"/>
      <c r="N19" s="246"/>
      <c r="Q19" s="186"/>
      <c r="R19" s="186"/>
      <c r="S19" s="180"/>
      <c r="T19" s="180"/>
      <c r="U19" s="180"/>
      <c r="V19" s="244"/>
      <c r="W19" s="244"/>
    </row>
    <row r="20" spans="1:23" s="245" customFormat="1" x14ac:dyDescent="0.2">
      <c r="A20" s="245" t="s">
        <v>49</v>
      </c>
      <c r="B20" s="246" t="s">
        <v>195</v>
      </c>
      <c r="C20" s="246" t="s">
        <v>195</v>
      </c>
      <c r="D20" s="246" t="s">
        <v>195</v>
      </c>
      <c r="E20" s="267">
        <v>6683</v>
      </c>
      <c r="F20" s="267">
        <v>66979</v>
      </c>
      <c r="G20" s="267"/>
      <c r="H20" s="267">
        <v>143392</v>
      </c>
      <c r="I20" s="533">
        <v>0</v>
      </c>
      <c r="J20" s="550" t="e">
        <f>I20/I15*J15</f>
        <v>#DIV/0!</v>
      </c>
      <c r="K20" s="302">
        <f>'2013 Summary Table B '!M34</f>
        <v>40800.523412933908</v>
      </c>
      <c r="L20" s="506">
        <f>K20</f>
        <v>40800.523412933908</v>
      </c>
      <c r="M20" s="506">
        <f>L20</f>
        <v>40800.523412933908</v>
      </c>
      <c r="N20" s="246" t="s">
        <v>64</v>
      </c>
      <c r="Q20" s="186"/>
      <c r="R20" s="186"/>
      <c r="S20" s="187"/>
      <c r="T20" s="187"/>
      <c r="U20" s="187"/>
      <c r="V20" s="244"/>
      <c r="W20" s="244"/>
    </row>
    <row r="21" spans="1:23" s="245" customFormat="1" x14ac:dyDescent="0.2">
      <c r="A21" s="245" t="s">
        <v>50</v>
      </c>
      <c r="B21" s="246" t="s">
        <v>195</v>
      </c>
      <c r="C21" s="246" t="s">
        <v>195</v>
      </c>
      <c r="D21" s="246" t="s">
        <v>195</v>
      </c>
      <c r="E21" s="267">
        <v>66830</v>
      </c>
      <c r="F21" s="267">
        <v>669798</v>
      </c>
      <c r="G21" s="267"/>
      <c r="H21" s="267">
        <v>1433932</v>
      </c>
      <c r="I21" s="533">
        <v>0</v>
      </c>
      <c r="J21" s="550" t="e">
        <f>I21/I15*J15</f>
        <v>#DIV/0!</v>
      </c>
      <c r="K21" s="302">
        <f>'2013 Summary Table B '!N34</f>
        <v>274694.4980919502</v>
      </c>
      <c r="L21" s="506">
        <f>K21</f>
        <v>274694.4980919502</v>
      </c>
      <c r="M21" s="506">
        <f>L21</f>
        <v>274694.4980919502</v>
      </c>
      <c r="N21" s="246" t="s">
        <v>10</v>
      </c>
      <c r="Q21" s="180"/>
      <c r="R21" s="185"/>
      <c r="S21" s="182"/>
      <c r="T21" s="182"/>
      <c r="U21" s="182"/>
      <c r="V21" s="244"/>
      <c r="W21" s="244"/>
    </row>
    <row r="22" spans="1:23" s="245" customFormat="1" x14ac:dyDescent="0.2">
      <c r="C22" s="268" t="s">
        <v>3</v>
      </c>
      <c r="J22" s="547"/>
      <c r="K22" s="284"/>
      <c r="L22" s="180"/>
      <c r="M22" s="180"/>
      <c r="N22" s="246"/>
      <c r="Q22" s="180"/>
      <c r="R22" s="185"/>
      <c r="S22" s="183"/>
      <c r="T22" s="183"/>
      <c r="U22" s="183"/>
      <c r="V22" s="244"/>
      <c r="W22" s="244"/>
    </row>
    <row r="23" spans="1:23" s="245" customFormat="1" x14ac:dyDescent="0.2">
      <c r="A23" s="245" t="s">
        <v>51</v>
      </c>
      <c r="B23" s="246" t="s">
        <v>195</v>
      </c>
      <c r="C23" s="246" t="s">
        <v>195</v>
      </c>
      <c r="D23" s="246" t="s">
        <v>195</v>
      </c>
      <c r="E23" s="269">
        <f>SUM(E15/E20)</f>
        <v>2.6762501870417479</v>
      </c>
      <c r="F23" s="269">
        <f>SUM(F15/F20)</f>
        <v>1.8414370175726718</v>
      </c>
      <c r="G23" s="269" t="e">
        <f>SUM(G12/G20)</f>
        <v>#DIV/0!</v>
      </c>
      <c r="H23" s="269">
        <f>SUM(H15/H20)</f>
        <v>2.2633619727739345</v>
      </c>
      <c r="I23" s="551" t="str">
        <f>IF(ISERROR(SUM(I15/I20)),"-",(I15/I20))</f>
        <v>-</v>
      </c>
      <c r="J23" s="551" t="e">
        <f>SUM(J15/J20)</f>
        <v>#DIV/0!</v>
      </c>
      <c r="K23" s="269" t="e">
        <f>SUM(K15/K20)</f>
        <v>#REF!</v>
      </c>
      <c r="L23" s="269" t="e">
        <f>SUM(L15/L20)</f>
        <v>#REF!</v>
      </c>
      <c r="M23" s="269" t="e">
        <f>SUM(M15/M20)</f>
        <v>#REF!</v>
      </c>
      <c r="N23" s="246" t="s">
        <v>65</v>
      </c>
      <c r="Q23" s="180"/>
      <c r="R23" s="185"/>
      <c r="S23" s="183"/>
      <c r="T23" s="183"/>
      <c r="U23" s="183"/>
      <c r="V23" s="244"/>
      <c r="W23" s="244"/>
    </row>
    <row r="24" spans="1:23" s="245" customFormat="1" x14ac:dyDescent="0.2">
      <c r="A24" s="245" t="s">
        <v>52</v>
      </c>
      <c r="B24" s="246" t="s">
        <v>195</v>
      </c>
      <c r="C24" s="246" t="s">
        <v>195</v>
      </c>
      <c r="D24" s="246" t="s">
        <v>195</v>
      </c>
      <c r="E24" s="269">
        <f>SUM(E15/E21)</f>
        <v>0.26762501870417477</v>
      </c>
      <c r="F24" s="269">
        <f>SUM(F15/F21)</f>
        <v>0.1841415023633991</v>
      </c>
      <c r="G24" s="269" t="e">
        <f>SUM(G12/G21)</f>
        <v>#DIV/0!</v>
      </c>
      <c r="H24" s="269">
        <f>SUM(H15/H21)</f>
        <v>0.22633430316081934</v>
      </c>
      <c r="I24" s="551" t="str">
        <f>IF(ISERROR(SUM(I15/I21)),"-",(I15/I21))</f>
        <v>-</v>
      </c>
      <c r="J24" s="551" t="e">
        <f>SUM(J15/J21)</f>
        <v>#DIV/0!</v>
      </c>
      <c r="K24" s="269" t="e">
        <f>SUM(K15/K21)</f>
        <v>#REF!</v>
      </c>
      <c r="L24" s="269" t="e">
        <f>SUM(L15/L21)</f>
        <v>#REF!</v>
      </c>
      <c r="M24" s="269" t="e">
        <f>SUM(M15/M21)</f>
        <v>#REF!</v>
      </c>
      <c r="N24" s="246" t="s">
        <v>66</v>
      </c>
      <c r="Q24" s="180"/>
      <c r="R24" s="185"/>
      <c r="S24" s="184"/>
      <c r="T24" s="184"/>
      <c r="U24" s="184"/>
      <c r="V24" s="244"/>
      <c r="W24" s="244"/>
    </row>
    <row r="25" spans="1:23" s="245" customFormat="1" x14ac:dyDescent="0.2">
      <c r="C25" s="268"/>
      <c r="J25" s="552"/>
      <c r="K25" s="284"/>
      <c r="N25" s="246"/>
      <c r="Q25" s="180"/>
      <c r="R25" s="185"/>
      <c r="S25" s="182"/>
      <c r="T25" s="182"/>
      <c r="U25" s="182"/>
      <c r="V25" s="244"/>
      <c r="W25" s="244"/>
    </row>
    <row r="26" spans="1:23" s="245" customFormat="1" x14ac:dyDescent="0.2">
      <c r="A26" s="245" t="s">
        <v>84</v>
      </c>
      <c r="B26" s="246" t="s">
        <v>195</v>
      </c>
      <c r="C26" s="246" t="s">
        <v>195</v>
      </c>
      <c r="D26" s="246" t="s">
        <v>195</v>
      </c>
      <c r="E26" s="257">
        <v>60492.442311276303</v>
      </c>
      <c r="F26" s="257">
        <f>H26/H21*F21</f>
        <v>400518.02728999703</v>
      </c>
      <c r="G26" s="257"/>
      <c r="H26" s="257">
        <v>857446</v>
      </c>
      <c r="I26" s="257">
        <f>H26/E21*I21</f>
        <v>0</v>
      </c>
      <c r="J26" s="257" t="e">
        <f>H26/H21*J21</f>
        <v>#DIV/0!</v>
      </c>
      <c r="K26" s="295">
        <f>'2013 Summary Table B '!F34</f>
        <v>163558.89278901264</v>
      </c>
      <c r="L26" s="257">
        <f>K26</f>
        <v>163558.89278901264</v>
      </c>
      <c r="M26" s="257">
        <f>L26</f>
        <v>163558.89278901264</v>
      </c>
      <c r="N26" s="246" t="s">
        <v>67</v>
      </c>
      <c r="Q26" s="180"/>
      <c r="R26" s="185"/>
      <c r="S26" s="185"/>
      <c r="T26" s="185"/>
      <c r="U26" s="185"/>
      <c r="V26" s="244"/>
      <c r="W26" s="244"/>
    </row>
    <row r="27" spans="1:23" s="245" customFormat="1" x14ac:dyDescent="0.2">
      <c r="A27" s="245" t="s">
        <v>85</v>
      </c>
      <c r="B27" s="246" t="s">
        <v>195</v>
      </c>
      <c r="C27" s="246" t="s">
        <v>195</v>
      </c>
      <c r="D27" s="246" t="s">
        <v>195</v>
      </c>
      <c r="E27" s="271">
        <f>SUM(E26/E15)</f>
        <v>3.3822285191187609</v>
      </c>
      <c r="F27" s="271">
        <f>SUM(F26/F15)</f>
        <v>3.2473308611217377</v>
      </c>
      <c r="G27" s="271" t="e">
        <f>SUM(G26/G12)</f>
        <v>#DIV/0!</v>
      </c>
      <c r="H27" s="271">
        <f t="shared" ref="H27:M27" si="2">SUM(H26/H15)</f>
        <v>2.6419697548590655</v>
      </c>
      <c r="I27" s="271" t="e">
        <f t="shared" si="2"/>
        <v>#DIV/0!</v>
      </c>
      <c r="J27" s="551" t="e">
        <f t="shared" si="2"/>
        <v>#DIV/0!</v>
      </c>
      <c r="K27" s="271" t="e">
        <f t="shared" si="2"/>
        <v>#REF!</v>
      </c>
      <c r="L27" s="271" t="e">
        <f t="shared" si="2"/>
        <v>#REF!</v>
      </c>
      <c r="M27" s="271" t="e">
        <f t="shared" si="2"/>
        <v>#REF!</v>
      </c>
      <c r="N27" s="246" t="s">
        <v>68</v>
      </c>
      <c r="O27" s="280"/>
      <c r="Q27" s="180"/>
      <c r="R27" s="185"/>
      <c r="S27" s="183"/>
      <c r="T27" s="185"/>
      <c r="U27" s="183"/>
      <c r="V27" s="244"/>
      <c r="W27" s="244"/>
    </row>
    <row r="28" spans="1:23" s="245" customFormat="1" x14ac:dyDescent="0.2">
      <c r="A28" s="245" t="s">
        <v>214</v>
      </c>
      <c r="B28" s="246" t="s">
        <v>195</v>
      </c>
      <c r="C28" s="246" t="s">
        <v>195</v>
      </c>
      <c r="D28" s="246" t="s">
        <v>195</v>
      </c>
      <c r="E28" s="281">
        <v>1</v>
      </c>
      <c r="F28" s="281">
        <v>3</v>
      </c>
      <c r="G28" s="267"/>
      <c r="H28" s="281">
        <v>9</v>
      </c>
      <c r="I28" s="281"/>
      <c r="J28" s="550" t="e">
        <f>I28/I15*J15</f>
        <v>#DIV/0!</v>
      </c>
      <c r="K28" s="301">
        <f>'2013 Summary Table B '!K34</f>
        <v>3</v>
      </c>
      <c r="L28" s="267">
        <f>K28</f>
        <v>3</v>
      </c>
      <c r="M28" s="267">
        <f>L28</f>
        <v>3</v>
      </c>
      <c r="N28" s="246" t="s">
        <v>69</v>
      </c>
      <c r="Q28" s="180"/>
      <c r="R28" s="185"/>
      <c r="S28" s="183"/>
      <c r="T28" s="183"/>
      <c r="U28" s="183"/>
      <c r="V28" s="244"/>
      <c r="W28" s="244"/>
    </row>
    <row r="29" spans="1:23" s="245" customFormat="1" x14ac:dyDescent="0.2">
      <c r="A29" s="245" t="s">
        <v>215</v>
      </c>
      <c r="B29" s="246" t="s">
        <v>195</v>
      </c>
      <c r="C29" s="246" t="s">
        <v>195</v>
      </c>
      <c r="D29" s="246" t="s">
        <v>195</v>
      </c>
      <c r="E29" s="282">
        <f>SUM(E21/E28)</f>
        <v>66830</v>
      </c>
      <c r="F29" s="282">
        <f>SUM(F21/F28)</f>
        <v>223266</v>
      </c>
      <c r="G29" s="266" t="e">
        <f>SUM(G21/G28)</f>
        <v>#DIV/0!</v>
      </c>
      <c r="H29" s="312">
        <f>H21/H28</f>
        <v>159325.77777777778</v>
      </c>
      <c r="I29" s="528" t="str">
        <f>IF(ISERROR(SUM(I21/I26)),"-",(I21/I26))</f>
        <v>-</v>
      </c>
      <c r="J29" s="550" t="e">
        <f>J21/J28</f>
        <v>#DIV/0!</v>
      </c>
      <c r="K29" s="312">
        <f>K21/K28</f>
        <v>91564.832697316728</v>
      </c>
      <c r="L29" s="266">
        <f>SUM(L21/L28)</f>
        <v>91564.832697316728</v>
      </c>
      <c r="M29" s="266">
        <f>SUM(M21/M28)</f>
        <v>91564.832697316728</v>
      </c>
      <c r="N29" s="246" t="s">
        <v>70</v>
      </c>
      <c r="Q29" s="180"/>
      <c r="R29" s="185"/>
      <c r="S29" s="182"/>
      <c r="T29" s="182"/>
      <c r="U29" s="182"/>
      <c r="V29" s="244"/>
      <c r="W29" s="244"/>
    </row>
    <row r="30" spans="1:23" s="245" customFormat="1" x14ac:dyDescent="0.2">
      <c r="A30" s="245" t="s">
        <v>216</v>
      </c>
      <c r="B30" s="246" t="s">
        <v>195</v>
      </c>
      <c r="C30" s="246" t="s">
        <v>195</v>
      </c>
      <c r="D30" s="246" t="s">
        <v>195</v>
      </c>
      <c r="E30" s="257">
        <f>SUM(E15/E28)</f>
        <v>17885.38</v>
      </c>
      <c r="F30" s="257">
        <f>SUM(F15/F28)</f>
        <v>41112.53666666666</v>
      </c>
      <c r="G30" s="257" t="e">
        <f>SUM(G12/G28)</f>
        <v>#DIV/0!</v>
      </c>
      <c r="H30" s="283">
        <f>H15/H28</f>
        <v>36060.888888888891</v>
      </c>
      <c r="I30" s="528" t="str">
        <f>IF(ISERROR(SUM(I22/I27)),"-",(I22/I27))</f>
        <v>-</v>
      </c>
      <c r="J30" s="558" t="e">
        <f>J15/J28</f>
        <v>#DIV/0!</v>
      </c>
      <c r="K30" s="283" t="e">
        <f>K15/K28</f>
        <v>#REF!</v>
      </c>
      <c r="L30" s="257" t="e">
        <f>SUM(L15/L28)</f>
        <v>#REF!</v>
      </c>
      <c r="M30" s="257" t="e">
        <f>SUM(M15/M28)</f>
        <v>#REF!</v>
      </c>
      <c r="N30" s="246" t="s">
        <v>72</v>
      </c>
      <c r="Q30" s="180"/>
      <c r="R30" s="185"/>
      <c r="S30" s="182"/>
      <c r="T30" s="182"/>
      <c r="U30" s="182"/>
      <c r="V30" s="244"/>
      <c r="W30" s="244"/>
    </row>
    <row r="31" spans="1:23" s="245" customFormat="1" x14ac:dyDescent="0.2">
      <c r="A31" s="245" t="s">
        <v>217</v>
      </c>
      <c r="B31" s="246" t="s">
        <v>195</v>
      </c>
      <c r="C31" s="246" t="s">
        <v>195</v>
      </c>
      <c r="D31" s="246" t="s">
        <v>195</v>
      </c>
      <c r="E31" s="257">
        <f>SUM(E26/E28)</f>
        <v>60492.442311276303</v>
      </c>
      <c r="F31" s="257">
        <f>SUM(F26/F28)</f>
        <v>133506.00909666569</v>
      </c>
      <c r="G31" s="257" t="e">
        <f>SUM(G26/G28)</f>
        <v>#DIV/0!</v>
      </c>
      <c r="H31" s="283">
        <f>H26/H28</f>
        <v>95271.777777777781</v>
      </c>
      <c r="I31" s="528" t="str">
        <f>IF(ISERROR(SUM(I23/I28)),"-",(I23/I28))</f>
        <v>-</v>
      </c>
      <c r="J31" s="558" t="e">
        <f>J26/J28</f>
        <v>#DIV/0!</v>
      </c>
      <c r="K31" s="283">
        <f>K26/K28</f>
        <v>54519.630929670879</v>
      </c>
      <c r="L31" s="257">
        <f>SUM(L26/L28)</f>
        <v>54519.630929670879</v>
      </c>
      <c r="M31" s="257">
        <f>SUM(M26/M28)</f>
        <v>54519.630929670879</v>
      </c>
      <c r="N31" s="246" t="s">
        <v>73</v>
      </c>
      <c r="Q31" s="244"/>
      <c r="R31" s="244"/>
      <c r="S31" s="244"/>
      <c r="T31" s="244"/>
      <c r="U31" s="244"/>
      <c r="V31" s="244"/>
      <c r="W31" s="244"/>
    </row>
    <row r="32" spans="1:23" s="245" customFormat="1" ht="14.25" x14ac:dyDescent="0.2">
      <c r="A32" s="704" t="s">
        <v>324</v>
      </c>
      <c r="B32" s="246" t="s">
        <v>187</v>
      </c>
      <c r="C32" s="246" t="s">
        <v>187</v>
      </c>
      <c r="D32" s="246" t="s">
        <v>187</v>
      </c>
      <c r="E32" s="945">
        <f t="shared" ref="E32:K32" si="3">E12/E21</f>
        <v>4.8630854406703575E-2</v>
      </c>
      <c r="F32" s="945">
        <f t="shared" si="3"/>
        <v>0.17370487818715491</v>
      </c>
      <c r="G32" s="945" t="e">
        <f t="shared" si="3"/>
        <v>#DIV/0!</v>
      </c>
      <c r="H32" s="945">
        <f t="shared" si="3"/>
        <v>0.15368790151834258</v>
      </c>
      <c r="I32" s="945" t="e">
        <f t="shared" si="3"/>
        <v>#DIV/0!</v>
      </c>
      <c r="J32" s="945" t="e">
        <f t="shared" si="3"/>
        <v>#DIV/0!</v>
      </c>
      <c r="K32" s="945" t="e">
        <f t="shared" si="3"/>
        <v>#REF!</v>
      </c>
      <c r="L32" s="945" t="e">
        <f>L12/L21</f>
        <v>#REF!</v>
      </c>
      <c r="M32" s="945" t="e">
        <f>M12/M21</f>
        <v>#REF!</v>
      </c>
      <c r="N32" s="557" t="s">
        <v>328</v>
      </c>
      <c r="Q32" s="244"/>
      <c r="R32" s="244"/>
      <c r="S32" s="244"/>
      <c r="T32" s="244"/>
      <c r="U32" s="244"/>
      <c r="V32" s="244"/>
      <c r="W32" s="244"/>
    </row>
    <row r="33" spans="1:23" s="245" customFormat="1" ht="14.25" x14ac:dyDescent="0.2">
      <c r="A33" s="704" t="s">
        <v>325</v>
      </c>
      <c r="B33" s="246" t="s">
        <v>187</v>
      </c>
      <c r="C33" s="246" t="s">
        <v>187</v>
      </c>
      <c r="D33" s="246" t="s">
        <v>187</v>
      </c>
      <c r="E33" s="946">
        <f t="shared" ref="E33:K33" si="4">E13/E21</f>
        <v>6.4342361215023189E-3</v>
      </c>
      <c r="F33" s="946">
        <f t="shared" si="4"/>
        <v>1.2360741596720204E-3</v>
      </c>
      <c r="G33" s="946" t="e">
        <f t="shared" si="4"/>
        <v>#DIV/0!</v>
      </c>
      <c r="H33" s="946">
        <f t="shared" si="4"/>
        <v>3.4869156975365638E-3</v>
      </c>
      <c r="I33" s="946" t="e">
        <f t="shared" si="4"/>
        <v>#DIV/0!</v>
      </c>
      <c r="J33" s="946" t="e">
        <f t="shared" si="4"/>
        <v>#DIV/0!</v>
      </c>
      <c r="K33" s="946" t="e">
        <f t="shared" si="4"/>
        <v>#REF!</v>
      </c>
      <c r="L33" s="946" t="e">
        <f>L13/L21</f>
        <v>#REF!</v>
      </c>
      <c r="M33" s="946" t="e">
        <f>M13/M21</f>
        <v>#REF!</v>
      </c>
      <c r="N33" s="557" t="s">
        <v>329</v>
      </c>
      <c r="Q33" s="244"/>
      <c r="R33" s="244"/>
      <c r="S33" s="244"/>
      <c r="T33" s="244"/>
      <c r="U33" s="244"/>
      <c r="V33" s="244"/>
      <c r="W33" s="244"/>
    </row>
    <row r="34" spans="1:23" s="245" customFormat="1" x14ac:dyDescent="0.2">
      <c r="A34" s="247"/>
      <c r="B34" s="265"/>
      <c r="C34" s="250"/>
      <c r="D34" s="250"/>
      <c r="I34" s="267"/>
      <c r="J34" s="272"/>
      <c r="K34" s="296"/>
      <c r="L34" s="246"/>
      <c r="M34" s="246"/>
      <c r="O34" s="246"/>
      <c r="P34" s="180"/>
      <c r="Q34" s="185"/>
      <c r="R34" s="182"/>
      <c r="S34" s="182"/>
      <c r="T34" s="182"/>
      <c r="U34" s="244"/>
    </row>
    <row r="35" spans="1:23" s="245" customFormat="1" x14ac:dyDescent="0.2">
      <c r="A35" s="248" t="s">
        <v>194</v>
      </c>
      <c r="B35" s="270"/>
      <c r="C35" s="244"/>
      <c r="I35" s="257"/>
      <c r="K35" s="296"/>
      <c r="L35" s="246"/>
      <c r="M35" s="246"/>
      <c r="O35" s="246"/>
      <c r="P35" s="180"/>
      <c r="Q35" s="185"/>
      <c r="R35" s="182"/>
      <c r="S35" s="182"/>
      <c r="T35" s="182"/>
      <c r="U35" s="244"/>
    </row>
    <row r="36" spans="1:23" s="245" customFormat="1" x14ac:dyDescent="0.2">
      <c r="A36" s="248"/>
      <c r="K36" s="296"/>
      <c r="L36" s="246"/>
      <c r="M36" s="246"/>
      <c r="O36" s="246"/>
    </row>
    <row r="37" spans="1:23" s="245" customFormat="1" x14ac:dyDescent="0.2">
      <c r="A37" s="273" t="s">
        <v>185</v>
      </c>
      <c r="B37" s="250" t="s">
        <v>1</v>
      </c>
      <c r="C37" s="250" t="s">
        <v>186</v>
      </c>
      <c r="D37" s="250" t="s">
        <v>18</v>
      </c>
      <c r="K37" s="296"/>
      <c r="L37" s="246"/>
      <c r="M37" s="246"/>
      <c r="O37" s="246"/>
    </row>
    <row r="38" spans="1:23" s="245" customFormat="1" x14ac:dyDescent="0.2">
      <c r="A38" s="273">
        <v>2006</v>
      </c>
      <c r="B38" s="246" t="s">
        <v>195</v>
      </c>
      <c r="C38" s="283" t="s">
        <v>195</v>
      </c>
      <c r="D38" s="278" t="str">
        <f t="shared" ref="D38:D46" si="5">IF(ISERROR(C38/B38),"-",(C38/B38))</f>
        <v>-</v>
      </c>
      <c r="K38" s="296"/>
      <c r="L38" s="246"/>
      <c r="M38" s="246"/>
      <c r="O38" s="246"/>
    </row>
    <row r="39" spans="1:23" s="245" customFormat="1" x14ac:dyDescent="0.2">
      <c r="A39" s="273">
        <v>2007</v>
      </c>
      <c r="B39" s="246" t="s">
        <v>195</v>
      </c>
      <c r="C39" s="283" t="s">
        <v>195</v>
      </c>
      <c r="D39" s="278" t="str">
        <f t="shared" si="5"/>
        <v>-</v>
      </c>
      <c r="K39" s="296"/>
      <c r="L39" s="246"/>
      <c r="M39" s="246"/>
      <c r="O39" s="246"/>
    </row>
    <row r="40" spans="1:23" s="245" customFormat="1" x14ac:dyDescent="0.2">
      <c r="A40" s="273">
        <v>2008</v>
      </c>
      <c r="B40" s="313">
        <v>136969</v>
      </c>
      <c r="C40" s="283">
        <v>8249</v>
      </c>
      <c r="D40" s="512">
        <f t="shared" si="5"/>
        <v>6.022530645620542E-2</v>
      </c>
      <c r="K40" s="296"/>
      <c r="L40" s="246"/>
      <c r="M40" s="246"/>
      <c r="O40" s="246"/>
    </row>
    <row r="41" spans="1:23" s="245" customFormat="1" x14ac:dyDescent="0.2">
      <c r="A41" s="273">
        <v>2009</v>
      </c>
      <c r="B41" s="274">
        <v>100000</v>
      </c>
      <c r="C41" s="283">
        <f>E15</f>
        <v>17885.38</v>
      </c>
      <c r="D41" s="275">
        <f t="shared" si="5"/>
        <v>0.17885380000000001</v>
      </c>
      <c r="K41" s="296"/>
      <c r="L41" s="246"/>
      <c r="M41" s="246"/>
      <c r="O41" s="246"/>
    </row>
    <row r="42" spans="1:23" s="245" customFormat="1" x14ac:dyDescent="0.2">
      <c r="A42" s="273">
        <v>2010</v>
      </c>
      <c r="B42" s="274">
        <v>100000</v>
      </c>
      <c r="C42" s="283">
        <v>123337.61</v>
      </c>
      <c r="D42" s="275">
        <f t="shared" si="5"/>
        <v>1.2333761000000001</v>
      </c>
      <c r="K42" s="296"/>
      <c r="L42" s="246"/>
      <c r="M42" s="246"/>
      <c r="O42" s="246"/>
    </row>
    <row r="43" spans="1:23" s="245" customFormat="1" x14ac:dyDescent="0.2">
      <c r="A43" s="273">
        <v>2011</v>
      </c>
      <c r="B43" s="274">
        <v>200000</v>
      </c>
      <c r="C43" s="274">
        <f>G15</f>
        <v>0</v>
      </c>
      <c r="D43" s="275">
        <f t="shared" si="5"/>
        <v>0</v>
      </c>
      <c r="K43" s="296"/>
      <c r="L43" s="246"/>
      <c r="M43" s="246"/>
      <c r="O43" s="246"/>
    </row>
    <row r="44" spans="1:23" s="245" customFormat="1" x14ac:dyDescent="0.2">
      <c r="A44" s="273" t="s">
        <v>319</v>
      </c>
      <c r="B44" s="274">
        <f>B45</f>
        <v>324548</v>
      </c>
      <c r="C44" s="274">
        <f>I15</f>
        <v>0</v>
      </c>
      <c r="D44" s="275">
        <f t="shared" si="5"/>
        <v>0</v>
      </c>
      <c r="K44" s="296"/>
      <c r="L44" s="246"/>
      <c r="M44" s="246"/>
      <c r="O44" s="246"/>
    </row>
    <row r="45" spans="1:23" s="245" customFormat="1" x14ac:dyDescent="0.2">
      <c r="A45" s="273" t="s">
        <v>318</v>
      </c>
      <c r="B45" s="274">
        <f>H15</f>
        <v>324548</v>
      </c>
      <c r="C45" s="274">
        <f>J15</f>
        <v>0</v>
      </c>
      <c r="D45" s="275">
        <f t="shared" si="5"/>
        <v>0</v>
      </c>
      <c r="K45" s="296"/>
      <c r="L45" s="246"/>
      <c r="M45" s="246"/>
      <c r="O45" s="246"/>
    </row>
    <row r="46" spans="1:23" s="245" customFormat="1" x14ac:dyDescent="0.2">
      <c r="A46" s="273">
        <v>2013</v>
      </c>
      <c r="B46" s="274" t="e">
        <f>K15</f>
        <v>#REF!</v>
      </c>
      <c r="C46" s="274" t="s">
        <v>195</v>
      </c>
      <c r="D46" s="275" t="str">
        <f t="shared" si="5"/>
        <v>-</v>
      </c>
      <c r="K46" s="296"/>
      <c r="L46" s="246"/>
      <c r="M46" s="246"/>
      <c r="O46" s="246"/>
    </row>
    <row r="47" spans="1:23" s="245" customFormat="1" x14ac:dyDescent="0.2">
      <c r="A47" s="273"/>
      <c r="C47" s="314"/>
      <c r="K47" s="296"/>
      <c r="L47" s="246"/>
      <c r="M47" s="246"/>
      <c r="O47" s="246"/>
    </row>
    <row r="48" spans="1:23" s="245" customFormat="1" x14ac:dyDescent="0.2">
      <c r="A48" s="276" t="s">
        <v>193</v>
      </c>
      <c r="K48" s="296"/>
      <c r="L48" s="246"/>
      <c r="M48" s="246"/>
      <c r="O48" s="246"/>
    </row>
    <row r="49" spans="1:15" s="245" customFormat="1" x14ac:dyDescent="0.2">
      <c r="A49" s="273" t="s">
        <v>185</v>
      </c>
      <c r="B49" s="250" t="s">
        <v>188</v>
      </c>
      <c r="C49" s="250" t="s">
        <v>186</v>
      </c>
      <c r="D49" s="250" t="s">
        <v>189</v>
      </c>
      <c r="K49" s="296"/>
      <c r="L49" s="246"/>
      <c r="M49" s="246"/>
      <c r="O49" s="246"/>
    </row>
    <row r="50" spans="1:15" s="245" customFormat="1" x14ac:dyDescent="0.2">
      <c r="A50" s="273">
        <v>2006</v>
      </c>
      <c r="B50" s="246" t="s">
        <v>195</v>
      </c>
      <c r="C50" s="246" t="s">
        <v>195</v>
      </c>
      <c r="D50" s="278" t="str">
        <f t="shared" ref="D50:D58" si="6">IF(ISERROR(C50/B50),"-",(C50/B50))</f>
        <v>-</v>
      </c>
      <c r="K50" s="296"/>
      <c r="L50" s="246"/>
      <c r="M50" s="246"/>
      <c r="O50" s="246"/>
    </row>
    <row r="51" spans="1:15" s="245" customFormat="1" x14ac:dyDescent="0.2">
      <c r="A51" s="273">
        <v>2007</v>
      </c>
      <c r="B51" s="246" t="s">
        <v>195</v>
      </c>
      <c r="C51" s="246" t="s">
        <v>195</v>
      </c>
      <c r="D51" s="278" t="str">
        <f t="shared" si="6"/>
        <v>-</v>
      </c>
      <c r="K51" s="296"/>
      <c r="L51" s="246"/>
      <c r="M51" s="246"/>
      <c r="O51" s="246"/>
    </row>
    <row r="52" spans="1:15" s="245" customFormat="1" x14ac:dyDescent="0.2">
      <c r="A52" s="273">
        <v>2008</v>
      </c>
      <c r="B52" s="246" t="s">
        <v>195</v>
      </c>
      <c r="C52" s="246" t="s">
        <v>195</v>
      </c>
      <c r="D52" s="278" t="str">
        <f t="shared" si="6"/>
        <v>-</v>
      </c>
      <c r="K52" s="296"/>
      <c r="L52" s="246"/>
      <c r="M52" s="246"/>
      <c r="O52" s="246"/>
    </row>
    <row r="53" spans="1:15" s="245" customFormat="1" x14ac:dyDescent="0.2">
      <c r="A53" s="273">
        <v>2009</v>
      </c>
      <c r="B53" s="278">
        <v>6</v>
      </c>
      <c r="C53" s="246">
        <v>1</v>
      </c>
      <c r="D53" s="275">
        <f t="shared" si="6"/>
        <v>0.16666666666666666</v>
      </c>
      <c r="K53" s="296"/>
      <c r="L53" s="246"/>
      <c r="M53" s="246"/>
      <c r="O53" s="246"/>
    </row>
    <row r="54" spans="1:15" s="245" customFormat="1" x14ac:dyDescent="0.2">
      <c r="A54" s="273">
        <v>2010</v>
      </c>
      <c r="B54" s="278">
        <v>12</v>
      </c>
      <c r="C54" s="246">
        <v>3</v>
      </c>
      <c r="D54" s="275">
        <f t="shared" si="6"/>
        <v>0.25</v>
      </c>
      <c r="K54" s="296"/>
      <c r="L54" s="246"/>
      <c r="M54" s="246"/>
      <c r="O54" s="246"/>
    </row>
    <row r="55" spans="1:15" s="245" customFormat="1" x14ac:dyDescent="0.2">
      <c r="A55" s="273">
        <v>2011</v>
      </c>
      <c r="B55" s="278">
        <v>23</v>
      </c>
      <c r="C55" s="536">
        <f>G28</f>
        <v>0</v>
      </c>
      <c r="D55" s="507">
        <f t="shared" si="6"/>
        <v>0</v>
      </c>
      <c r="K55" s="296"/>
      <c r="L55" s="246"/>
      <c r="M55" s="246"/>
      <c r="O55" s="246"/>
    </row>
    <row r="56" spans="1:15" s="245" customFormat="1" x14ac:dyDescent="0.2">
      <c r="A56" s="273" t="s">
        <v>319</v>
      </c>
      <c r="B56" s="509">
        <f>B57</f>
        <v>9</v>
      </c>
      <c r="C56" s="536">
        <f>I28</f>
        <v>0</v>
      </c>
      <c r="D56" s="507">
        <f t="shared" si="6"/>
        <v>0</v>
      </c>
      <c r="K56" s="296"/>
      <c r="L56" s="246"/>
      <c r="M56" s="246"/>
      <c r="O56" s="246"/>
    </row>
    <row r="57" spans="1:15" s="245" customFormat="1" x14ac:dyDescent="0.2">
      <c r="A57" s="273" t="s">
        <v>318</v>
      </c>
      <c r="B57" s="509">
        <f>H28</f>
        <v>9</v>
      </c>
      <c r="C57" s="314" t="e">
        <f>J28</f>
        <v>#DIV/0!</v>
      </c>
      <c r="D57" s="507" t="str">
        <f t="shared" si="6"/>
        <v>-</v>
      </c>
      <c r="K57" s="296"/>
      <c r="L57" s="246"/>
      <c r="M57" s="246"/>
      <c r="O57" s="246"/>
    </row>
    <row r="58" spans="1:15" s="245" customFormat="1" x14ac:dyDescent="0.2">
      <c r="A58" s="273">
        <v>2013</v>
      </c>
      <c r="B58" s="278">
        <f>K28</f>
        <v>3</v>
      </c>
      <c r="C58" s="246" t="s">
        <v>187</v>
      </c>
      <c r="D58" s="507" t="str">
        <f t="shared" si="6"/>
        <v>-</v>
      </c>
      <c r="K58" s="296"/>
      <c r="L58" s="246"/>
      <c r="M58" s="246"/>
      <c r="O58" s="246"/>
    </row>
    <row r="59" spans="1:15" s="245" customFormat="1" x14ac:dyDescent="0.2">
      <c r="A59" s="284"/>
      <c r="K59" s="296"/>
      <c r="L59" s="246"/>
      <c r="M59" s="246"/>
      <c r="O59" s="246"/>
    </row>
    <row r="60" spans="1:15" s="245" customFormat="1" x14ac:dyDescent="0.2">
      <c r="A60" s="276" t="s">
        <v>191</v>
      </c>
      <c r="K60" s="296"/>
      <c r="L60" s="246"/>
      <c r="M60" s="246"/>
      <c r="O60" s="246"/>
    </row>
    <row r="61" spans="1:15" s="245" customFormat="1" x14ac:dyDescent="0.2">
      <c r="A61" s="273" t="s">
        <v>185</v>
      </c>
      <c r="B61" s="250" t="s">
        <v>188</v>
      </c>
      <c r="C61" s="250" t="s">
        <v>186</v>
      </c>
      <c r="D61" s="250" t="s">
        <v>189</v>
      </c>
      <c r="K61" s="296"/>
      <c r="L61" s="246"/>
      <c r="M61" s="246"/>
      <c r="O61" s="246"/>
    </row>
    <row r="62" spans="1:15" s="245" customFormat="1" x14ac:dyDescent="0.2">
      <c r="A62" s="273">
        <v>2006</v>
      </c>
      <c r="B62" s="246" t="s">
        <v>195</v>
      </c>
      <c r="C62" s="246" t="s">
        <v>195</v>
      </c>
      <c r="D62" s="278" t="str">
        <f t="shared" ref="D62:D70" si="7">IF(ISERROR(C62/B62),"-",(C62/B62))</f>
        <v>-</v>
      </c>
      <c r="K62" s="296"/>
      <c r="L62" s="246"/>
      <c r="M62" s="246"/>
      <c r="O62" s="246"/>
    </row>
    <row r="63" spans="1:15" s="245" customFormat="1" x14ac:dyDescent="0.2">
      <c r="A63" s="273">
        <v>2007</v>
      </c>
      <c r="B63" s="246" t="s">
        <v>195</v>
      </c>
      <c r="C63" s="246" t="s">
        <v>195</v>
      </c>
      <c r="D63" s="278" t="str">
        <f t="shared" si="7"/>
        <v>-</v>
      </c>
      <c r="K63" s="296"/>
      <c r="L63" s="246"/>
      <c r="M63" s="246"/>
      <c r="O63" s="246"/>
    </row>
    <row r="64" spans="1:15" s="245" customFormat="1" x14ac:dyDescent="0.2">
      <c r="A64" s="273">
        <v>2008</v>
      </c>
      <c r="B64" s="246" t="s">
        <v>195</v>
      </c>
      <c r="C64" s="246" t="s">
        <v>195</v>
      </c>
      <c r="D64" s="278" t="str">
        <f t="shared" si="7"/>
        <v>-</v>
      </c>
      <c r="K64" s="296"/>
      <c r="L64" s="246"/>
      <c r="M64" s="246"/>
      <c r="O64" s="246"/>
    </row>
    <row r="65" spans="1:15" s="245" customFormat="1" x14ac:dyDescent="0.2">
      <c r="A65" s="273">
        <v>2009</v>
      </c>
      <c r="B65" s="278">
        <v>29042.383082909775</v>
      </c>
      <c r="C65" s="314">
        <v>6683</v>
      </c>
      <c r="D65" s="532">
        <f t="shared" si="7"/>
        <v>0.23011197052671153</v>
      </c>
      <c r="K65" s="296"/>
      <c r="L65" s="246"/>
      <c r="M65" s="246"/>
      <c r="O65" s="246"/>
    </row>
    <row r="66" spans="1:15" s="245" customFormat="1" x14ac:dyDescent="0.2">
      <c r="A66" s="273">
        <v>2010</v>
      </c>
      <c r="B66" s="278">
        <v>17973</v>
      </c>
      <c r="C66" s="314">
        <v>66979</v>
      </c>
      <c r="D66" s="532">
        <f t="shared" si="7"/>
        <v>3.7266455238413174</v>
      </c>
      <c r="K66" s="296"/>
      <c r="L66" s="246"/>
      <c r="M66" s="246"/>
      <c r="O66" s="246"/>
    </row>
    <row r="67" spans="1:15" s="245" customFormat="1" x14ac:dyDescent="0.2">
      <c r="A67" s="273">
        <v>2011</v>
      </c>
      <c r="B67" s="278">
        <v>81669</v>
      </c>
      <c r="C67" s="508">
        <f>G20</f>
        <v>0</v>
      </c>
      <c r="D67" s="507">
        <f t="shared" si="7"/>
        <v>0</v>
      </c>
      <c r="K67" s="296"/>
      <c r="L67" s="246"/>
      <c r="M67" s="246"/>
      <c r="O67" s="246"/>
    </row>
    <row r="68" spans="1:15" s="245" customFormat="1" x14ac:dyDescent="0.2">
      <c r="A68" s="273" t="s">
        <v>319</v>
      </c>
      <c r="B68" s="509">
        <f>B69</f>
        <v>143392</v>
      </c>
      <c r="C68" s="508">
        <f>I20</f>
        <v>0</v>
      </c>
      <c r="D68" s="507">
        <f t="shared" si="7"/>
        <v>0</v>
      </c>
      <c r="K68" s="296"/>
      <c r="L68" s="246"/>
      <c r="M68" s="246"/>
      <c r="O68" s="246"/>
    </row>
    <row r="69" spans="1:15" s="245" customFormat="1" x14ac:dyDescent="0.2">
      <c r="A69" s="273" t="s">
        <v>318</v>
      </c>
      <c r="B69" s="509">
        <f>H20</f>
        <v>143392</v>
      </c>
      <c r="C69" s="508" t="e">
        <f>J20</f>
        <v>#DIV/0!</v>
      </c>
      <c r="D69" s="507" t="str">
        <f t="shared" si="7"/>
        <v>-</v>
      </c>
      <c r="K69" s="296"/>
      <c r="L69" s="246"/>
      <c r="M69" s="246"/>
      <c r="O69" s="246"/>
    </row>
    <row r="70" spans="1:15" s="245" customFormat="1" x14ac:dyDescent="0.2">
      <c r="A70" s="273">
        <v>2013</v>
      </c>
      <c r="B70" s="278">
        <f>K20</f>
        <v>40800.523412933908</v>
      </c>
      <c r="C70" s="508" t="s">
        <v>187</v>
      </c>
      <c r="D70" s="507" t="str">
        <f t="shared" si="7"/>
        <v>-</v>
      </c>
      <c r="K70" s="296"/>
      <c r="L70" s="246"/>
      <c r="M70" s="246"/>
      <c r="O70" s="246"/>
    </row>
    <row r="71" spans="1:15" x14ac:dyDescent="0.2">
      <c r="A71" s="273"/>
      <c r="I71" s="245"/>
      <c r="J71" s="245"/>
      <c r="K71" s="296"/>
      <c r="L71" s="246"/>
      <c r="M71" s="246"/>
    </row>
    <row r="72" spans="1:15" x14ac:dyDescent="0.2">
      <c r="A72" s="276" t="s">
        <v>190</v>
      </c>
      <c r="I72" s="245"/>
      <c r="J72" s="245"/>
      <c r="K72" s="296"/>
      <c r="L72" s="246"/>
      <c r="M72" s="246"/>
    </row>
    <row r="73" spans="1:15" x14ac:dyDescent="0.2">
      <c r="A73" s="273" t="s">
        <v>185</v>
      </c>
      <c r="B73" s="250" t="s">
        <v>188</v>
      </c>
      <c r="C73" s="250" t="s">
        <v>186</v>
      </c>
      <c r="D73" s="250" t="s">
        <v>189</v>
      </c>
      <c r="I73" s="245"/>
      <c r="J73" s="245"/>
      <c r="K73" s="296"/>
      <c r="L73" s="181"/>
      <c r="M73" s="181"/>
    </row>
    <row r="74" spans="1:15" x14ac:dyDescent="0.2">
      <c r="A74" s="273">
        <v>2006</v>
      </c>
      <c r="B74" s="246" t="s">
        <v>195</v>
      </c>
      <c r="C74" s="246" t="s">
        <v>195</v>
      </c>
      <c r="D74" s="278" t="str">
        <f t="shared" ref="D74:D82" si="8">IF(ISERROR(C74/B74),"-",(C74/B74))</f>
        <v>-</v>
      </c>
      <c r="I74" s="245"/>
      <c r="J74" s="245"/>
      <c r="K74" s="296"/>
      <c r="L74" s="181"/>
      <c r="M74" s="181"/>
    </row>
    <row r="75" spans="1:15" x14ac:dyDescent="0.2">
      <c r="A75" s="273">
        <v>2007</v>
      </c>
      <c r="B75" s="246" t="s">
        <v>195</v>
      </c>
      <c r="C75" s="246" t="s">
        <v>195</v>
      </c>
      <c r="D75" s="278" t="str">
        <f t="shared" si="8"/>
        <v>-</v>
      </c>
      <c r="I75" s="245"/>
      <c r="J75" s="245"/>
      <c r="K75" s="296"/>
      <c r="L75" s="181"/>
      <c r="M75" s="181"/>
    </row>
    <row r="76" spans="1:15" x14ac:dyDescent="0.2">
      <c r="A76" s="273">
        <v>2008</v>
      </c>
      <c r="B76" s="246" t="s">
        <v>195</v>
      </c>
      <c r="C76" s="246" t="s">
        <v>195</v>
      </c>
      <c r="D76" s="512" t="str">
        <f t="shared" si="8"/>
        <v>-</v>
      </c>
      <c r="I76" s="245"/>
      <c r="J76" s="245"/>
      <c r="K76" s="296"/>
      <c r="L76" s="181"/>
      <c r="M76" s="181"/>
    </row>
    <row r="77" spans="1:15" x14ac:dyDescent="0.2">
      <c r="A77" s="273">
        <v>2009</v>
      </c>
      <c r="B77" s="278">
        <v>232339.0646632782</v>
      </c>
      <c r="C77" s="314">
        <f>E29</f>
        <v>66830</v>
      </c>
      <c r="D77" s="512">
        <f t="shared" si="8"/>
        <v>0.28763996315838941</v>
      </c>
      <c r="I77" s="245"/>
      <c r="J77" s="245"/>
      <c r="K77" s="296"/>
    </row>
    <row r="78" spans="1:15" x14ac:dyDescent="0.2">
      <c r="A78" s="273">
        <v>2010</v>
      </c>
      <c r="B78" s="278">
        <v>179732</v>
      </c>
      <c r="C78" s="314">
        <v>669798</v>
      </c>
      <c r="D78" s="512">
        <f t="shared" si="8"/>
        <v>3.7266485656421784</v>
      </c>
      <c r="I78" s="245"/>
      <c r="J78" s="245"/>
      <c r="K78" s="296"/>
    </row>
    <row r="79" spans="1:15" x14ac:dyDescent="0.2">
      <c r="A79" s="273">
        <v>2011</v>
      </c>
      <c r="B79" s="278">
        <v>653353</v>
      </c>
      <c r="C79" s="508">
        <f>G21</f>
        <v>0</v>
      </c>
      <c r="D79" s="507">
        <f t="shared" si="8"/>
        <v>0</v>
      </c>
      <c r="I79" s="245"/>
      <c r="J79" s="245"/>
      <c r="K79" s="296"/>
    </row>
    <row r="80" spans="1:15" x14ac:dyDescent="0.2">
      <c r="A80" s="273" t="s">
        <v>319</v>
      </c>
      <c r="B80" s="509">
        <f>B81</f>
        <v>1433932</v>
      </c>
      <c r="C80" s="314">
        <f>I21</f>
        <v>0</v>
      </c>
      <c r="D80" s="507">
        <f t="shared" si="8"/>
        <v>0</v>
      </c>
      <c r="I80" s="245"/>
      <c r="J80" s="245"/>
      <c r="K80" s="296"/>
    </row>
    <row r="81" spans="1:11" x14ac:dyDescent="0.2">
      <c r="A81" s="273" t="s">
        <v>318</v>
      </c>
      <c r="B81" s="509">
        <f>H21</f>
        <v>1433932</v>
      </c>
      <c r="C81" s="314" t="e">
        <f>J21</f>
        <v>#DIV/0!</v>
      </c>
      <c r="D81" s="507" t="str">
        <f t="shared" si="8"/>
        <v>-</v>
      </c>
      <c r="I81" s="245"/>
      <c r="J81" s="245"/>
      <c r="K81" s="296"/>
    </row>
    <row r="82" spans="1:11" x14ac:dyDescent="0.2">
      <c r="A82" s="273">
        <v>2013</v>
      </c>
      <c r="B82" s="278">
        <f>K21</f>
        <v>274694.4980919502</v>
      </c>
      <c r="C82" s="246" t="s">
        <v>187</v>
      </c>
      <c r="D82" s="507" t="str">
        <f t="shared" si="8"/>
        <v>-</v>
      </c>
      <c r="I82" s="245"/>
      <c r="J82" s="245"/>
      <c r="K82" s="181"/>
    </row>
    <row r="83" spans="1:11" x14ac:dyDescent="0.2">
      <c r="I83" s="245"/>
      <c r="J83" s="245"/>
    </row>
    <row r="84" spans="1:11" x14ac:dyDescent="0.2">
      <c r="I84" s="245"/>
      <c r="J84" s="245"/>
    </row>
    <row r="85" spans="1:11" x14ac:dyDescent="0.2">
      <c r="I85" s="245"/>
      <c r="J85" s="245"/>
    </row>
    <row r="86" spans="1:11" x14ac:dyDescent="0.2">
      <c r="I86" s="245"/>
      <c r="J86" s="245"/>
    </row>
    <row r="87" spans="1:11" x14ac:dyDescent="0.2">
      <c r="I87" s="245"/>
      <c r="J87" s="245"/>
    </row>
    <row r="88" spans="1:11" x14ac:dyDescent="0.2">
      <c r="I88" s="245"/>
      <c r="J88" s="245"/>
    </row>
    <row r="89" spans="1:11" x14ac:dyDescent="0.2">
      <c r="I89" s="245"/>
      <c r="J89" s="245"/>
    </row>
    <row r="90" spans="1:11" x14ac:dyDescent="0.2">
      <c r="I90" s="245"/>
      <c r="J90" s="245"/>
    </row>
    <row r="91" spans="1:11" x14ac:dyDescent="0.2">
      <c r="I91" s="245"/>
      <c r="J91" s="245"/>
    </row>
    <row r="92" spans="1:11" x14ac:dyDescent="0.2">
      <c r="I92" s="245"/>
      <c r="J92" s="245"/>
    </row>
    <row r="93" spans="1:11" x14ac:dyDescent="0.2">
      <c r="I93" s="245"/>
      <c r="J93" s="245"/>
    </row>
    <row r="94" spans="1:11" x14ac:dyDescent="0.2">
      <c r="I94" s="245"/>
      <c r="J94" s="245"/>
    </row>
    <row r="95" spans="1:11" x14ac:dyDescent="0.2">
      <c r="I95" s="245"/>
      <c r="J95" s="245"/>
    </row>
    <row r="96" spans="1:11" x14ac:dyDescent="0.2">
      <c r="I96" s="245"/>
      <c r="J96" s="245"/>
    </row>
    <row r="97" spans="9:10" x14ac:dyDescent="0.2">
      <c r="I97" s="245"/>
      <c r="J97" s="245"/>
    </row>
    <row r="98" spans="9:10" x14ac:dyDescent="0.2">
      <c r="I98" s="245"/>
      <c r="J98" s="245"/>
    </row>
    <row r="99" spans="9:10" x14ac:dyDescent="0.2">
      <c r="I99" s="245"/>
      <c r="J99" s="245"/>
    </row>
    <row r="100" spans="9:10" x14ac:dyDescent="0.2">
      <c r="I100" s="245"/>
      <c r="J100" s="245"/>
    </row>
    <row r="101" spans="9:10" x14ac:dyDescent="0.2">
      <c r="I101" s="245"/>
      <c r="J101" s="245"/>
    </row>
    <row r="102" spans="9:10" x14ac:dyDescent="0.2">
      <c r="I102" s="245"/>
      <c r="J102" s="245"/>
    </row>
    <row r="103" spans="9:10" x14ac:dyDescent="0.2">
      <c r="I103" s="245"/>
      <c r="J103" s="245"/>
    </row>
    <row r="104" spans="9:10" x14ac:dyDescent="0.2">
      <c r="I104" s="245"/>
      <c r="J104" s="245"/>
    </row>
    <row r="105" spans="9:10" x14ac:dyDescent="0.2">
      <c r="I105" s="245"/>
      <c r="J105" s="245"/>
    </row>
    <row r="106" spans="9:10" x14ac:dyDescent="0.2">
      <c r="I106" s="245"/>
      <c r="J106" s="245"/>
    </row>
    <row r="107" spans="9:10" x14ac:dyDescent="0.2">
      <c r="I107" s="245"/>
      <c r="J107" s="245"/>
    </row>
    <row r="108" spans="9:10" x14ac:dyDescent="0.2">
      <c r="I108" s="245"/>
      <c r="J108" s="245"/>
    </row>
    <row r="109" spans="9:10" x14ac:dyDescent="0.2">
      <c r="I109" s="245"/>
      <c r="J109" s="245"/>
    </row>
    <row r="110" spans="9:10" x14ac:dyDescent="0.2">
      <c r="I110" s="245"/>
      <c r="J110" s="245"/>
    </row>
    <row r="111" spans="9:10" x14ac:dyDescent="0.2">
      <c r="I111" s="245"/>
      <c r="J111" s="245"/>
    </row>
    <row r="112" spans="9:10" x14ac:dyDescent="0.2">
      <c r="I112" s="245"/>
      <c r="J112" s="245"/>
    </row>
    <row r="113" spans="9:10" x14ac:dyDescent="0.2">
      <c r="I113" s="245"/>
      <c r="J113" s="245"/>
    </row>
    <row r="114" spans="9:10" x14ac:dyDescent="0.2">
      <c r="I114" s="245"/>
      <c r="J114" s="245"/>
    </row>
    <row r="115" spans="9:10" x14ac:dyDescent="0.2">
      <c r="I115" s="245"/>
      <c r="J115" s="245"/>
    </row>
    <row r="116" spans="9:10" x14ac:dyDescent="0.2">
      <c r="I116" s="245"/>
      <c r="J116" s="245"/>
    </row>
    <row r="117" spans="9:10" x14ac:dyDescent="0.2">
      <c r="I117" s="245"/>
      <c r="J117" s="245"/>
    </row>
    <row r="118" spans="9:10" x14ac:dyDescent="0.2">
      <c r="I118" s="245"/>
      <c r="J118" s="245"/>
    </row>
    <row r="119" spans="9:10" x14ac:dyDescent="0.2">
      <c r="I119" s="245"/>
      <c r="J119" s="245"/>
    </row>
    <row r="120" spans="9:10" x14ac:dyDescent="0.2">
      <c r="I120" s="245"/>
      <c r="J120" s="245"/>
    </row>
    <row r="121" spans="9:10" ht="11.25" x14ac:dyDescent="0.2">
      <c r="I121" s="168"/>
      <c r="J121" s="168"/>
    </row>
    <row r="122" spans="9:10" ht="11.25" x14ac:dyDescent="0.2">
      <c r="I122" s="168"/>
      <c r="J122" s="168"/>
    </row>
  </sheetData>
  <mergeCells count="1">
    <mergeCell ref="A1:O1"/>
  </mergeCells>
  <phoneticPr fontId="10" type="noConversion"/>
  <pageMargins left="0.98" right="0.75" top="1.1499999999999999" bottom="1" header="0.5" footer="0.5"/>
  <pageSetup scale="53" orientation="portrait" r:id="rId1"/>
  <headerFooter alignWithMargins="0">
    <oddFooter>&amp;C&amp;1#&amp;"Calibri"&amp;12&amp;K008000Internal Use</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4">
    <tabColor indexed="47"/>
    <pageSetUpPr fitToPage="1"/>
  </sheetPr>
  <dimension ref="A1:S114"/>
  <sheetViews>
    <sheetView zoomScaleNormal="100" workbookViewId="0">
      <selection activeCell="W61" sqref="W61"/>
    </sheetView>
  </sheetViews>
  <sheetFormatPr defaultRowHeight="12.75" x14ac:dyDescent="0.2"/>
  <cols>
    <col min="1" max="1" width="39.28515625" style="168" bestFit="1" customWidth="1"/>
    <col min="2" max="7" width="13.28515625" style="168" customWidth="1"/>
    <col min="8" max="8" width="13.28515625" style="3" customWidth="1"/>
    <col min="9" max="9" width="13.28515625" style="168" customWidth="1"/>
    <col min="10" max="12" width="13.28515625" style="245" customWidth="1"/>
    <col min="13" max="13" width="6.85546875" style="168" bestFit="1" customWidth="1"/>
    <col min="14" max="14" width="11.28515625" style="168" bestFit="1" customWidth="1"/>
    <col min="15" max="15" width="6.85546875" style="168" bestFit="1" customWidth="1"/>
    <col min="16" max="16" width="3.7109375" style="168" customWidth="1"/>
    <col min="17" max="17" width="11.42578125" style="168" customWidth="1"/>
    <col min="18" max="18" width="10.7109375" style="168" customWidth="1"/>
    <col min="19" max="19" width="12.28515625" style="168" customWidth="1"/>
    <col min="20" max="16384" width="9.140625" style="168"/>
  </cols>
  <sheetData>
    <row r="1" spans="1:19" ht="15.75" x14ac:dyDescent="0.25">
      <c r="A1" s="3055" t="s">
        <v>76</v>
      </c>
      <c r="B1" s="3055"/>
      <c r="C1" s="3055"/>
      <c r="D1" s="3055"/>
      <c r="E1" s="3055"/>
      <c r="F1" s="3055"/>
      <c r="G1" s="3055"/>
      <c r="H1" s="3055"/>
      <c r="I1" s="3055"/>
      <c r="J1" s="3055"/>
      <c r="K1" s="3055"/>
      <c r="L1" s="3055"/>
      <c r="M1" s="3055"/>
      <c r="N1" s="1914"/>
      <c r="O1" s="1914"/>
      <c r="P1" s="170"/>
      <c r="Q1" s="170"/>
      <c r="R1" s="170"/>
      <c r="S1" s="170"/>
    </row>
    <row r="2" spans="1:19" x14ac:dyDescent="0.2">
      <c r="A2" s="169"/>
      <c r="P2" s="170"/>
      <c r="Q2" s="170"/>
      <c r="R2" s="170"/>
      <c r="S2" s="170"/>
    </row>
    <row r="3" spans="1:19" ht="15.75" x14ac:dyDescent="0.25">
      <c r="A3" s="172" t="s">
        <v>581</v>
      </c>
    </row>
    <row r="4" spans="1:19" x14ac:dyDescent="0.2">
      <c r="A4" s="169"/>
    </row>
    <row r="5" spans="1:19" ht="11.25" x14ac:dyDescent="0.2">
      <c r="A5" s="173"/>
      <c r="H5" s="171"/>
      <c r="J5" s="794"/>
      <c r="K5" s="794"/>
      <c r="L5" s="794"/>
    </row>
    <row r="6" spans="1:19" s="245" customFormat="1" x14ac:dyDescent="0.2">
      <c r="A6" s="242"/>
      <c r="B6" s="243">
        <v>2008</v>
      </c>
      <c r="C6" s="243">
        <v>2009</v>
      </c>
      <c r="D6" s="243">
        <v>2010</v>
      </c>
      <c r="E6" s="243">
        <v>2011</v>
      </c>
      <c r="F6" s="243">
        <v>2012</v>
      </c>
      <c r="G6" s="243">
        <v>2013</v>
      </c>
      <c r="H6" s="243">
        <v>2014</v>
      </c>
      <c r="I6" s="243">
        <v>2015</v>
      </c>
      <c r="J6" s="243">
        <v>2016</v>
      </c>
      <c r="K6" s="243">
        <v>2017</v>
      </c>
      <c r="L6" s="243">
        <v>2018</v>
      </c>
      <c r="M6" s="243"/>
    </row>
    <row r="7" spans="1:19" s="245"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c r="M7" s="248"/>
    </row>
    <row r="8" spans="1:19" s="245" customFormat="1" x14ac:dyDescent="0.2">
      <c r="A8" s="244"/>
      <c r="F8" s="251"/>
      <c r="I8" s="575"/>
      <c r="J8" s="575"/>
      <c r="K8" s="575"/>
      <c r="L8" s="575"/>
    </row>
    <row r="9" spans="1:19" s="245" customFormat="1" x14ac:dyDescent="0.2">
      <c r="A9" s="244" t="s">
        <v>53</v>
      </c>
      <c r="B9" s="252">
        <v>2643</v>
      </c>
      <c r="C9" s="252">
        <v>7820.83</v>
      </c>
      <c r="D9" s="252">
        <v>5784.64</v>
      </c>
      <c r="E9" s="252">
        <v>4656.04</v>
      </c>
      <c r="F9" s="537">
        <v>10244</v>
      </c>
      <c r="G9" s="252">
        <v>9876.18</v>
      </c>
      <c r="H9" s="252">
        <v>23089.02</v>
      </c>
      <c r="I9" s="252">
        <v>65000</v>
      </c>
      <c r="J9" s="252">
        <f>'CNG Table C 2016'!$C$26</f>
        <v>65000</v>
      </c>
      <c r="K9" s="252">
        <f>'CNG Table C 2017'!$C$26</f>
        <v>24097</v>
      </c>
      <c r="L9" s="252">
        <f>'CNG Table C 2019'!$C$25</f>
        <v>96377</v>
      </c>
    </row>
    <row r="10" spans="1:19" s="245" customFormat="1" x14ac:dyDescent="0.2">
      <c r="A10" s="244" t="s">
        <v>45</v>
      </c>
      <c r="B10" s="252">
        <v>0</v>
      </c>
      <c r="C10" s="252">
        <v>20.6</v>
      </c>
      <c r="D10" s="252">
        <v>1388.33</v>
      </c>
      <c r="E10" s="252">
        <v>829.75</v>
      </c>
      <c r="F10" s="537">
        <v>44431</v>
      </c>
      <c r="G10" s="252">
        <v>1148.81</v>
      </c>
      <c r="H10" s="252">
        <v>178.15999999999894</v>
      </c>
      <c r="I10" s="252">
        <v>45000</v>
      </c>
      <c r="J10" s="252">
        <f>'CNG Table C 2016'!$E$26</f>
        <v>34385</v>
      </c>
      <c r="K10" s="252">
        <f>'CNG Table C 2017'!$E$26</f>
        <v>45000</v>
      </c>
      <c r="L10" s="252">
        <f>'CNG Table C 2019'!$E$25</f>
        <v>45612.45</v>
      </c>
    </row>
    <row r="11" spans="1:19" s="245" customFormat="1" x14ac:dyDescent="0.2">
      <c r="A11" s="244" t="s">
        <v>202</v>
      </c>
      <c r="B11" s="252">
        <v>0</v>
      </c>
      <c r="C11" s="252">
        <v>0</v>
      </c>
      <c r="D11" s="252">
        <v>501.6</v>
      </c>
      <c r="E11" s="252">
        <v>0</v>
      </c>
      <c r="F11" s="537">
        <v>0</v>
      </c>
      <c r="G11" s="252">
        <v>0</v>
      </c>
      <c r="H11" s="252">
        <v>0</v>
      </c>
      <c r="I11" s="252">
        <v>5000</v>
      </c>
      <c r="J11" s="252">
        <f>'CNG Table C 2016'!$D$26</f>
        <v>2128</v>
      </c>
      <c r="K11" s="252">
        <f>'CNG Table C 2017'!$D$26</f>
        <v>5000</v>
      </c>
      <c r="L11" s="252">
        <f>'CNG Table C 2019'!$D$25</f>
        <v>5000</v>
      </c>
    </row>
    <row r="12" spans="1:19" s="245" customFormat="1" ht="14.25" x14ac:dyDescent="0.2">
      <c r="A12" s="244" t="s">
        <v>2</v>
      </c>
      <c r="B12" s="252">
        <v>0</v>
      </c>
      <c r="C12" s="252">
        <v>0</v>
      </c>
      <c r="D12" s="252">
        <v>5927.2</v>
      </c>
      <c r="E12" s="252">
        <v>23505.23</v>
      </c>
      <c r="F12" s="537">
        <v>104580</v>
      </c>
      <c r="G12" s="252">
        <v>77029.100000000006</v>
      </c>
      <c r="H12" s="252">
        <v>353920.67999999993</v>
      </c>
      <c r="I12" s="257">
        <v>551854</v>
      </c>
      <c r="J12" s="257">
        <f>'CNG Table C 2016'!$F$26</f>
        <v>696486</v>
      </c>
      <c r="K12" s="257">
        <f>'CNG Table C 2017'!$F$26</f>
        <v>597532.52400363854</v>
      </c>
      <c r="L12" s="257">
        <f>'CNG Table C 2019'!$F$25</f>
        <v>530039.14770263107</v>
      </c>
      <c r="M12" s="947" t="s">
        <v>326</v>
      </c>
    </row>
    <row r="13" spans="1:19" s="245" customFormat="1" ht="14.25" x14ac:dyDescent="0.2">
      <c r="A13" s="244" t="s">
        <v>14</v>
      </c>
      <c r="B13" s="252">
        <v>570</v>
      </c>
      <c r="C13" s="252">
        <v>166.68</v>
      </c>
      <c r="D13" s="252">
        <v>640.54999999999995</v>
      </c>
      <c r="E13" s="252">
        <v>386.67000000000013</v>
      </c>
      <c r="F13" s="537">
        <v>342</v>
      </c>
      <c r="G13" s="252">
        <v>837</v>
      </c>
      <c r="H13" s="252">
        <v>7780</v>
      </c>
      <c r="I13" s="252">
        <v>10000</v>
      </c>
      <c r="J13" s="252">
        <f>'CNG Table C 2016'!$G$26</f>
        <v>6383</v>
      </c>
      <c r="K13" s="252">
        <f>'CNG Table C 2017'!$G$26</f>
        <v>49292</v>
      </c>
      <c r="L13" s="252">
        <f>'CNG Table C 2019'!$G$25</f>
        <v>49292</v>
      </c>
      <c r="M13" s="947" t="s">
        <v>327</v>
      </c>
    </row>
    <row r="14" spans="1:19" s="245" customFormat="1" ht="15" x14ac:dyDescent="0.35">
      <c r="A14" s="244" t="s">
        <v>46</v>
      </c>
      <c r="B14" s="256">
        <v>7</v>
      </c>
      <c r="C14" s="263">
        <v>0</v>
      </c>
      <c r="D14" s="263">
        <v>0</v>
      </c>
      <c r="E14" s="263">
        <v>6.78</v>
      </c>
      <c r="F14" s="263">
        <v>0</v>
      </c>
      <c r="G14" s="256">
        <v>782</v>
      </c>
      <c r="H14" s="256">
        <v>0</v>
      </c>
      <c r="I14" s="256">
        <v>7500</v>
      </c>
      <c r="J14" s="256">
        <f>'CNG Table C 2016'!$H$26</f>
        <v>4255</v>
      </c>
      <c r="K14" s="256">
        <f>'CNG Table C 2017'!$H$26</f>
        <v>7500</v>
      </c>
      <c r="L14" s="256">
        <f>'CNG Table C 2019'!$H$25</f>
        <v>7500</v>
      </c>
    </row>
    <row r="15" spans="1:19" s="245" customFormat="1" x14ac:dyDescent="0.2">
      <c r="A15" s="244" t="s">
        <v>86</v>
      </c>
      <c r="B15" s="252">
        <f t="shared" ref="B15:J15" si="0">SUM(B9:B14)</f>
        <v>3220</v>
      </c>
      <c r="C15" s="252">
        <f t="shared" si="0"/>
        <v>8008.1100000000006</v>
      </c>
      <c r="D15" s="252">
        <f t="shared" si="0"/>
        <v>14242.32</v>
      </c>
      <c r="E15" s="252">
        <f t="shared" si="0"/>
        <v>29384.47</v>
      </c>
      <c r="F15" s="546">
        <f t="shared" si="0"/>
        <v>159597</v>
      </c>
      <c r="G15" s="309">
        <f t="shared" si="0"/>
        <v>89673.090000000011</v>
      </c>
      <c r="H15" s="252">
        <f>SUM(H9:H14)</f>
        <v>384967.85999999993</v>
      </c>
      <c r="I15" s="504">
        <f t="shared" si="0"/>
        <v>684354</v>
      </c>
      <c r="J15" s="504">
        <f t="shared" si="0"/>
        <v>808637</v>
      </c>
      <c r="K15" s="504">
        <f>SUM(K9:K14)</f>
        <v>728421.52400363854</v>
      </c>
      <c r="L15" s="504">
        <f>SUM(L9:L14)</f>
        <v>733820.59770263103</v>
      </c>
      <c r="M15" s="246" t="s">
        <v>201</v>
      </c>
    </row>
    <row r="16" spans="1:19" s="245" customFormat="1" x14ac:dyDescent="0.2">
      <c r="A16" s="244"/>
      <c r="B16" s="260"/>
      <c r="F16" s="255"/>
      <c r="H16" s="255"/>
      <c r="I16" s="284"/>
      <c r="J16" s="284"/>
      <c r="K16" s="284"/>
      <c r="L16" s="284"/>
    </row>
    <row r="17" spans="1:19" s="245" customFormat="1" ht="15" x14ac:dyDescent="0.35">
      <c r="A17" s="262"/>
      <c r="B17" s="258"/>
      <c r="I17" s="294"/>
      <c r="J17" s="294"/>
      <c r="K17" s="294"/>
      <c r="L17" s="294"/>
      <c r="M17" s="263"/>
    </row>
    <row r="18" spans="1:19" s="245" customFormat="1" x14ac:dyDescent="0.2">
      <c r="A18" s="247" t="s">
        <v>83</v>
      </c>
      <c r="B18" s="264" t="s">
        <v>210</v>
      </c>
      <c r="C18" s="264" t="s">
        <v>219</v>
      </c>
      <c r="D18" s="264" t="s">
        <v>259</v>
      </c>
      <c r="E18" s="264" t="s">
        <v>322</v>
      </c>
      <c r="F18" s="264" t="s">
        <v>480</v>
      </c>
      <c r="G18" s="264" t="s">
        <v>569</v>
      </c>
      <c r="H18" s="264" t="s">
        <v>570</v>
      </c>
      <c r="I18" s="264" t="s">
        <v>334</v>
      </c>
      <c r="J18" s="264" t="s">
        <v>564</v>
      </c>
      <c r="K18" s="264" t="s">
        <v>565</v>
      </c>
      <c r="L18" s="264" t="s">
        <v>566</v>
      </c>
      <c r="M18" s="246"/>
      <c r="N18" s="244"/>
      <c r="O18" s="244"/>
      <c r="P18" s="244"/>
      <c r="Q18" s="244"/>
      <c r="R18" s="244"/>
      <c r="S18" s="244"/>
    </row>
    <row r="19" spans="1:19" s="245" customFormat="1" x14ac:dyDescent="0.2">
      <c r="I19" s="180"/>
      <c r="J19" s="180"/>
      <c r="K19" s="180"/>
      <c r="L19" s="180"/>
      <c r="M19" s="246"/>
      <c r="N19" s="186"/>
      <c r="O19" s="180"/>
      <c r="P19" s="180"/>
      <c r="Q19" s="180"/>
      <c r="R19" s="244"/>
      <c r="S19" s="244"/>
    </row>
    <row r="20" spans="1:19" s="245" customFormat="1" x14ac:dyDescent="0.2">
      <c r="A20" s="245" t="s">
        <v>49</v>
      </c>
      <c r="B20" s="246" t="s">
        <v>195</v>
      </c>
      <c r="C20" s="246" t="s">
        <v>195</v>
      </c>
      <c r="D20" s="267">
        <v>8350</v>
      </c>
      <c r="E20" s="267">
        <v>33539</v>
      </c>
      <c r="F20" s="267">
        <v>199778</v>
      </c>
      <c r="G20" s="266">
        <v>90813</v>
      </c>
      <c r="H20" s="531">
        <v>245375</v>
      </c>
      <c r="I20" s="506">
        <v>281527</v>
      </c>
      <c r="J20" s="506">
        <f>'2016 Summary Table B'!$M$41</f>
        <v>529325.86992298567</v>
      </c>
      <c r="K20" s="506">
        <f>'2017 Summary Table B'!$M$41</f>
        <v>478022.86738903483</v>
      </c>
      <c r="L20" s="506" t="e">
        <f>'2019 Summary Table B'!$M$41</f>
        <v>#REF!</v>
      </c>
      <c r="M20" s="246" t="s">
        <v>64</v>
      </c>
      <c r="N20" s="186"/>
      <c r="O20" s="187"/>
      <c r="P20" s="187"/>
      <c r="Q20" s="187"/>
      <c r="R20" s="244"/>
      <c r="S20" s="244"/>
    </row>
    <row r="21" spans="1:19" s="245" customFormat="1" x14ac:dyDescent="0.2">
      <c r="A21" s="245" t="s">
        <v>50</v>
      </c>
      <c r="B21" s="246" t="s">
        <v>195</v>
      </c>
      <c r="C21" s="246" t="s">
        <v>195</v>
      </c>
      <c r="D21" s="267">
        <v>83500</v>
      </c>
      <c r="E21" s="267">
        <v>326510</v>
      </c>
      <c r="F21" s="267">
        <v>1172266</v>
      </c>
      <c r="G21" s="266">
        <v>466355</v>
      </c>
      <c r="H21" s="531">
        <v>1699879</v>
      </c>
      <c r="I21" s="506">
        <v>1689160</v>
      </c>
      <c r="J21" s="506">
        <f>'2016 Summary Table B'!$N$41</f>
        <v>2708622.0963730463</v>
      </c>
      <c r="K21" s="506">
        <f>'2017 Summary Table B'!$N$41</f>
        <v>2446098.6601125817</v>
      </c>
      <c r="L21" s="506" t="e">
        <f>'2019 Summary Table B'!$N$41</f>
        <v>#REF!</v>
      </c>
      <c r="M21" s="246" t="s">
        <v>10</v>
      </c>
      <c r="N21" s="185"/>
      <c r="O21" s="182"/>
      <c r="P21" s="182"/>
      <c r="Q21" s="182"/>
      <c r="R21" s="244"/>
      <c r="S21" s="244"/>
    </row>
    <row r="22" spans="1:19" s="245" customFormat="1" x14ac:dyDescent="0.2">
      <c r="G22" s="535"/>
      <c r="H22" s="527"/>
      <c r="I22" s="180"/>
      <c r="J22" s="180"/>
      <c r="K22" s="180"/>
      <c r="L22" s="180"/>
      <c r="M22" s="246"/>
      <c r="N22" s="185"/>
      <c r="O22" s="183"/>
      <c r="P22" s="183"/>
      <c r="Q22" s="183"/>
      <c r="R22" s="244"/>
      <c r="S22" s="244"/>
    </row>
    <row r="23" spans="1:19" s="245" customFormat="1" x14ac:dyDescent="0.2">
      <c r="A23" s="245" t="s">
        <v>51</v>
      </c>
      <c r="B23" s="246" t="s">
        <v>195</v>
      </c>
      <c r="C23" s="246" t="s">
        <v>195</v>
      </c>
      <c r="D23" s="269">
        <f t="shared" ref="D23:J23" si="1">SUM(D15/D20)</f>
        <v>1.7056670658682633</v>
      </c>
      <c r="E23" s="269">
        <f t="shared" si="1"/>
        <v>0.8761283878469841</v>
      </c>
      <c r="F23" s="269">
        <f t="shared" si="1"/>
        <v>0.79887174763988023</v>
      </c>
      <c r="G23" s="535">
        <f t="shared" si="1"/>
        <v>0.9874477222424104</v>
      </c>
      <c r="H23" s="528">
        <f t="shared" si="1"/>
        <v>1.5688960163015788</v>
      </c>
      <c r="I23" s="269">
        <f t="shared" si="1"/>
        <v>2.4308645351955587</v>
      </c>
      <c r="J23" s="269">
        <f t="shared" si="1"/>
        <v>1.527673302870409</v>
      </c>
      <c r="K23" s="269">
        <f>SUM(K15/K20)</f>
        <v>1.523821502478079</v>
      </c>
      <c r="L23" s="269" t="e">
        <f>SUM(L15/L20)</f>
        <v>#REF!</v>
      </c>
      <c r="M23" s="246" t="s">
        <v>65</v>
      </c>
      <c r="N23" s="185"/>
      <c r="O23" s="183"/>
      <c r="P23" s="183"/>
      <c r="Q23" s="183"/>
      <c r="R23" s="244"/>
      <c r="S23" s="244"/>
    </row>
    <row r="24" spans="1:19" s="245" customFormat="1" x14ac:dyDescent="0.2">
      <c r="A24" s="245" t="s">
        <v>52</v>
      </c>
      <c r="B24" s="246" t="s">
        <v>195</v>
      </c>
      <c r="C24" s="246" t="s">
        <v>195</v>
      </c>
      <c r="D24" s="269">
        <f t="shared" ref="D24:J24" si="2">SUM(D15/D21)</f>
        <v>0.17056670658682635</v>
      </c>
      <c r="E24" s="269">
        <f t="shared" si="2"/>
        <v>8.9995620348534505E-2</v>
      </c>
      <c r="F24" s="269">
        <f t="shared" si="2"/>
        <v>0.13614401509554999</v>
      </c>
      <c r="G24" s="535">
        <f t="shared" si="2"/>
        <v>0.19228504036624464</v>
      </c>
      <c r="H24" s="528">
        <f t="shared" si="2"/>
        <v>0.22646780153175605</v>
      </c>
      <c r="I24" s="269">
        <f t="shared" si="2"/>
        <v>0.40514456889815054</v>
      </c>
      <c r="J24" s="269">
        <f t="shared" si="2"/>
        <v>0.29854183094895276</v>
      </c>
      <c r="K24" s="269">
        <f>SUM(K15/K21)</f>
        <v>0.29778910224745919</v>
      </c>
      <c r="L24" s="269" t="e">
        <f>SUM(L15/L21)</f>
        <v>#REF!</v>
      </c>
      <c r="M24" s="246" t="s">
        <v>66</v>
      </c>
      <c r="N24" s="185"/>
      <c r="O24" s="184"/>
      <c r="P24" s="184"/>
      <c r="Q24" s="184"/>
      <c r="R24" s="244"/>
      <c r="S24" s="244"/>
    </row>
    <row r="25" spans="1:19" s="245" customFormat="1" x14ac:dyDescent="0.2">
      <c r="D25" s="261"/>
      <c r="E25" s="261"/>
      <c r="G25" s="266"/>
      <c r="H25" s="249"/>
      <c r="M25" s="246"/>
      <c r="N25" s="185"/>
      <c r="O25" s="182"/>
      <c r="P25" s="182"/>
      <c r="Q25" s="182"/>
      <c r="R25" s="244"/>
      <c r="S25" s="244"/>
    </row>
    <row r="26" spans="1:19" s="245" customFormat="1" x14ac:dyDescent="0.2">
      <c r="A26" s="245" t="s">
        <v>84</v>
      </c>
      <c r="B26" s="246" t="s">
        <v>195</v>
      </c>
      <c r="C26" s="246" t="s">
        <v>195</v>
      </c>
      <c r="D26" s="252">
        <f>100317/96912*D21</f>
        <v>86433.769811788021</v>
      </c>
      <c r="E26" s="252">
        <v>300313.68928098574</v>
      </c>
      <c r="F26" s="309">
        <f>+F21/396714*237400</f>
        <v>701502.71581038239</v>
      </c>
      <c r="G26" s="252">
        <v>254789</v>
      </c>
      <c r="H26" s="257">
        <v>1384579</v>
      </c>
      <c r="I26" s="747">
        <v>2593340</v>
      </c>
      <c r="J26" s="747">
        <f>'2016 Summary Table B'!$F$41</f>
        <v>2661794.5373020591</v>
      </c>
      <c r="K26" s="747">
        <f>'2017 Summary Table B'!$F$41</f>
        <v>2079095.466743279</v>
      </c>
      <c r="L26" s="747" t="e">
        <f>'2019 Summary Table B'!$F$41</f>
        <v>#REF!</v>
      </c>
      <c r="M26" s="246" t="s">
        <v>67</v>
      </c>
      <c r="N26" s="185"/>
      <c r="O26" s="185"/>
      <c r="P26" s="185"/>
      <c r="Q26" s="185"/>
      <c r="R26" s="244"/>
      <c r="S26" s="244"/>
    </row>
    <row r="27" spans="1:19" s="245" customFormat="1" x14ac:dyDescent="0.2">
      <c r="A27" s="245" t="s">
        <v>85</v>
      </c>
      <c r="B27" s="246" t="s">
        <v>195</v>
      </c>
      <c r="C27" s="246" t="s">
        <v>195</v>
      </c>
      <c r="D27" s="271">
        <f t="shared" ref="D27:J27" si="3">SUM(D26/D15)</f>
        <v>6.0687984690547623</v>
      </c>
      <c r="E27" s="271">
        <f t="shared" si="3"/>
        <v>10.220149939099999</v>
      </c>
      <c r="F27" s="271">
        <f t="shared" si="3"/>
        <v>4.3954630463629165</v>
      </c>
      <c r="G27" s="578">
        <f t="shared" si="3"/>
        <v>2.8413094719943293</v>
      </c>
      <c r="H27" s="529">
        <f>SUM(H26/H15)</f>
        <v>3.5966093377249733</v>
      </c>
      <c r="I27" s="271">
        <f t="shared" si="3"/>
        <v>3.7894715308159226</v>
      </c>
      <c r="J27" s="271">
        <f t="shared" si="3"/>
        <v>3.2917051004369813</v>
      </c>
      <c r="K27" s="271">
        <f>SUM(K26/K15)</f>
        <v>2.8542477099192549</v>
      </c>
      <c r="L27" s="271" t="e">
        <f>SUM(L26/L15)</f>
        <v>#REF!</v>
      </c>
      <c r="M27" s="246" t="s">
        <v>68</v>
      </c>
      <c r="N27" s="185"/>
      <c r="O27" s="183"/>
      <c r="P27" s="185"/>
      <c r="Q27" s="183"/>
      <c r="R27" s="244"/>
      <c r="S27" s="244"/>
    </row>
    <row r="28" spans="1:19" s="245" customFormat="1" x14ac:dyDescent="0.2">
      <c r="A28" s="245" t="s">
        <v>214</v>
      </c>
      <c r="B28" s="246" t="s">
        <v>195</v>
      </c>
      <c r="C28" s="246" t="s">
        <v>195</v>
      </c>
      <c r="D28" s="266">
        <v>1</v>
      </c>
      <c r="E28" s="266">
        <v>3</v>
      </c>
      <c r="F28" s="266">
        <v>9</v>
      </c>
      <c r="G28" s="266">
        <v>8</v>
      </c>
      <c r="H28" s="534">
        <v>19</v>
      </c>
      <c r="I28" s="506">
        <v>12</v>
      </c>
      <c r="J28" s="506">
        <f>'2016 Summary Table B'!$K$41</f>
        <v>105.01736251596401</v>
      </c>
      <c r="K28" s="506">
        <f>'2017 Summary Table B'!$K$41</f>
        <v>90.096986426674874</v>
      </c>
      <c r="L28" s="506" t="e">
        <f>'2019 Summary Table B'!$K$41</f>
        <v>#REF!</v>
      </c>
      <c r="M28" s="246" t="s">
        <v>69</v>
      </c>
      <c r="N28" s="185"/>
      <c r="O28" s="183"/>
      <c r="P28" s="183"/>
      <c r="Q28" s="183"/>
      <c r="R28" s="244"/>
      <c r="S28" s="244"/>
    </row>
    <row r="29" spans="1:19" s="245" customFormat="1" x14ac:dyDescent="0.2">
      <c r="A29" s="245" t="s">
        <v>215</v>
      </c>
      <c r="B29" s="246" t="s">
        <v>195</v>
      </c>
      <c r="C29" s="246" t="s">
        <v>195</v>
      </c>
      <c r="D29" s="282">
        <f>SUM(D21/D28)</f>
        <v>83500</v>
      </c>
      <c r="E29" s="282">
        <f>SUM(E21/E28)</f>
        <v>108836.66666666667</v>
      </c>
      <c r="F29" s="282">
        <f>SUM(F21/F28)</f>
        <v>130251.77777777778</v>
      </c>
      <c r="G29" s="266">
        <f>G21/G28</f>
        <v>58294.375</v>
      </c>
      <c r="H29" s="282">
        <f>SUM(H21/H28)</f>
        <v>89467.31578947368</v>
      </c>
      <c r="I29" s="266">
        <f>SUM(I21/I28)</f>
        <v>140763.33333333334</v>
      </c>
      <c r="J29" s="266">
        <f>SUM(J21/J28)</f>
        <v>25792.136000000002</v>
      </c>
      <c r="K29" s="266">
        <f>SUM(K21/K28)</f>
        <v>27149.616842105264</v>
      </c>
      <c r="L29" s="266" t="e">
        <f>SUM(L21/L28)</f>
        <v>#REF!</v>
      </c>
      <c r="M29" s="246" t="s">
        <v>70</v>
      </c>
      <c r="N29" s="185"/>
      <c r="O29" s="182"/>
      <c r="P29" s="182"/>
      <c r="Q29" s="182"/>
      <c r="R29" s="244"/>
      <c r="S29" s="244"/>
    </row>
    <row r="30" spans="1:19" s="245" customFormat="1" x14ac:dyDescent="0.2">
      <c r="A30" s="245" t="s">
        <v>216</v>
      </c>
      <c r="B30" s="246" t="s">
        <v>195</v>
      </c>
      <c r="C30" s="246" t="s">
        <v>195</v>
      </c>
      <c r="D30" s="257">
        <f>SUM(D15/D28)</f>
        <v>14242.32</v>
      </c>
      <c r="E30" s="257">
        <f>SUM(E15/E28)</f>
        <v>9794.8233333333337</v>
      </c>
      <c r="F30" s="257">
        <f>SUM(F15/F28)</f>
        <v>17733</v>
      </c>
      <c r="G30" s="252">
        <f>G15/G28</f>
        <v>11209.136250000001</v>
      </c>
      <c r="H30" s="530">
        <f>SUM(H15/H28)</f>
        <v>20261.466315789468</v>
      </c>
      <c r="I30" s="257">
        <f>SUM(I15/I28)</f>
        <v>57029.5</v>
      </c>
      <c r="J30" s="257">
        <f>SUM(J15/J28)</f>
        <v>7700.0315055244</v>
      </c>
      <c r="K30" s="257">
        <f>SUM(K15/K28)</f>
        <v>8084.860025773025</v>
      </c>
      <c r="L30" s="257" t="e">
        <f>SUM(L15/L28)</f>
        <v>#REF!</v>
      </c>
      <c r="M30" s="246" t="s">
        <v>72</v>
      </c>
      <c r="N30" s="185"/>
      <c r="O30" s="182"/>
      <c r="P30" s="182"/>
      <c r="Q30" s="182"/>
      <c r="R30" s="244"/>
      <c r="S30" s="244"/>
    </row>
    <row r="31" spans="1:19" s="245" customFormat="1" x14ac:dyDescent="0.2">
      <c r="A31" s="245" t="s">
        <v>217</v>
      </c>
      <c r="B31" s="246" t="s">
        <v>195</v>
      </c>
      <c r="C31" s="246" t="s">
        <v>195</v>
      </c>
      <c r="D31" s="257">
        <f>SUM(D26/D28)</f>
        <v>86433.769811788021</v>
      </c>
      <c r="E31" s="257">
        <f>SUM(E26/E28)</f>
        <v>100104.56309366191</v>
      </c>
      <c r="F31" s="257">
        <f>SUM(F26/F28)</f>
        <v>77944.746201153597</v>
      </c>
      <c r="G31" s="252">
        <f>G26/G28</f>
        <v>31848.625</v>
      </c>
      <c r="H31" s="530">
        <f>SUM(H26/H28)</f>
        <v>72872.578947368427</v>
      </c>
      <c r="I31" s="257">
        <f>SUM(I26/I28)</f>
        <v>216111.66666666666</v>
      </c>
      <c r="J31" s="257">
        <f>SUM(J26/J28)</f>
        <v>25346.232980260113</v>
      </c>
      <c r="K31" s="257">
        <f>SUM(K26/K28)</f>
        <v>23076.193213580387</v>
      </c>
      <c r="L31" s="257" t="e">
        <f>SUM(L26/L28)</f>
        <v>#REF!</v>
      </c>
      <c r="M31" s="246" t="s">
        <v>73</v>
      </c>
      <c r="N31" s="244"/>
      <c r="O31" s="244"/>
      <c r="P31" s="244"/>
      <c r="Q31" s="244"/>
      <c r="R31" s="244"/>
      <c r="S31" s="244"/>
    </row>
    <row r="32" spans="1:19" s="245" customFormat="1" ht="14.25" x14ac:dyDescent="0.2">
      <c r="A32" s="704" t="s">
        <v>324</v>
      </c>
      <c r="B32" s="246" t="s">
        <v>187</v>
      </c>
      <c r="C32" s="246" t="s">
        <v>195</v>
      </c>
      <c r="D32" s="945">
        <f t="shared" ref="D32:J32" si="4">D12/D21</f>
        <v>7.0984431137724555E-2</v>
      </c>
      <c r="E32" s="945">
        <f t="shared" si="4"/>
        <v>7.198931120026951E-2</v>
      </c>
      <c r="F32" s="945">
        <f t="shared" si="4"/>
        <v>8.9211834174155014E-2</v>
      </c>
      <c r="G32" s="945">
        <f t="shared" si="4"/>
        <v>0.16517266888957985</v>
      </c>
      <c r="H32" s="945">
        <f t="shared" si="4"/>
        <v>0.20820345448117186</v>
      </c>
      <c r="I32" s="945">
        <f t="shared" si="4"/>
        <v>0.32670321343152808</v>
      </c>
      <c r="J32" s="945">
        <f t="shared" si="4"/>
        <v>0.25713664557806815</v>
      </c>
      <c r="K32" s="945">
        <f>K12/K21</f>
        <v>0.24427981329916476</v>
      </c>
      <c r="L32" s="945" t="e">
        <f>L12/L21</f>
        <v>#REF!</v>
      </c>
      <c r="M32" s="557" t="s">
        <v>328</v>
      </c>
      <c r="N32" s="244"/>
      <c r="O32" s="244"/>
      <c r="P32" s="244"/>
      <c r="Q32" s="244"/>
      <c r="R32" s="244"/>
      <c r="S32" s="244"/>
    </row>
    <row r="33" spans="1:19" s="245" customFormat="1" ht="14.25" x14ac:dyDescent="0.2">
      <c r="A33" s="704" t="s">
        <v>325</v>
      </c>
      <c r="B33" s="246" t="s">
        <v>187</v>
      </c>
      <c r="C33" s="246" t="s">
        <v>195</v>
      </c>
      <c r="D33" s="946">
        <f t="shared" ref="D33:J33" si="5">D13/D21</f>
        <v>7.6712574850299397E-3</v>
      </c>
      <c r="E33" s="946">
        <f t="shared" si="5"/>
        <v>1.1842516308842E-3</v>
      </c>
      <c r="F33" s="946">
        <f t="shared" si="5"/>
        <v>2.9174265908931931E-4</v>
      </c>
      <c r="G33" s="946">
        <f t="shared" si="5"/>
        <v>1.7947700785882E-3</v>
      </c>
      <c r="H33" s="946">
        <f t="shared" si="5"/>
        <v>4.576796348445978E-3</v>
      </c>
      <c r="I33" s="946">
        <f t="shared" si="5"/>
        <v>5.9201022993677329E-3</v>
      </c>
      <c r="J33" s="946">
        <f t="shared" si="5"/>
        <v>2.3565487443032726E-3</v>
      </c>
      <c r="K33" s="946">
        <f>K13/K21</f>
        <v>2.01512722294412E-2</v>
      </c>
      <c r="L33" s="946" t="e">
        <f>L13/L21</f>
        <v>#REF!</v>
      </c>
      <c r="M33" s="557" t="s">
        <v>329</v>
      </c>
      <c r="N33" s="244"/>
      <c r="O33" s="244"/>
      <c r="P33" s="244"/>
      <c r="Q33" s="244"/>
      <c r="R33" s="244"/>
      <c r="S33" s="244"/>
    </row>
    <row r="34" spans="1:19" s="245" customFormat="1" x14ac:dyDescent="0.2">
      <c r="A34" s="247"/>
      <c r="B34" s="265"/>
      <c r="C34" s="250"/>
      <c r="D34" s="250"/>
      <c r="H34" s="267"/>
      <c r="I34" s="246"/>
      <c r="M34" s="246"/>
      <c r="N34" s="246"/>
      <c r="P34" s="182"/>
      <c r="Q34" s="182"/>
      <c r="R34" s="182"/>
      <c r="S34" s="244"/>
    </row>
    <row r="35" spans="1:19" s="245" customFormat="1" x14ac:dyDescent="0.2">
      <c r="A35" s="248" t="s">
        <v>194</v>
      </c>
      <c r="B35" s="270"/>
      <c r="C35" s="244"/>
      <c r="G35" s="276" t="s">
        <v>191</v>
      </c>
      <c r="M35" s="246"/>
      <c r="N35" s="246"/>
      <c r="P35" s="182"/>
      <c r="Q35" s="182"/>
      <c r="R35" s="182"/>
      <c r="S35" s="244"/>
    </row>
    <row r="36" spans="1:19" s="245" customFormat="1" x14ac:dyDescent="0.2">
      <c r="A36" s="273" t="s">
        <v>185</v>
      </c>
      <c r="B36" s="250" t="s">
        <v>1</v>
      </c>
      <c r="C36" s="250" t="s">
        <v>186</v>
      </c>
      <c r="D36" s="250" t="s">
        <v>18</v>
      </c>
      <c r="G36" s="273" t="s">
        <v>185</v>
      </c>
      <c r="H36" s="250" t="s">
        <v>188</v>
      </c>
      <c r="I36" s="250" t="s">
        <v>186</v>
      </c>
      <c r="J36" s="250" t="s">
        <v>189</v>
      </c>
      <c r="M36" s="246"/>
      <c r="N36" s="246"/>
    </row>
    <row r="37" spans="1:19" s="245" customFormat="1" x14ac:dyDescent="0.2">
      <c r="A37" s="273">
        <v>2009</v>
      </c>
      <c r="B37" s="274">
        <f>C15</f>
        <v>8008.1100000000006</v>
      </c>
      <c r="C37" s="283" t="s">
        <v>195</v>
      </c>
      <c r="D37" s="275" t="str">
        <f t="shared" ref="D37:D42" si="6">IF(ISERROR(C37/B37),"-",(C37/B37))</f>
        <v>-</v>
      </c>
      <c r="G37" s="273">
        <v>2009</v>
      </c>
      <c r="H37" s="278">
        <v>14539.796527414472</v>
      </c>
      <c r="I37" s="246" t="s">
        <v>195</v>
      </c>
      <c r="J37" s="275" t="str">
        <f t="shared" ref="J37:J42" si="7">IF(ISERROR(I37/H37),"-",(I37/H37))</f>
        <v>-</v>
      </c>
      <c r="M37" s="246"/>
      <c r="N37" s="246"/>
    </row>
    <row r="38" spans="1:19" s="245" customFormat="1" x14ac:dyDescent="0.2">
      <c r="A38" s="273">
        <v>2010</v>
      </c>
      <c r="B38" s="274">
        <v>50000</v>
      </c>
      <c r="C38" s="283">
        <v>14242.32</v>
      </c>
      <c r="D38" s="275">
        <f t="shared" si="6"/>
        <v>0.2848464</v>
      </c>
      <c r="G38" s="273">
        <v>2010</v>
      </c>
      <c r="H38" s="278">
        <v>9691</v>
      </c>
      <c r="I38" s="536">
        <v>8350</v>
      </c>
      <c r="J38" s="275">
        <f t="shared" si="7"/>
        <v>0.86162418739036217</v>
      </c>
      <c r="M38" s="246"/>
      <c r="N38" s="246"/>
    </row>
    <row r="39" spans="1:19" s="245" customFormat="1" x14ac:dyDescent="0.2">
      <c r="A39" s="273">
        <v>2011</v>
      </c>
      <c r="B39" s="274">
        <v>100000</v>
      </c>
      <c r="C39" s="283">
        <v>29384.47</v>
      </c>
      <c r="D39" s="275">
        <f t="shared" si="6"/>
        <v>0.29384470000000001</v>
      </c>
      <c r="G39" s="273">
        <v>2011</v>
      </c>
      <c r="H39" s="278">
        <v>18788</v>
      </c>
      <c r="I39" s="536">
        <v>33539</v>
      </c>
      <c r="J39" s="275">
        <f t="shared" si="7"/>
        <v>1.7851288056206089</v>
      </c>
      <c r="M39" s="246"/>
      <c r="N39" s="246"/>
    </row>
    <row r="40" spans="1:19" s="245" customFormat="1" x14ac:dyDescent="0.2">
      <c r="A40" s="273">
        <v>2012</v>
      </c>
      <c r="B40" s="283">
        <v>100000</v>
      </c>
      <c r="C40" s="274">
        <v>159597</v>
      </c>
      <c r="D40" s="275">
        <f t="shared" si="6"/>
        <v>1.5959700000000001</v>
      </c>
      <c r="G40" s="273">
        <v>2012</v>
      </c>
      <c r="H40" s="536">
        <v>39671</v>
      </c>
      <c r="I40" s="536">
        <f>+F20</f>
        <v>199778</v>
      </c>
      <c r="J40" s="275">
        <f t="shared" si="7"/>
        <v>5.0358700310050164</v>
      </c>
      <c r="M40" s="246"/>
      <c r="N40" s="246"/>
    </row>
    <row r="41" spans="1:19" s="245" customFormat="1" x14ac:dyDescent="0.2">
      <c r="A41" s="273">
        <v>2013</v>
      </c>
      <c r="B41" s="283">
        <v>100000</v>
      </c>
      <c r="C41" s="283">
        <f>G15</f>
        <v>89673.090000000011</v>
      </c>
      <c r="D41" s="275">
        <f t="shared" si="6"/>
        <v>0.89673090000000011</v>
      </c>
      <c r="G41" s="273">
        <v>2013</v>
      </c>
      <c r="H41" s="554">
        <v>31104</v>
      </c>
      <c r="I41" s="2236">
        <f>G20</f>
        <v>90813</v>
      </c>
      <c r="J41" s="275">
        <f t="shared" si="7"/>
        <v>2.9196566358024691</v>
      </c>
      <c r="M41" s="246"/>
      <c r="N41" s="246"/>
    </row>
    <row r="42" spans="1:19" s="245" customFormat="1" x14ac:dyDescent="0.2">
      <c r="A42" s="273">
        <v>2014</v>
      </c>
      <c r="B42" s="274">
        <v>574201</v>
      </c>
      <c r="C42" s="274">
        <f>H15</f>
        <v>384967.85999999993</v>
      </c>
      <c r="D42" s="275">
        <f t="shared" si="6"/>
        <v>0.67044094315405223</v>
      </c>
      <c r="G42" s="273">
        <v>2014</v>
      </c>
      <c r="H42" s="562">
        <v>231618</v>
      </c>
      <c r="I42" s="278">
        <f>H20</f>
        <v>245375</v>
      </c>
      <c r="J42" s="275">
        <f t="shared" si="7"/>
        <v>1.0593952110803133</v>
      </c>
      <c r="M42" s="246"/>
      <c r="N42" s="246"/>
    </row>
    <row r="43" spans="1:19" s="245" customFormat="1" x14ac:dyDescent="0.2">
      <c r="A43" s="273">
        <v>2015</v>
      </c>
      <c r="B43" s="274">
        <f>I15</f>
        <v>684354</v>
      </c>
      <c r="C43" s="274"/>
      <c r="D43" s="275"/>
      <c r="G43" s="273">
        <v>2015</v>
      </c>
      <c r="H43" s="562">
        <f>I20</f>
        <v>281527</v>
      </c>
      <c r="I43" s="278"/>
      <c r="J43" s="275"/>
      <c r="M43" s="246"/>
      <c r="N43" s="246"/>
    </row>
    <row r="44" spans="1:19" s="245" customFormat="1" x14ac:dyDescent="0.2">
      <c r="A44" s="273">
        <v>2016</v>
      </c>
      <c r="B44" s="309">
        <f>J15</f>
        <v>808637</v>
      </c>
      <c r="G44" s="273">
        <v>2016</v>
      </c>
      <c r="H44" s="562">
        <f>J20</f>
        <v>529325.86992298567</v>
      </c>
      <c r="I44" s="168"/>
      <c r="J44" s="573"/>
      <c r="M44" s="246"/>
      <c r="N44" s="246"/>
    </row>
    <row r="45" spans="1:19" s="245" customFormat="1" x14ac:dyDescent="0.2">
      <c r="A45" s="273">
        <v>2017</v>
      </c>
      <c r="B45" s="309">
        <f>K15</f>
        <v>728421.52400363854</v>
      </c>
      <c r="G45" s="273">
        <v>2017</v>
      </c>
      <c r="H45" s="562">
        <f>K20</f>
        <v>478022.86738903483</v>
      </c>
      <c r="I45" s="168"/>
      <c r="J45" s="573"/>
      <c r="M45" s="246"/>
      <c r="N45" s="246"/>
    </row>
    <row r="46" spans="1:19" s="245" customFormat="1" x14ac:dyDescent="0.2">
      <c r="A46" s="273">
        <v>2018</v>
      </c>
      <c r="B46" s="309">
        <f>L15</f>
        <v>733820.59770263103</v>
      </c>
      <c r="G46" s="273">
        <v>2018</v>
      </c>
      <c r="H46" s="562" t="e">
        <f>L20</f>
        <v>#REF!</v>
      </c>
      <c r="I46" s="168"/>
      <c r="J46" s="573"/>
      <c r="M46" s="246"/>
      <c r="N46" s="246"/>
    </row>
    <row r="47" spans="1:19" s="245" customFormat="1" x14ac:dyDescent="0.2">
      <c r="A47" s="273"/>
      <c r="G47" s="273"/>
      <c r="H47" s="571"/>
      <c r="I47" s="168"/>
      <c r="J47" s="573"/>
      <c r="M47" s="246"/>
      <c r="N47" s="246"/>
    </row>
    <row r="48" spans="1:19" s="245" customFormat="1" x14ac:dyDescent="0.2">
      <c r="A48" s="276" t="s">
        <v>193</v>
      </c>
      <c r="G48" s="276" t="s">
        <v>190</v>
      </c>
      <c r="H48" s="168"/>
      <c r="I48" s="168"/>
      <c r="J48" s="168"/>
      <c r="M48" s="246"/>
      <c r="N48" s="246"/>
    </row>
    <row r="49" spans="1:14" s="245" customFormat="1" x14ac:dyDescent="0.2">
      <c r="A49" s="273" t="s">
        <v>185</v>
      </c>
      <c r="B49" s="250" t="s">
        <v>188</v>
      </c>
      <c r="C49" s="250" t="s">
        <v>186</v>
      </c>
      <c r="D49" s="250" t="s">
        <v>189</v>
      </c>
      <c r="G49" s="273" t="s">
        <v>185</v>
      </c>
      <c r="H49" s="250" t="s">
        <v>188</v>
      </c>
      <c r="I49" s="250" t="s">
        <v>186</v>
      </c>
      <c r="J49" s="250" t="s">
        <v>189</v>
      </c>
      <c r="M49" s="246"/>
      <c r="N49" s="246"/>
    </row>
    <row r="50" spans="1:14" s="245" customFormat="1" x14ac:dyDescent="0.2">
      <c r="A50" s="273">
        <v>2009</v>
      </c>
      <c r="B50" s="278">
        <v>3</v>
      </c>
      <c r="C50" s="246" t="s">
        <v>195</v>
      </c>
      <c r="D50" s="275" t="str">
        <f t="shared" ref="D50:D55" si="8">IF(ISERROR(C50/B50),"-",(C50/B50))</f>
        <v>-</v>
      </c>
      <c r="G50" s="273">
        <v>2009</v>
      </c>
      <c r="H50" s="278">
        <v>116318.37221931577</v>
      </c>
      <c r="I50" s="314" t="s">
        <v>195</v>
      </c>
      <c r="J50" s="275" t="str">
        <f t="shared" ref="J50:J55" si="9">IF(ISERROR(I50/H50),"-",(I50/H50))</f>
        <v>-</v>
      </c>
      <c r="M50" s="246"/>
      <c r="N50" s="246"/>
    </row>
    <row r="51" spans="1:14" s="245" customFormat="1" x14ac:dyDescent="0.2">
      <c r="A51" s="273">
        <v>2010</v>
      </c>
      <c r="B51" s="278">
        <v>6</v>
      </c>
      <c r="C51" s="246">
        <v>1</v>
      </c>
      <c r="D51" s="275">
        <f t="shared" si="8"/>
        <v>0.16666666666666666</v>
      </c>
      <c r="G51" s="273">
        <v>2010</v>
      </c>
      <c r="H51" s="278">
        <v>96912</v>
      </c>
      <c r="I51" s="314">
        <v>83500</v>
      </c>
      <c r="J51" s="275">
        <f t="shared" si="9"/>
        <v>0.86160640581145786</v>
      </c>
      <c r="M51" s="246"/>
      <c r="N51" s="246"/>
    </row>
    <row r="52" spans="1:14" s="245" customFormat="1" x14ac:dyDescent="0.2">
      <c r="A52" s="273">
        <v>2011</v>
      </c>
      <c r="B52" s="278">
        <v>5</v>
      </c>
      <c r="C52" s="246">
        <v>3</v>
      </c>
      <c r="D52" s="275">
        <f t="shared" si="8"/>
        <v>0.6</v>
      </c>
      <c r="G52" s="273">
        <v>2011</v>
      </c>
      <c r="H52" s="278">
        <v>150303</v>
      </c>
      <c r="I52" s="314">
        <v>326510</v>
      </c>
      <c r="J52" s="275">
        <f t="shared" si="9"/>
        <v>2.1723451960373379</v>
      </c>
      <c r="M52" s="246"/>
      <c r="N52" s="246"/>
    </row>
    <row r="53" spans="1:14" s="245" customFormat="1" x14ac:dyDescent="0.2">
      <c r="A53" s="273">
        <v>2012</v>
      </c>
      <c r="B53" s="314">
        <v>3</v>
      </c>
      <c r="C53" s="314">
        <v>9</v>
      </c>
      <c r="D53" s="275">
        <f t="shared" si="8"/>
        <v>3</v>
      </c>
      <c r="G53" s="273">
        <v>2012</v>
      </c>
      <c r="H53" s="314">
        <v>396714</v>
      </c>
      <c r="I53" s="314">
        <f>+F21</f>
        <v>1172266</v>
      </c>
      <c r="J53" s="275">
        <f t="shared" si="9"/>
        <v>2.9549398307092769</v>
      </c>
      <c r="M53" s="246"/>
      <c r="N53" s="246"/>
    </row>
    <row r="54" spans="1:14" s="245" customFormat="1" x14ac:dyDescent="0.2">
      <c r="A54" s="273">
        <v>2013</v>
      </c>
      <c r="B54" s="314">
        <v>1</v>
      </c>
      <c r="C54" s="278">
        <f>G28</f>
        <v>8</v>
      </c>
      <c r="D54" s="275">
        <f t="shared" si="8"/>
        <v>8</v>
      </c>
      <c r="G54" s="273">
        <v>2013</v>
      </c>
      <c r="H54" s="314">
        <v>248829</v>
      </c>
      <c r="I54" s="314">
        <f>G21</f>
        <v>466355</v>
      </c>
      <c r="J54" s="275">
        <f t="shared" si="9"/>
        <v>1.8741987469306229</v>
      </c>
      <c r="M54" s="246"/>
      <c r="N54" s="246"/>
    </row>
    <row r="55" spans="1:14" s="245" customFormat="1" x14ac:dyDescent="0.2">
      <c r="A55" s="273">
        <v>2014</v>
      </c>
      <c r="B55" s="278">
        <v>10</v>
      </c>
      <c r="C55" s="278">
        <f>H28</f>
        <v>19</v>
      </c>
      <c r="D55" s="275">
        <f t="shared" si="8"/>
        <v>1.9</v>
      </c>
      <c r="G55" s="273">
        <v>2014</v>
      </c>
      <c r="H55" s="314">
        <v>1852948</v>
      </c>
      <c r="I55" s="278">
        <f>H21</f>
        <v>1699879</v>
      </c>
      <c r="J55" s="275">
        <f t="shared" si="9"/>
        <v>0.91739163754190622</v>
      </c>
      <c r="M55" s="246"/>
      <c r="N55" s="246"/>
    </row>
    <row r="56" spans="1:14" s="245" customFormat="1" x14ac:dyDescent="0.2">
      <c r="A56" s="273">
        <v>2015</v>
      </c>
      <c r="B56" s="278">
        <f>I28</f>
        <v>12</v>
      </c>
      <c r="C56" s="278"/>
      <c r="D56" s="275"/>
      <c r="G56" s="273">
        <v>2015</v>
      </c>
      <c r="H56" s="314">
        <f>I21</f>
        <v>1689160</v>
      </c>
      <c r="I56" s="278"/>
      <c r="J56" s="275"/>
      <c r="M56" s="246"/>
      <c r="N56" s="246"/>
    </row>
    <row r="57" spans="1:14" s="245" customFormat="1" x14ac:dyDescent="0.2">
      <c r="A57" s="273">
        <v>2016</v>
      </c>
      <c r="B57" s="278">
        <f>J28</f>
        <v>105.01736251596401</v>
      </c>
      <c r="G57" s="273">
        <v>2016</v>
      </c>
      <c r="H57" s="314">
        <f>J21</f>
        <v>2708622.0963730463</v>
      </c>
      <c r="I57" s="246"/>
      <c r="M57" s="246"/>
      <c r="N57" s="246"/>
    </row>
    <row r="58" spans="1:14" s="245" customFormat="1" x14ac:dyDescent="0.2">
      <c r="A58" s="273">
        <v>2017</v>
      </c>
      <c r="B58" s="278">
        <f>K28</f>
        <v>90.096986426674874</v>
      </c>
      <c r="G58" s="273">
        <v>2017</v>
      </c>
      <c r="H58" s="314">
        <f>K21</f>
        <v>2446098.6601125817</v>
      </c>
      <c r="I58" s="246"/>
      <c r="M58" s="246"/>
      <c r="N58" s="246"/>
    </row>
    <row r="59" spans="1:14" s="245" customFormat="1" x14ac:dyDescent="0.2">
      <c r="A59" s="273">
        <v>2018</v>
      </c>
      <c r="B59" s="278" t="e">
        <f>L28</f>
        <v>#REF!</v>
      </c>
      <c r="G59" s="273">
        <v>2018</v>
      </c>
      <c r="H59" s="314" t="e">
        <f>L21</f>
        <v>#REF!</v>
      </c>
      <c r="I59" s="246"/>
      <c r="M59" s="246"/>
      <c r="N59" s="246"/>
    </row>
    <row r="60" spans="1:14" s="245" customFormat="1" x14ac:dyDescent="0.2">
      <c r="I60" s="246"/>
      <c r="M60" s="246"/>
      <c r="N60" s="246"/>
    </row>
    <row r="61" spans="1:14" s="245" customFormat="1" x14ac:dyDescent="0.2">
      <c r="I61" s="246"/>
      <c r="M61" s="246"/>
      <c r="N61" s="246"/>
    </row>
    <row r="62" spans="1:14" s="245" customFormat="1" x14ac:dyDescent="0.2">
      <c r="I62" s="246"/>
      <c r="M62" s="246"/>
      <c r="N62" s="246"/>
    </row>
    <row r="63" spans="1:14" s="245" customFormat="1" x14ac:dyDescent="0.2">
      <c r="I63" s="246"/>
      <c r="M63" s="246"/>
      <c r="N63" s="246"/>
    </row>
    <row r="64" spans="1:14" x14ac:dyDescent="0.2">
      <c r="E64" s="3"/>
      <c r="F64" s="3"/>
      <c r="G64" s="3"/>
      <c r="H64" s="245"/>
      <c r="I64" s="181"/>
      <c r="M64" s="181"/>
      <c r="N64" s="181"/>
    </row>
    <row r="65" spans="5:14" x14ac:dyDescent="0.2">
      <c r="E65" s="3"/>
      <c r="F65" s="3"/>
      <c r="G65" s="3"/>
      <c r="H65" s="245"/>
      <c r="I65" s="181"/>
      <c r="M65" s="181"/>
      <c r="N65" s="181"/>
    </row>
    <row r="66" spans="5:14" x14ac:dyDescent="0.2">
      <c r="E66" s="3"/>
      <c r="F66" s="3"/>
      <c r="G66" s="3"/>
      <c r="H66" s="245"/>
      <c r="I66" s="181"/>
      <c r="M66" s="181"/>
      <c r="N66" s="181"/>
    </row>
    <row r="67" spans="5:14" x14ac:dyDescent="0.2">
      <c r="H67" s="245"/>
    </row>
    <row r="68" spans="5:14" x14ac:dyDescent="0.2">
      <c r="H68" s="245"/>
    </row>
    <row r="69" spans="5:14" ht="12.75" customHeight="1" x14ac:dyDescent="0.2">
      <c r="H69" s="245"/>
    </row>
    <row r="70" spans="5:14" ht="12.75" customHeight="1" x14ac:dyDescent="0.2">
      <c r="H70" s="245"/>
    </row>
    <row r="71" spans="5:14" ht="12.75" customHeight="1" x14ac:dyDescent="0.2">
      <c r="H71" s="245"/>
    </row>
    <row r="72" spans="5:14" x14ac:dyDescent="0.2">
      <c r="H72" s="245"/>
    </row>
    <row r="73" spans="5:14" x14ac:dyDescent="0.2">
      <c r="H73" s="245"/>
    </row>
    <row r="74" spans="5:14" x14ac:dyDescent="0.2">
      <c r="H74" s="245"/>
    </row>
    <row r="75" spans="5:14" x14ac:dyDescent="0.2">
      <c r="H75" s="245"/>
    </row>
    <row r="76" spans="5:14" x14ac:dyDescent="0.2">
      <c r="H76" s="245"/>
    </row>
    <row r="77" spans="5:14" x14ac:dyDescent="0.2">
      <c r="H77" s="245"/>
    </row>
    <row r="78" spans="5:14" x14ac:dyDescent="0.2">
      <c r="H78" s="245"/>
    </row>
    <row r="79" spans="5:14" x14ac:dyDescent="0.2">
      <c r="H79" s="245"/>
    </row>
    <row r="80" spans="5:14" x14ac:dyDescent="0.2">
      <c r="H80" s="245"/>
    </row>
    <row r="81" spans="8:8" x14ac:dyDescent="0.2">
      <c r="H81" s="245"/>
    </row>
    <row r="82" spans="8:8" x14ac:dyDescent="0.2">
      <c r="H82" s="245"/>
    </row>
    <row r="83" spans="8:8" x14ac:dyDescent="0.2">
      <c r="H83" s="245"/>
    </row>
    <row r="84" spans="8:8" x14ac:dyDescent="0.2">
      <c r="H84" s="245"/>
    </row>
    <row r="85" spans="8:8" x14ac:dyDescent="0.2">
      <c r="H85" s="245"/>
    </row>
    <row r="86" spans="8:8" x14ac:dyDescent="0.2">
      <c r="H86" s="245"/>
    </row>
    <row r="87" spans="8:8" x14ac:dyDescent="0.2">
      <c r="H87" s="245"/>
    </row>
    <row r="88" spans="8:8" x14ac:dyDescent="0.2">
      <c r="H88" s="245"/>
    </row>
    <row r="89" spans="8:8" x14ac:dyDescent="0.2">
      <c r="H89" s="245"/>
    </row>
    <row r="90" spans="8:8" x14ac:dyDescent="0.2">
      <c r="H90" s="245"/>
    </row>
    <row r="91" spans="8:8" x14ac:dyDescent="0.2">
      <c r="H91" s="245"/>
    </row>
    <row r="92" spans="8:8" x14ac:dyDescent="0.2">
      <c r="H92" s="245"/>
    </row>
    <row r="93" spans="8:8" x14ac:dyDescent="0.2">
      <c r="H93" s="245"/>
    </row>
    <row r="94" spans="8:8" x14ac:dyDescent="0.2">
      <c r="H94" s="245"/>
    </row>
    <row r="95" spans="8:8" x14ac:dyDescent="0.2">
      <c r="H95" s="245"/>
    </row>
    <row r="96" spans="8:8" x14ac:dyDescent="0.2">
      <c r="H96" s="245"/>
    </row>
    <row r="97" spans="8:8" x14ac:dyDescent="0.2">
      <c r="H97" s="245"/>
    </row>
    <row r="98" spans="8:8" x14ac:dyDescent="0.2">
      <c r="H98" s="245"/>
    </row>
    <row r="99" spans="8:8" x14ac:dyDescent="0.2">
      <c r="H99" s="245"/>
    </row>
    <row r="100" spans="8:8" x14ac:dyDescent="0.2">
      <c r="H100" s="245"/>
    </row>
    <row r="101" spans="8:8" x14ac:dyDescent="0.2">
      <c r="H101" s="245"/>
    </row>
    <row r="102" spans="8:8" x14ac:dyDescent="0.2">
      <c r="H102" s="245"/>
    </row>
    <row r="103" spans="8:8" x14ac:dyDescent="0.2">
      <c r="H103" s="245"/>
    </row>
    <row r="104" spans="8:8" x14ac:dyDescent="0.2">
      <c r="H104" s="245"/>
    </row>
    <row r="105" spans="8:8" x14ac:dyDescent="0.2">
      <c r="H105" s="245"/>
    </row>
    <row r="106" spans="8:8" x14ac:dyDescent="0.2">
      <c r="H106" s="245"/>
    </row>
    <row r="107" spans="8:8" x14ac:dyDescent="0.2">
      <c r="H107" s="245"/>
    </row>
    <row r="108" spans="8:8" x14ac:dyDescent="0.2">
      <c r="H108" s="245"/>
    </row>
    <row r="109" spans="8:8" x14ac:dyDescent="0.2">
      <c r="H109" s="245"/>
    </row>
    <row r="110" spans="8:8" x14ac:dyDescent="0.2">
      <c r="H110" s="245"/>
    </row>
    <row r="111" spans="8:8" x14ac:dyDescent="0.2">
      <c r="H111" s="245"/>
    </row>
    <row r="112" spans="8:8" x14ac:dyDescent="0.2">
      <c r="H112" s="245"/>
    </row>
    <row r="113" spans="8:8" x14ac:dyDescent="0.2">
      <c r="H113" s="168"/>
    </row>
    <row r="114" spans="8:8" x14ac:dyDescent="0.2">
      <c r="H114" s="168"/>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2"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35">
    <tabColor indexed="44"/>
    <pageSetUpPr fitToPage="1"/>
  </sheetPr>
  <dimension ref="A1:U78"/>
  <sheetViews>
    <sheetView zoomScaleNormal="100" workbookViewId="0">
      <selection activeCell="W61" sqref="W61"/>
    </sheetView>
  </sheetViews>
  <sheetFormatPr defaultRowHeight="12.75" x14ac:dyDescent="0.2"/>
  <cols>
    <col min="1" max="1" width="39.28515625" style="168" bestFit="1" customWidth="1"/>
    <col min="2" max="9" width="13.42578125" style="168" customWidth="1"/>
    <col min="10" max="12" width="13.42578125" style="245" customWidth="1"/>
    <col min="13" max="13" width="6.85546875" style="168" bestFit="1" customWidth="1"/>
    <col min="14" max="14" width="11.28515625" style="168" bestFit="1" customWidth="1"/>
    <col min="15" max="15" width="6.85546875" style="168" bestFit="1" customWidth="1"/>
    <col min="16" max="16" width="14.140625" style="168" customWidth="1"/>
    <col min="17" max="17" width="3.28515625" style="168" customWidth="1"/>
    <col min="18" max="18" width="3.7109375" style="168" customWidth="1"/>
    <col min="19" max="19" width="3.5703125" style="168" customWidth="1"/>
    <col min="20" max="20" width="10.7109375" style="168" customWidth="1"/>
    <col min="21" max="21" width="12.28515625" style="168" customWidth="1"/>
    <col min="22" max="16384" width="9.140625" style="168"/>
  </cols>
  <sheetData>
    <row r="1" spans="1:21" ht="15.75" x14ac:dyDescent="0.25">
      <c r="A1" s="3055" t="s">
        <v>77</v>
      </c>
      <c r="B1" s="3055"/>
      <c r="C1" s="3055"/>
      <c r="D1" s="3055"/>
      <c r="E1" s="3055"/>
      <c r="F1" s="3055"/>
      <c r="G1" s="3055"/>
      <c r="H1" s="3055"/>
      <c r="I1" s="3055"/>
      <c r="J1" s="3055"/>
      <c r="K1" s="3055"/>
      <c r="L1" s="3055"/>
      <c r="M1" s="3055"/>
      <c r="N1" s="1914"/>
      <c r="O1" s="1914"/>
      <c r="P1" s="170"/>
      <c r="Q1" s="170"/>
      <c r="R1" s="170"/>
      <c r="S1" s="170"/>
      <c r="T1" s="170"/>
      <c r="U1" s="170"/>
    </row>
    <row r="2" spans="1:21" x14ac:dyDescent="0.2">
      <c r="A2" s="169"/>
      <c r="P2" s="170"/>
      <c r="Q2" s="170"/>
      <c r="R2" s="170"/>
      <c r="S2" s="170"/>
      <c r="T2" s="170"/>
      <c r="U2" s="170"/>
    </row>
    <row r="3" spans="1:21" ht="15.75" x14ac:dyDescent="0.25">
      <c r="A3" s="172" t="s">
        <v>581</v>
      </c>
    </row>
    <row r="4" spans="1:21" x14ac:dyDescent="0.2">
      <c r="A4" s="169"/>
    </row>
    <row r="5" spans="1:21" x14ac:dyDescent="0.2">
      <c r="A5" s="173"/>
      <c r="I5" s="284"/>
      <c r="J5" s="794"/>
      <c r="K5" s="794"/>
      <c r="L5" s="794"/>
      <c r="M5" s="284"/>
      <c r="N5" s="284"/>
    </row>
    <row r="6" spans="1:21" s="245" customFormat="1" x14ac:dyDescent="0.2">
      <c r="A6" s="242"/>
      <c r="B6" s="243">
        <v>2008</v>
      </c>
      <c r="C6" s="243">
        <v>2009</v>
      </c>
      <c r="D6" s="243">
        <v>2010</v>
      </c>
      <c r="E6" s="243">
        <v>2011</v>
      </c>
      <c r="F6" s="243">
        <v>2012</v>
      </c>
      <c r="G6" s="243">
        <v>2013</v>
      </c>
      <c r="H6" s="243">
        <v>2014</v>
      </c>
      <c r="I6" s="243">
        <v>2015</v>
      </c>
      <c r="J6" s="243">
        <v>2016</v>
      </c>
      <c r="K6" s="243">
        <v>2017</v>
      </c>
      <c r="L6" s="243">
        <v>2018</v>
      </c>
    </row>
    <row r="7" spans="1:21" s="245" customFormat="1" x14ac:dyDescent="0.2">
      <c r="A7" s="247" t="s">
        <v>44</v>
      </c>
      <c r="B7" s="248" t="s">
        <v>148</v>
      </c>
      <c r="C7" s="248" t="s">
        <v>148</v>
      </c>
      <c r="D7" s="248" t="s">
        <v>148</v>
      </c>
      <c r="E7" s="248" t="s">
        <v>148</v>
      </c>
      <c r="F7" s="248" t="s">
        <v>148</v>
      </c>
      <c r="G7" s="248" t="s">
        <v>148</v>
      </c>
      <c r="H7" s="248" t="s">
        <v>148</v>
      </c>
      <c r="I7" s="248" t="s">
        <v>1</v>
      </c>
      <c r="J7" s="248" t="s">
        <v>1</v>
      </c>
      <c r="K7" s="248" t="s">
        <v>1</v>
      </c>
      <c r="L7" s="248" t="s">
        <v>1</v>
      </c>
    </row>
    <row r="8" spans="1:21" s="245" customFormat="1" x14ac:dyDescent="0.2">
      <c r="A8" s="244"/>
      <c r="G8" s="284"/>
      <c r="I8" s="575"/>
      <c r="J8" s="575"/>
      <c r="K8" s="575"/>
      <c r="L8" s="575"/>
    </row>
    <row r="9" spans="1:21" s="245" customFormat="1" x14ac:dyDescent="0.2">
      <c r="A9" s="244" t="s">
        <v>53</v>
      </c>
      <c r="B9" s="252">
        <v>3175</v>
      </c>
      <c r="C9" s="252">
        <v>2769.71</v>
      </c>
      <c r="D9" s="252">
        <v>2141.0100000000002</v>
      </c>
      <c r="E9" s="252">
        <v>2013.98</v>
      </c>
      <c r="F9" s="252">
        <v>2052</v>
      </c>
      <c r="G9" s="252">
        <v>4748.47</v>
      </c>
      <c r="H9" s="252">
        <v>28492</v>
      </c>
      <c r="I9" s="252">
        <v>16000</v>
      </c>
      <c r="J9" s="252">
        <f>'SCG Table C 2016'!$C$26</f>
        <v>16000</v>
      </c>
      <c r="K9" s="252">
        <f>'SCG Table C 2017'!$C$26</f>
        <v>24097</v>
      </c>
      <c r="L9" s="252">
        <f>'SCG Table C 2019'!$C$25</f>
        <v>46404</v>
      </c>
    </row>
    <row r="10" spans="1:21" s="245" customFormat="1" x14ac:dyDescent="0.2">
      <c r="A10" s="244" t="s">
        <v>45</v>
      </c>
      <c r="B10" s="252">
        <v>0</v>
      </c>
      <c r="C10" s="252">
        <v>20.6</v>
      </c>
      <c r="D10" s="252">
        <v>501.6</v>
      </c>
      <c r="E10" s="252">
        <v>55.11</v>
      </c>
      <c r="F10" s="252">
        <v>1913</v>
      </c>
      <c r="G10" s="252">
        <v>1148.81</v>
      </c>
      <c r="H10" s="252">
        <v>6900.6299999999992</v>
      </c>
      <c r="I10" s="252">
        <v>12000</v>
      </c>
      <c r="J10" s="252">
        <f>'SCG Table C 2016'!$E$26</f>
        <v>22270</v>
      </c>
      <c r="K10" s="252">
        <f>'SCG Table C 2017'!$E$26</f>
        <v>12000</v>
      </c>
      <c r="L10" s="252">
        <f>'SCG Table C 2019'!$E$25</f>
        <v>12334.54</v>
      </c>
    </row>
    <row r="11" spans="1:21" s="245" customFormat="1" x14ac:dyDescent="0.2">
      <c r="A11" s="244" t="s">
        <v>202</v>
      </c>
      <c r="B11" s="252">
        <v>0</v>
      </c>
      <c r="C11" s="252">
        <v>0</v>
      </c>
      <c r="D11" s="252">
        <v>618.33000000000004</v>
      </c>
      <c r="E11" s="252">
        <v>0</v>
      </c>
      <c r="F11" s="252">
        <v>0</v>
      </c>
      <c r="G11" s="252">
        <v>0</v>
      </c>
      <c r="H11" s="252">
        <v>0</v>
      </c>
      <c r="I11" s="252">
        <v>2000</v>
      </c>
      <c r="J11" s="252">
        <f>'SCG Table C 2016'!$D$26</f>
        <v>1255</v>
      </c>
      <c r="K11" s="252">
        <f>'SCG Table C 2017'!$D$26</f>
        <v>2000</v>
      </c>
      <c r="L11" s="252">
        <f>'SCG Table C 2019'!$D$25</f>
        <v>2000</v>
      </c>
    </row>
    <row r="12" spans="1:21" s="245" customFormat="1" ht="14.25" x14ac:dyDescent="0.2">
      <c r="A12" s="244" t="s">
        <v>2</v>
      </c>
      <c r="B12" s="252">
        <v>5538</v>
      </c>
      <c r="C12" s="252">
        <v>0</v>
      </c>
      <c r="D12" s="252">
        <v>4876</v>
      </c>
      <c r="E12" s="252">
        <v>248362.14</v>
      </c>
      <c r="F12" s="252">
        <v>-2277</v>
      </c>
      <c r="G12" s="252">
        <v>-28670</v>
      </c>
      <c r="H12" s="252">
        <v>6746</v>
      </c>
      <c r="I12" s="257">
        <v>152407</v>
      </c>
      <c r="J12" s="257">
        <f>'SCG Table C 2016'!$F$26</f>
        <v>205200</v>
      </c>
      <c r="K12" s="257">
        <f>'SCG Table C 2017'!$F$26</f>
        <v>168076</v>
      </c>
      <c r="L12" s="257">
        <f>'SCG Table C 2019'!$F$25</f>
        <v>506330</v>
      </c>
      <c r="M12" s="947" t="s">
        <v>326</v>
      </c>
    </row>
    <row r="13" spans="1:21" s="245" customFormat="1" ht="14.25" x14ac:dyDescent="0.2">
      <c r="A13" s="244" t="s">
        <v>14</v>
      </c>
      <c r="B13" s="252">
        <v>570</v>
      </c>
      <c r="C13" s="252">
        <v>167</v>
      </c>
      <c r="D13" s="252">
        <v>252.21</v>
      </c>
      <c r="E13" s="252">
        <v>378.88</v>
      </c>
      <c r="F13" s="252">
        <v>338</v>
      </c>
      <c r="G13" s="252">
        <v>1622</v>
      </c>
      <c r="H13" s="252">
        <v>3754</v>
      </c>
      <c r="I13" s="252">
        <v>5000</v>
      </c>
      <c r="J13" s="252">
        <f>'SCG Table C 2016'!$G$26</f>
        <v>3765</v>
      </c>
      <c r="K13" s="252">
        <f>'SCG Table C 2017'!$G$26</f>
        <v>5000</v>
      </c>
      <c r="L13" s="252">
        <f>'SCG Table C 2019'!$G$25</f>
        <v>5000</v>
      </c>
      <c r="M13" s="947" t="s">
        <v>327</v>
      </c>
    </row>
    <row r="14" spans="1:21" s="245" customFormat="1" ht="15" x14ac:dyDescent="0.35">
      <c r="A14" s="244" t="s">
        <v>46</v>
      </c>
      <c r="B14" s="256">
        <v>0</v>
      </c>
      <c r="C14" s="256">
        <v>0</v>
      </c>
      <c r="D14" s="256">
        <v>0</v>
      </c>
      <c r="E14" s="256">
        <v>0</v>
      </c>
      <c r="F14" s="256">
        <v>0</v>
      </c>
      <c r="G14" s="256">
        <v>716</v>
      </c>
      <c r="H14" s="256">
        <v>600</v>
      </c>
      <c r="I14" s="256">
        <v>2000</v>
      </c>
      <c r="J14" s="256">
        <f>'SCG Table C 2016'!$H$26</f>
        <v>2510</v>
      </c>
      <c r="K14" s="256">
        <f>'SCG Table C 2017'!$H$26</f>
        <v>2000</v>
      </c>
      <c r="L14" s="256">
        <f>'SCG Table C 2019'!$H$25</f>
        <v>2000</v>
      </c>
    </row>
    <row r="15" spans="1:21" s="245" customFormat="1" x14ac:dyDescent="0.2">
      <c r="A15" s="244" t="s">
        <v>86</v>
      </c>
      <c r="B15" s="252">
        <f t="shared" ref="B15:J15" si="0">SUM(B9:B14)</f>
        <v>9283</v>
      </c>
      <c r="C15" s="252">
        <f t="shared" si="0"/>
        <v>2957.31</v>
      </c>
      <c r="D15" s="252">
        <f t="shared" si="0"/>
        <v>8389.15</v>
      </c>
      <c r="E15" s="252">
        <f t="shared" si="0"/>
        <v>250810.11000000002</v>
      </c>
      <c r="F15" s="252">
        <f t="shared" si="0"/>
        <v>2026</v>
      </c>
      <c r="G15" s="513">
        <f t="shared" si="0"/>
        <v>-20434.72</v>
      </c>
      <c r="H15" s="252">
        <f>SUM(H9:H14)</f>
        <v>46492.63</v>
      </c>
      <c r="I15" s="504">
        <f t="shared" si="0"/>
        <v>189407</v>
      </c>
      <c r="J15" s="504">
        <f t="shared" si="0"/>
        <v>251000</v>
      </c>
      <c r="K15" s="504">
        <f>SUM(K9:K14)</f>
        <v>213173</v>
      </c>
      <c r="L15" s="504">
        <f>SUM(L9:L14)</f>
        <v>574068.54</v>
      </c>
      <c r="M15" s="246" t="s">
        <v>201</v>
      </c>
    </row>
    <row r="16" spans="1:21" s="245" customFormat="1" x14ac:dyDescent="0.2">
      <c r="A16" s="244"/>
      <c r="B16" s="260"/>
      <c r="G16" s="284"/>
      <c r="H16" s="255"/>
      <c r="I16" s="284"/>
      <c r="J16" s="284"/>
      <c r="K16" s="284"/>
      <c r="L16" s="284"/>
    </row>
    <row r="17" spans="1:21" s="245" customFormat="1" ht="15" x14ac:dyDescent="0.35">
      <c r="A17" s="262"/>
      <c r="B17" s="258"/>
      <c r="G17" s="294"/>
      <c r="I17" s="294"/>
      <c r="J17" s="294"/>
      <c r="K17" s="294"/>
      <c r="L17" s="294"/>
      <c r="M17" s="263"/>
    </row>
    <row r="18" spans="1:21" s="245" customFormat="1" ht="25.5" x14ac:dyDescent="0.2">
      <c r="A18" s="247" t="s">
        <v>83</v>
      </c>
      <c r="B18" s="264" t="s">
        <v>210</v>
      </c>
      <c r="C18" s="264" t="s">
        <v>219</v>
      </c>
      <c r="D18" s="264" t="s">
        <v>259</v>
      </c>
      <c r="E18" s="264" t="s">
        <v>322</v>
      </c>
      <c r="F18" s="264" t="s">
        <v>479</v>
      </c>
      <c r="G18" s="264" t="s">
        <v>567</v>
      </c>
      <c r="H18" s="264" t="s">
        <v>568</v>
      </c>
      <c r="I18" s="264" t="s">
        <v>334</v>
      </c>
      <c r="J18" s="264" t="s">
        <v>564</v>
      </c>
      <c r="K18" s="264" t="s">
        <v>565</v>
      </c>
      <c r="L18" s="264" t="s">
        <v>566</v>
      </c>
      <c r="M18" s="246"/>
      <c r="O18" s="244"/>
      <c r="P18" s="244"/>
      <c r="Q18" s="244"/>
      <c r="R18" s="244"/>
      <c r="S18" s="244"/>
      <c r="T18" s="244"/>
      <c r="U18" s="244"/>
    </row>
    <row r="19" spans="1:21" s="245" customFormat="1" x14ac:dyDescent="0.2">
      <c r="G19" s="284"/>
      <c r="I19" s="180"/>
      <c r="J19" s="180"/>
      <c r="K19" s="180"/>
      <c r="L19" s="180"/>
      <c r="M19" s="246"/>
      <c r="O19" s="186"/>
      <c r="P19" s="186"/>
      <c r="Q19" s="180"/>
      <c r="R19" s="180"/>
      <c r="S19" s="180"/>
      <c r="T19" s="244"/>
      <c r="U19" s="244"/>
    </row>
    <row r="20" spans="1:21" s="245" customFormat="1" x14ac:dyDescent="0.2">
      <c r="A20" s="245" t="s">
        <v>49</v>
      </c>
      <c r="B20" s="312">
        <v>1377</v>
      </c>
      <c r="C20" s="533">
        <v>0</v>
      </c>
      <c r="D20" s="312">
        <v>2746</v>
      </c>
      <c r="E20" s="312">
        <v>58480</v>
      </c>
      <c r="F20" s="267">
        <v>35612</v>
      </c>
      <c r="G20" s="302">
        <v>86021</v>
      </c>
      <c r="H20" s="531">
        <v>2087</v>
      </c>
      <c r="I20" s="506">
        <v>77750</v>
      </c>
      <c r="J20" s="506">
        <f>'2016 Summary Table B'!$M$42</f>
        <v>155950.97174702244</v>
      </c>
      <c r="K20" s="506">
        <f>'2017 Summary Table B'!$M$42</f>
        <v>134459.91344697113</v>
      </c>
      <c r="L20" s="506" t="e">
        <f>'2019 Summary Table B'!$M$42</f>
        <v>#REF!</v>
      </c>
      <c r="M20" s="246" t="s">
        <v>64</v>
      </c>
      <c r="O20" s="186"/>
      <c r="P20" s="186"/>
      <c r="Q20" s="187"/>
      <c r="R20" s="187"/>
      <c r="S20" s="187"/>
      <c r="T20" s="244"/>
      <c r="U20" s="244"/>
    </row>
    <row r="21" spans="1:21" s="245" customFormat="1" x14ac:dyDescent="0.2">
      <c r="A21" s="245" t="s">
        <v>50</v>
      </c>
      <c r="B21" s="312">
        <v>13770</v>
      </c>
      <c r="C21" s="533">
        <v>0</v>
      </c>
      <c r="D21" s="312">
        <v>27460</v>
      </c>
      <c r="E21" s="312">
        <v>803930</v>
      </c>
      <c r="F21" s="267">
        <v>306696</v>
      </c>
      <c r="G21" s="302">
        <v>430105</v>
      </c>
      <c r="H21" s="531">
        <v>10436</v>
      </c>
      <c r="I21" s="506">
        <v>466500</v>
      </c>
      <c r="J21" s="506">
        <f>'2016 Summary Table B'!$N$42</f>
        <v>798019.27702171914</v>
      </c>
      <c r="K21" s="506">
        <f>'2017 Summary Table B'!$N$42</f>
        <v>688047.02987946279</v>
      </c>
      <c r="L21" s="506" t="e">
        <f>'2019 Summary Table B'!$N$42</f>
        <v>#REF!</v>
      </c>
      <c r="M21" s="246" t="s">
        <v>10</v>
      </c>
      <c r="O21" s="180"/>
      <c r="P21" s="185"/>
      <c r="Q21" s="182"/>
      <c r="R21" s="182"/>
      <c r="S21" s="182"/>
      <c r="T21" s="244"/>
      <c r="U21" s="244"/>
    </row>
    <row r="22" spans="1:21" s="245" customFormat="1" x14ac:dyDescent="0.2">
      <c r="G22" s="284"/>
      <c r="H22" s="527"/>
      <c r="I22" s="180"/>
      <c r="J22" s="180"/>
      <c r="K22" s="180"/>
      <c r="L22" s="180"/>
      <c r="M22" s="246"/>
      <c r="O22" s="180"/>
      <c r="P22" s="185"/>
      <c r="Q22" s="183"/>
      <c r="R22" s="183"/>
      <c r="S22" s="183"/>
      <c r="T22" s="244"/>
      <c r="U22" s="244"/>
    </row>
    <row r="23" spans="1:21" s="245" customFormat="1" x14ac:dyDescent="0.2">
      <c r="A23" s="245" t="s">
        <v>51</v>
      </c>
      <c r="B23" s="269">
        <f>SUM(B15/B20)</f>
        <v>6.7414669571532313</v>
      </c>
      <c r="C23" s="246" t="s">
        <v>195</v>
      </c>
      <c r="D23" s="269">
        <f t="shared" ref="D23:J23" si="1">SUM(D15/D20)</f>
        <v>3.0550436999271668</v>
      </c>
      <c r="E23" s="269">
        <f t="shared" si="1"/>
        <v>4.2888185704514363</v>
      </c>
      <c r="F23" s="269">
        <f t="shared" si="1"/>
        <v>5.689093563967202E-2</v>
      </c>
      <c r="G23" s="269">
        <f t="shared" si="1"/>
        <v>-0.23755501563571688</v>
      </c>
      <c r="H23" s="528">
        <f t="shared" si="1"/>
        <v>22.277254432199328</v>
      </c>
      <c r="I23" s="269">
        <f t="shared" si="1"/>
        <v>2.4361028938906752</v>
      </c>
      <c r="J23" s="269">
        <f t="shared" si="1"/>
        <v>1.6094801923207145</v>
      </c>
      <c r="K23" s="269">
        <f>SUM(K15/K20)</f>
        <v>1.5854018832465788</v>
      </c>
      <c r="L23" s="269" t="e">
        <f>SUM(L15/L20)</f>
        <v>#REF!</v>
      </c>
      <c r="M23" s="246" t="s">
        <v>65</v>
      </c>
      <c r="O23" s="180"/>
      <c r="P23" s="185"/>
      <c r="Q23" s="183"/>
      <c r="R23" s="183"/>
      <c r="S23" s="183"/>
      <c r="T23" s="244"/>
      <c r="U23" s="244"/>
    </row>
    <row r="24" spans="1:21" s="245" customFormat="1" x14ac:dyDescent="0.2">
      <c r="A24" s="245" t="s">
        <v>52</v>
      </c>
      <c r="B24" s="269">
        <f>SUM(B15/B21)</f>
        <v>0.67414669571532315</v>
      </c>
      <c r="C24" s="246" t="s">
        <v>195</v>
      </c>
      <c r="D24" s="269">
        <f t="shared" ref="D24:J24" si="2">SUM(D15/D21)</f>
        <v>0.30550436999271668</v>
      </c>
      <c r="E24" s="269">
        <f t="shared" si="2"/>
        <v>0.31198003557523668</v>
      </c>
      <c r="F24" s="269">
        <f t="shared" si="2"/>
        <v>6.6058898714036049E-3</v>
      </c>
      <c r="G24" s="269">
        <f t="shared" si="2"/>
        <v>-4.7511003127143375E-2</v>
      </c>
      <c r="H24" s="528">
        <f t="shared" si="2"/>
        <v>4.45502395553852</v>
      </c>
      <c r="I24" s="269">
        <f t="shared" si="2"/>
        <v>0.40601714898177921</v>
      </c>
      <c r="J24" s="269">
        <f t="shared" si="2"/>
        <v>0.31452874288545374</v>
      </c>
      <c r="K24" s="269">
        <f>SUM(K15/K21)</f>
        <v>0.30982329803435854</v>
      </c>
      <c r="L24" s="269" t="e">
        <f>SUM(L15/L21)</f>
        <v>#REF!</v>
      </c>
      <c r="M24" s="246" t="s">
        <v>66</v>
      </c>
      <c r="O24" s="180"/>
      <c r="P24" s="185"/>
      <c r="Q24" s="184"/>
      <c r="R24" s="184"/>
      <c r="S24" s="184"/>
      <c r="T24" s="244"/>
      <c r="U24" s="244"/>
    </row>
    <row r="25" spans="1:21" s="245" customFormat="1" x14ac:dyDescent="0.2">
      <c r="D25" s="261"/>
      <c r="E25" s="261"/>
      <c r="G25" s="284"/>
      <c r="H25" s="249"/>
      <c r="M25" s="246"/>
      <c r="O25" s="180"/>
      <c r="P25" s="185"/>
      <c r="Q25" s="182"/>
      <c r="R25" s="182"/>
      <c r="S25" s="182"/>
      <c r="T25" s="244"/>
      <c r="U25" s="244"/>
    </row>
    <row r="26" spans="1:21" s="245" customFormat="1" x14ac:dyDescent="0.2">
      <c r="A26" s="245" t="s">
        <v>84</v>
      </c>
      <c r="B26" s="558">
        <f>F26/F21*B21</f>
        <v>8240.1610291865381</v>
      </c>
      <c r="C26" s="246" t="s">
        <v>195</v>
      </c>
      <c r="D26" s="252">
        <f>F26/F21*D21</f>
        <v>16432.448936925372</v>
      </c>
      <c r="E26" s="252">
        <v>739429.67818340287</v>
      </c>
      <c r="F26" s="257">
        <f>+F21/411354*246160</f>
        <v>183531.18569407371</v>
      </c>
      <c r="G26" s="295">
        <v>238334</v>
      </c>
      <c r="H26" s="257">
        <v>8511</v>
      </c>
      <c r="I26" s="747">
        <v>716210</v>
      </c>
      <c r="J26" s="747">
        <f>'2016 Summary Table B'!$F$42</f>
        <v>784222.85452167387</v>
      </c>
      <c r="K26" s="747">
        <f>'2017 Summary Table B'!$F$42</f>
        <v>584815.11153059104</v>
      </c>
      <c r="L26" s="747" t="e">
        <f>'2019 Summary Table B'!$F$42</f>
        <v>#REF!</v>
      </c>
      <c r="M26" s="246" t="s">
        <v>67</v>
      </c>
      <c r="O26" s="180"/>
      <c r="P26" s="185"/>
      <c r="Q26" s="185"/>
      <c r="R26" s="185"/>
      <c r="S26" s="185"/>
      <c r="T26" s="244"/>
      <c r="U26" s="244"/>
    </row>
    <row r="27" spans="1:21" s="245" customFormat="1" x14ac:dyDescent="0.2">
      <c r="A27" s="245" t="s">
        <v>85</v>
      </c>
      <c r="B27" s="271">
        <f>SUM(B26/B15)</f>
        <v>0.88766142725267028</v>
      </c>
      <c r="C27" s="246" t="s">
        <v>195</v>
      </c>
      <c r="D27" s="271">
        <f t="shared" ref="D27:J27" si="3">SUM(D26/D15)</f>
        <v>1.9587740041512396</v>
      </c>
      <c r="E27" s="271">
        <f t="shared" si="3"/>
        <v>2.9481653597751816</v>
      </c>
      <c r="F27" s="271">
        <f t="shared" si="3"/>
        <v>90.587949503491458</v>
      </c>
      <c r="G27" s="271">
        <f t="shared" si="3"/>
        <v>-11.663188925515005</v>
      </c>
      <c r="H27" s="529">
        <f>SUM(H26/H15)</f>
        <v>0.18306127229197403</v>
      </c>
      <c r="I27" s="271">
        <f t="shared" si="3"/>
        <v>3.7813280396183879</v>
      </c>
      <c r="J27" s="271">
        <f t="shared" si="3"/>
        <v>3.1243938427158322</v>
      </c>
      <c r="K27" s="271">
        <f>SUM(K26/K15)</f>
        <v>2.7433826588291716</v>
      </c>
      <c r="L27" s="271" t="e">
        <f>SUM(L26/L15)</f>
        <v>#REF!</v>
      </c>
      <c r="M27" s="246" t="s">
        <v>68</v>
      </c>
      <c r="O27" s="180"/>
      <c r="P27" s="185"/>
      <c r="Q27" s="183"/>
      <c r="R27" s="185"/>
      <c r="S27" s="183"/>
      <c r="T27" s="244"/>
      <c r="U27" s="244"/>
    </row>
    <row r="28" spans="1:21" s="245" customFormat="1" x14ac:dyDescent="0.2">
      <c r="A28" s="245" t="s">
        <v>214</v>
      </c>
      <c r="B28" s="249">
        <v>1</v>
      </c>
      <c r="C28" s="246" t="s">
        <v>195</v>
      </c>
      <c r="D28" s="249">
        <v>1</v>
      </c>
      <c r="E28" s="249">
        <v>3</v>
      </c>
      <c r="F28" s="281">
        <v>4</v>
      </c>
      <c r="G28" s="301">
        <v>3</v>
      </c>
      <c r="H28" s="534">
        <v>4</v>
      </c>
      <c r="I28" s="506">
        <v>3</v>
      </c>
      <c r="J28" s="506">
        <f>'2016 Summary Table B'!$K$42</f>
        <v>30.940410558540755</v>
      </c>
      <c r="K28" s="506">
        <f>'2017 Summary Table B'!$K$42</f>
        <v>25.34278969316421</v>
      </c>
      <c r="L28" s="506" t="e">
        <f>'2019 Summary Table B'!$K$42</f>
        <v>#REF!</v>
      </c>
      <c r="M28" s="246" t="s">
        <v>69</v>
      </c>
      <c r="O28" s="180"/>
      <c r="P28" s="185"/>
      <c r="Q28" s="183"/>
      <c r="R28" s="183"/>
      <c r="S28" s="183"/>
      <c r="T28" s="244"/>
      <c r="U28" s="244"/>
    </row>
    <row r="29" spans="1:21" s="245" customFormat="1" x14ac:dyDescent="0.2">
      <c r="A29" s="245" t="s">
        <v>215</v>
      </c>
      <c r="B29" s="282">
        <f>SUM(B21/B28)</f>
        <v>13770</v>
      </c>
      <c r="C29" s="246" t="s">
        <v>195</v>
      </c>
      <c r="D29" s="282">
        <f>SUM(D21/D28)</f>
        <v>27460</v>
      </c>
      <c r="E29" s="282">
        <f>SUM(E21/E28)</f>
        <v>267976.66666666669</v>
      </c>
      <c r="F29" s="282">
        <f>SUM(F21/F28)</f>
        <v>76674</v>
      </c>
      <c r="G29" s="312">
        <f>G21/G28</f>
        <v>143368.33333333334</v>
      </c>
      <c r="H29" s="282">
        <f>SUM(H21/H28)</f>
        <v>2609</v>
      </c>
      <c r="I29" s="266">
        <f>SUM(I21/I28)</f>
        <v>155500</v>
      </c>
      <c r="J29" s="266">
        <f>SUM(J21/J28)</f>
        <v>25792.136000000002</v>
      </c>
      <c r="K29" s="266">
        <f>SUM(K21/K28)</f>
        <v>27149.616842105264</v>
      </c>
      <c r="L29" s="266" t="e">
        <f>SUM(L21/L28)</f>
        <v>#REF!</v>
      </c>
      <c r="M29" s="246" t="s">
        <v>70</v>
      </c>
      <c r="O29" s="180"/>
      <c r="P29" s="185"/>
      <c r="Q29" s="182"/>
      <c r="R29" s="182"/>
      <c r="S29" s="182"/>
      <c r="T29" s="244"/>
      <c r="U29" s="244"/>
    </row>
    <row r="30" spans="1:21" s="245" customFormat="1" x14ac:dyDescent="0.2">
      <c r="A30" s="245" t="s">
        <v>216</v>
      </c>
      <c r="B30" s="257">
        <f>SUM(B15/B28)</f>
        <v>9283</v>
      </c>
      <c r="C30" s="246" t="s">
        <v>195</v>
      </c>
      <c r="D30" s="257">
        <f>SUM(D15/D28)</f>
        <v>8389.15</v>
      </c>
      <c r="E30" s="257">
        <f>SUM(E15/E28)</f>
        <v>83603.37000000001</v>
      </c>
      <c r="F30" s="257">
        <f>SUM(F15/F28)</f>
        <v>506.5</v>
      </c>
      <c r="G30" s="283">
        <f>G15/G28</f>
        <v>-6811.5733333333337</v>
      </c>
      <c r="H30" s="530">
        <f>SUM(H15/H28)</f>
        <v>11623.157499999999</v>
      </c>
      <c r="I30" s="257">
        <f>SUM(I15/I28)</f>
        <v>63135.666666666664</v>
      </c>
      <c r="J30" s="257">
        <f>SUM(J15/J28)</f>
        <v>8112.3681124106561</v>
      </c>
      <c r="K30" s="257">
        <f>SUM(K15/K28)</f>
        <v>8411.5838303902201</v>
      </c>
      <c r="L30" s="257" t="e">
        <f>SUM(L15/L28)</f>
        <v>#REF!</v>
      </c>
      <c r="M30" s="246" t="s">
        <v>72</v>
      </c>
      <c r="O30" s="180"/>
      <c r="P30" s="185"/>
      <c r="Q30" s="182"/>
      <c r="R30" s="182"/>
      <c r="S30" s="182"/>
      <c r="T30" s="244"/>
      <c r="U30" s="244"/>
    </row>
    <row r="31" spans="1:21" s="245" customFormat="1" x14ac:dyDescent="0.2">
      <c r="A31" s="245" t="s">
        <v>217</v>
      </c>
      <c r="B31" s="257">
        <f>SUM(B26/B28)</f>
        <v>8240.1610291865381</v>
      </c>
      <c r="C31" s="246" t="s">
        <v>195</v>
      </c>
      <c r="D31" s="257">
        <f>SUM(D26/D28)</f>
        <v>16432.448936925372</v>
      </c>
      <c r="E31" s="257">
        <f>SUM(E26/E28)</f>
        <v>246476.55939446762</v>
      </c>
      <c r="F31" s="257">
        <f>SUM(F26/F28)</f>
        <v>45882.796423518426</v>
      </c>
      <c r="G31" s="283">
        <f>G26/G28</f>
        <v>79444.666666666672</v>
      </c>
      <c r="H31" s="530">
        <f>SUM(H26/H28)</f>
        <v>2127.75</v>
      </c>
      <c r="I31" s="257">
        <f>SUM(I26/I28)</f>
        <v>238736.66666666666</v>
      </c>
      <c r="J31" s="257">
        <f>SUM(J26/J28)</f>
        <v>25346.232980260113</v>
      </c>
      <c r="K31" s="257">
        <f>SUM(K26/K28)</f>
        <v>23076.193213580391</v>
      </c>
      <c r="L31" s="257" t="e">
        <f>SUM(L26/L28)</f>
        <v>#REF!</v>
      </c>
      <c r="M31" s="246" t="s">
        <v>73</v>
      </c>
      <c r="O31" s="244"/>
      <c r="P31" s="244"/>
      <c r="Q31" s="244"/>
      <c r="R31" s="244"/>
      <c r="S31" s="244"/>
      <c r="T31" s="244"/>
      <c r="U31" s="244"/>
    </row>
    <row r="32" spans="1:21" s="245" customFormat="1" ht="14.25" x14ac:dyDescent="0.2">
      <c r="A32" s="704" t="s">
        <v>324</v>
      </c>
      <c r="B32" s="945">
        <f t="shared" ref="B32:J32" si="4">B12/B21</f>
        <v>0.40217864923747276</v>
      </c>
      <c r="C32" s="246" t="s">
        <v>195</v>
      </c>
      <c r="D32" s="945">
        <f t="shared" si="4"/>
        <v>0.17756737072104881</v>
      </c>
      <c r="E32" s="945">
        <f t="shared" si="4"/>
        <v>0.3089350316569851</v>
      </c>
      <c r="F32" s="945">
        <f t="shared" si="4"/>
        <v>-7.4242898505360354E-3</v>
      </c>
      <c r="G32" s="945">
        <f t="shared" si="4"/>
        <v>-6.6658141616581998E-2</v>
      </c>
      <c r="H32" s="945">
        <f t="shared" si="4"/>
        <v>0.64641625143733228</v>
      </c>
      <c r="I32" s="945">
        <f t="shared" si="4"/>
        <v>0.32670310825294746</v>
      </c>
      <c r="J32" s="945">
        <f t="shared" si="4"/>
        <v>0.2571366455780682</v>
      </c>
      <c r="K32" s="945">
        <f>K12/K21</f>
        <v>0.24427981329916476</v>
      </c>
      <c r="L32" s="945" t="e">
        <f>L12/L21</f>
        <v>#REF!</v>
      </c>
      <c r="M32" s="557" t="s">
        <v>328</v>
      </c>
      <c r="O32" s="244"/>
      <c r="P32" s="244"/>
      <c r="Q32" s="244"/>
      <c r="R32" s="244"/>
      <c r="S32" s="244"/>
      <c r="T32" s="244"/>
      <c r="U32" s="244"/>
    </row>
    <row r="33" spans="1:21" s="245" customFormat="1" ht="14.25" x14ac:dyDescent="0.2">
      <c r="A33" s="704" t="s">
        <v>325</v>
      </c>
      <c r="B33" s="946">
        <f t="shared" ref="B33:J33" si="5">B13/B21</f>
        <v>4.1394335511982572E-2</v>
      </c>
      <c r="C33" s="246" t="s">
        <v>195</v>
      </c>
      <c r="D33" s="946">
        <f t="shared" si="5"/>
        <v>9.1846321922796799E-3</v>
      </c>
      <c r="E33" s="946">
        <f t="shared" si="5"/>
        <v>4.7128481335439651E-4</v>
      </c>
      <c r="F33" s="946">
        <f t="shared" si="5"/>
        <v>1.102068497795863E-3</v>
      </c>
      <c r="G33" s="946">
        <f t="shared" si="5"/>
        <v>3.7711721556364145E-3</v>
      </c>
      <c r="H33" s="946">
        <f t="shared" si="5"/>
        <v>0.35971636642391719</v>
      </c>
      <c r="I33" s="946">
        <f t="shared" si="5"/>
        <v>1.0718113612004287E-2</v>
      </c>
      <c r="J33" s="946">
        <f t="shared" si="5"/>
        <v>4.7179311432818064E-3</v>
      </c>
      <c r="K33" s="946">
        <f>K13/K21</f>
        <v>7.2669451111153508E-3</v>
      </c>
      <c r="L33" s="946" t="e">
        <f>L13/L21</f>
        <v>#REF!</v>
      </c>
      <c r="M33" s="557" t="s">
        <v>329</v>
      </c>
      <c r="O33" s="244"/>
      <c r="P33" s="244"/>
      <c r="Q33" s="244"/>
      <c r="R33" s="244"/>
      <c r="S33" s="244"/>
      <c r="T33" s="244"/>
      <c r="U33" s="244"/>
    </row>
    <row r="34" spans="1:21" s="245" customFormat="1" x14ac:dyDescent="0.2">
      <c r="A34" s="247"/>
      <c r="B34" s="265"/>
      <c r="C34" s="250"/>
      <c r="D34" s="250"/>
      <c r="I34" s="296"/>
      <c r="M34" s="296"/>
      <c r="N34" s="296"/>
      <c r="P34" s="180"/>
      <c r="Q34" s="185"/>
      <c r="R34" s="182"/>
      <c r="S34" s="182"/>
      <c r="T34" s="182"/>
      <c r="U34" s="244"/>
    </row>
    <row r="35" spans="1:21" s="245" customFormat="1" x14ac:dyDescent="0.2">
      <c r="A35" s="248" t="s">
        <v>194</v>
      </c>
      <c r="B35" s="270"/>
      <c r="C35" s="244"/>
      <c r="G35" s="276" t="s">
        <v>191</v>
      </c>
      <c r="M35" s="296"/>
      <c r="N35" s="296"/>
      <c r="P35" s="180"/>
      <c r="Q35" s="185"/>
      <c r="R35" s="182"/>
      <c r="S35" s="182"/>
      <c r="T35" s="182"/>
      <c r="U35" s="244"/>
    </row>
    <row r="36" spans="1:21" s="245" customFormat="1" x14ac:dyDescent="0.2">
      <c r="A36" s="273" t="s">
        <v>185</v>
      </c>
      <c r="B36" s="250" t="s">
        <v>1</v>
      </c>
      <c r="C36" s="250" t="s">
        <v>186</v>
      </c>
      <c r="D36" s="250" t="s">
        <v>18</v>
      </c>
      <c r="G36" s="273" t="s">
        <v>185</v>
      </c>
      <c r="H36" s="250" t="s">
        <v>188</v>
      </c>
      <c r="I36" s="250" t="s">
        <v>186</v>
      </c>
      <c r="J36" s="250" t="s">
        <v>189</v>
      </c>
      <c r="M36" s="296"/>
      <c r="N36" s="296"/>
    </row>
    <row r="37" spans="1:21" s="245" customFormat="1" x14ac:dyDescent="0.2">
      <c r="A37" s="273">
        <v>2008</v>
      </c>
      <c r="B37" s="313">
        <v>82146</v>
      </c>
      <c r="C37" s="569">
        <v>9283</v>
      </c>
      <c r="D37" s="512">
        <f t="shared" ref="D37:D43" si="6">IF(ISERROR(C37/B37),"-",(C37/B37))</f>
        <v>0.11300611107053295</v>
      </c>
      <c r="G37" s="273">
        <v>2008</v>
      </c>
      <c r="H37" s="246" t="s">
        <v>195</v>
      </c>
      <c r="I37" s="508">
        <v>1377</v>
      </c>
      <c r="J37" s="512" t="str">
        <f t="shared" ref="J37:J43" si="7">IF(ISERROR(I37/H37),"-",(I37/H37))</f>
        <v>-</v>
      </c>
      <c r="M37" s="296"/>
      <c r="N37" s="296"/>
    </row>
    <row r="38" spans="1:21" s="245" customFormat="1" x14ac:dyDescent="0.2">
      <c r="A38" s="273">
        <v>2009</v>
      </c>
      <c r="B38" s="274">
        <f>F15</f>
        <v>2026</v>
      </c>
      <c r="C38" s="313">
        <f>+C15</f>
        <v>2957.31</v>
      </c>
      <c r="D38" s="512">
        <f t="shared" si="6"/>
        <v>1.4596791707798618</v>
      </c>
      <c r="G38" s="273">
        <v>2009</v>
      </c>
      <c r="H38" s="278">
        <f>'2013 Summary Table B '!M36</f>
        <v>32251.495095913517</v>
      </c>
      <c r="I38" s="314">
        <f>+C20</f>
        <v>0</v>
      </c>
      <c r="J38" s="512">
        <f t="shared" si="7"/>
        <v>0</v>
      </c>
      <c r="M38" s="296"/>
      <c r="N38" s="296"/>
    </row>
    <row r="39" spans="1:21" s="245" customFormat="1" x14ac:dyDescent="0.2">
      <c r="A39" s="273">
        <v>2010</v>
      </c>
      <c r="B39" s="274">
        <v>50000</v>
      </c>
      <c r="C39" s="313">
        <v>8389.15</v>
      </c>
      <c r="D39" s="512">
        <f t="shared" si="6"/>
        <v>0.16778299999999999</v>
      </c>
      <c r="G39" s="273">
        <v>2010</v>
      </c>
      <c r="H39" s="278">
        <v>9691</v>
      </c>
      <c r="I39" s="508">
        <v>2746</v>
      </c>
      <c r="J39" s="512">
        <f t="shared" si="7"/>
        <v>0.28335569084717782</v>
      </c>
      <c r="M39" s="296"/>
      <c r="N39" s="296"/>
    </row>
    <row r="40" spans="1:21" s="245" customFormat="1" x14ac:dyDescent="0.2">
      <c r="A40" s="273">
        <v>2011</v>
      </c>
      <c r="B40" s="274">
        <v>100000</v>
      </c>
      <c r="C40" s="313">
        <v>250810.11000000002</v>
      </c>
      <c r="D40" s="512">
        <f t="shared" si="6"/>
        <v>2.5081011000000002</v>
      </c>
      <c r="G40" s="273">
        <v>2011</v>
      </c>
      <c r="H40" s="278">
        <v>18788</v>
      </c>
      <c r="I40" s="508">
        <v>58480</v>
      </c>
      <c r="J40" s="512">
        <f t="shared" si="7"/>
        <v>3.1126250798381947</v>
      </c>
      <c r="M40" s="296"/>
      <c r="N40" s="296"/>
    </row>
    <row r="41" spans="1:21" s="245" customFormat="1" x14ac:dyDescent="0.2">
      <c r="A41" s="273">
        <v>2012</v>
      </c>
      <c r="B41" s="313">
        <v>100000</v>
      </c>
      <c r="C41" s="566">
        <f>+F15</f>
        <v>2026</v>
      </c>
      <c r="D41" s="512">
        <f t="shared" si="6"/>
        <v>2.026E-2</v>
      </c>
      <c r="G41" s="273">
        <v>2012</v>
      </c>
      <c r="H41" s="536">
        <v>41135</v>
      </c>
      <c r="I41" s="278">
        <f>+F20</f>
        <v>35612</v>
      </c>
      <c r="J41" s="512">
        <f t="shared" si="7"/>
        <v>0.86573477573842228</v>
      </c>
      <c r="M41" s="296"/>
      <c r="N41" s="296"/>
    </row>
    <row r="42" spans="1:21" s="245" customFormat="1" x14ac:dyDescent="0.2">
      <c r="A42" s="273">
        <v>2013</v>
      </c>
      <c r="B42" s="309">
        <v>100000</v>
      </c>
      <c r="C42" s="313">
        <f>G15</f>
        <v>-20434.72</v>
      </c>
      <c r="D42" s="512">
        <f t="shared" si="6"/>
        <v>-0.20434720000000001</v>
      </c>
      <c r="G42" s="273">
        <v>2013</v>
      </c>
      <c r="H42" s="554">
        <v>32251</v>
      </c>
      <c r="I42" s="314">
        <f>G20</f>
        <v>86021</v>
      </c>
      <c r="J42" s="512">
        <f t="shared" si="7"/>
        <v>2.6672351244922639</v>
      </c>
      <c r="M42" s="296"/>
      <c r="N42" s="296"/>
    </row>
    <row r="43" spans="1:21" s="245" customFormat="1" x14ac:dyDescent="0.2">
      <c r="A43" s="273">
        <v>2014</v>
      </c>
      <c r="B43" s="274">
        <v>477726</v>
      </c>
      <c r="C43" s="274">
        <f>H15</f>
        <v>46492.63</v>
      </c>
      <c r="D43" s="275">
        <f t="shared" si="6"/>
        <v>9.7320702662195474E-2</v>
      </c>
      <c r="G43" s="273">
        <v>2014</v>
      </c>
      <c r="H43" s="562">
        <v>195049</v>
      </c>
      <c r="I43" s="278">
        <f>H20</f>
        <v>2087</v>
      </c>
      <c r="J43" s="275">
        <f t="shared" si="7"/>
        <v>1.0699875415921127E-2</v>
      </c>
      <c r="M43" s="296"/>
      <c r="N43" s="296"/>
    </row>
    <row r="44" spans="1:21" s="245" customFormat="1" x14ac:dyDescent="0.2">
      <c r="A44" s="273">
        <v>2015</v>
      </c>
      <c r="B44" s="274">
        <f>I15</f>
        <v>189407</v>
      </c>
      <c r="C44" s="274"/>
      <c r="D44" s="275"/>
      <c r="G44" s="273">
        <v>2015</v>
      </c>
      <c r="H44" s="562">
        <f>I20</f>
        <v>77750</v>
      </c>
      <c r="I44" s="278"/>
      <c r="J44" s="275"/>
      <c r="M44" s="296"/>
      <c r="N44" s="296"/>
    </row>
    <row r="45" spans="1:21" s="245" customFormat="1" x14ac:dyDescent="0.2">
      <c r="A45" s="273">
        <v>2016</v>
      </c>
      <c r="B45" s="309">
        <f>J15</f>
        <v>251000</v>
      </c>
      <c r="G45" s="273">
        <v>2016</v>
      </c>
      <c r="H45" s="562">
        <f>J20</f>
        <v>155950.97174702244</v>
      </c>
      <c r="I45" s="168"/>
      <c r="J45" s="168"/>
      <c r="M45" s="296"/>
      <c r="N45" s="296"/>
    </row>
    <row r="46" spans="1:21" s="245" customFormat="1" x14ac:dyDescent="0.2">
      <c r="A46" s="273">
        <v>2017</v>
      </c>
      <c r="B46" s="309">
        <f>K15</f>
        <v>213173</v>
      </c>
      <c r="G46" s="273">
        <v>2017</v>
      </c>
      <c r="H46" s="562">
        <f>K20</f>
        <v>134459.91344697113</v>
      </c>
      <c r="I46" s="168"/>
      <c r="J46" s="168"/>
      <c r="M46" s="296"/>
      <c r="N46" s="296"/>
    </row>
    <row r="47" spans="1:21" s="245" customFormat="1" x14ac:dyDescent="0.2">
      <c r="A47" s="273">
        <v>2018</v>
      </c>
      <c r="B47" s="309">
        <f>L15</f>
        <v>574068.54</v>
      </c>
      <c r="G47" s="273">
        <v>2018</v>
      </c>
      <c r="H47" s="562" t="e">
        <f>L20</f>
        <v>#REF!</v>
      </c>
      <c r="I47" s="168"/>
      <c r="J47" s="168"/>
      <c r="M47" s="296"/>
      <c r="N47" s="296"/>
    </row>
    <row r="48" spans="1:21" s="245" customFormat="1" x14ac:dyDescent="0.2">
      <c r="A48" s="273"/>
      <c r="G48" s="273"/>
      <c r="H48" s="168"/>
      <c r="I48" s="168"/>
      <c r="J48" s="168"/>
      <c r="M48" s="296"/>
      <c r="N48" s="296"/>
    </row>
    <row r="49" spans="1:14" s="245" customFormat="1" x14ac:dyDescent="0.2">
      <c r="A49" s="276" t="s">
        <v>193</v>
      </c>
      <c r="G49" s="276" t="s">
        <v>190</v>
      </c>
      <c r="H49" s="168"/>
      <c r="I49" s="168"/>
      <c r="J49" s="168"/>
      <c r="M49" s="296"/>
      <c r="N49" s="296"/>
    </row>
    <row r="50" spans="1:14" s="245" customFormat="1" x14ac:dyDescent="0.2">
      <c r="A50" s="273" t="s">
        <v>185</v>
      </c>
      <c r="B50" s="250" t="s">
        <v>188</v>
      </c>
      <c r="C50" s="250" t="s">
        <v>186</v>
      </c>
      <c r="D50" s="250" t="s">
        <v>189</v>
      </c>
      <c r="G50" s="273" t="s">
        <v>185</v>
      </c>
      <c r="H50" s="250" t="s">
        <v>188</v>
      </c>
      <c r="I50" s="250" t="s">
        <v>186</v>
      </c>
      <c r="J50" s="250" t="s">
        <v>189</v>
      </c>
      <c r="M50" s="296"/>
      <c r="N50" s="296"/>
    </row>
    <row r="51" spans="1:14" s="245" customFormat="1" x14ac:dyDescent="0.2">
      <c r="A51" s="273">
        <v>2008</v>
      </c>
      <c r="B51" s="314" t="s">
        <v>195</v>
      </c>
      <c r="C51" s="246">
        <v>1</v>
      </c>
      <c r="D51" s="512" t="str">
        <f t="shared" ref="D51:D57" si="8">IF(ISERROR(C51/B51),"-",(C51/B51))</f>
        <v>-</v>
      </c>
      <c r="G51" s="273">
        <v>2008</v>
      </c>
      <c r="H51" s="314" t="s">
        <v>195</v>
      </c>
      <c r="I51" s="314">
        <v>13770</v>
      </c>
      <c r="J51" s="512" t="str">
        <f t="shared" ref="J51:J57" si="9">IF(ISERROR(I51/H51),"-",(I51/H51))</f>
        <v>-</v>
      </c>
      <c r="M51" s="296"/>
      <c r="N51" s="296"/>
    </row>
    <row r="52" spans="1:14" s="245" customFormat="1" x14ac:dyDescent="0.2">
      <c r="A52" s="273">
        <v>2009</v>
      </c>
      <c r="B52" s="278">
        <f>'2013 Summary Table B '!K36</f>
        <v>1.398720310301363</v>
      </c>
      <c r="C52" s="536" t="str">
        <f>+C28</f>
        <v xml:space="preserve">n/a </v>
      </c>
      <c r="D52" s="512" t="str">
        <f t="shared" si="8"/>
        <v>-</v>
      </c>
      <c r="G52" s="273">
        <v>2009</v>
      </c>
      <c r="H52" s="278">
        <v>116318.37221931577</v>
      </c>
      <c r="I52" s="314">
        <f>+C21</f>
        <v>0</v>
      </c>
      <c r="J52" s="512">
        <f t="shared" si="9"/>
        <v>0</v>
      </c>
      <c r="M52" s="296"/>
      <c r="N52" s="296"/>
    </row>
    <row r="53" spans="1:14" s="245" customFormat="1" x14ac:dyDescent="0.2">
      <c r="A53" s="273">
        <v>2010</v>
      </c>
      <c r="B53" s="278">
        <v>6</v>
      </c>
      <c r="C53" s="536">
        <v>1</v>
      </c>
      <c r="D53" s="512">
        <f t="shared" si="8"/>
        <v>0.16666666666666666</v>
      </c>
      <c r="G53" s="273">
        <v>2010</v>
      </c>
      <c r="H53" s="278">
        <v>96912</v>
      </c>
      <c r="I53" s="314">
        <v>27460</v>
      </c>
      <c r="J53" s="512">
        <f t="shared" si="9"/>
        <v>0.28334984315667822</v>
      </c>
      <c r="M53" s="296"/>
      <c r="N53" s="296"/>
    </row>
    <row r="54" spans="1:14" s="245" customFormat="1" x14ac:dyDescent="0.2">
      <c r="A54" s="273">
        <v>2011</v>
      </c>
      <c r="B54" s="278">
        <v>5</v>
      </c>
      <c r="C54" s="536">
        <v>3</v>
      </c>
      <c r="D54" s="512">
        <f t="shared" si="8"/>
        <v>0.6</v>
      </c>
      <c r="G54" s="273">
        <v>2011</v>
      </c>
      <c r="H54" s="278">
        <v>150303</v>
      </c>
      <c r="I54" s="314">
        <v>803930</v>
      </c>
      <c r="J54" s="512">
        <f t="shared" si="9"/>
        <v>5.3487289009534074</v>
      </c>
      <c r="M54" s="296"/>
      <c r="N54" s="296"/>
    </row>
    <row r="55" spans="1:14" s="245" customFormat="1" x14ac:dyDescent="0.2">
      <c r="A55" s="273">
        <v>2012</v>
      </c>
      <c r="B55" s="314">
        <v>3</v>
      </c>
      <c r="C55" s="278">
        <f>+F28</f>
        <v>4</v>
      </c>
      <c r="D55" s="512">
        <f t="shared" si="8"/>
        <v>1.3333333333333333</v>
      </c>
      <c r="G55" s="273">
        <v>2012</v>
      </c>
      <c r="H55" s="314">
        <v>411354</v>
      </c>
      <c r="I55" s="314">
        <f>+F21</f>
        <v>306696</v>
      </c>
      <c r="J55" s="512">
        <f t="shared" si="9"/>
        <v>0.74557680246211289</v>
      </c>
      <c r="M55" s="296"/>
      <c r="N55" s="296"/>
    </row>
    <row r="56" spans="1:14" s="245" customFormat="1" x14ac:dyDescent="0.2">
      <c r="A56" s="273">
        <v>2013</v>
      </c>
      <c r="B56" s="314">
        <v>1</v>
      </c>
      <c r="C56" s="278">
        <f>G28</f>
        <v>3</v>
      </c>
      <c r="D56" s="512">
        <f t="shared" si="8"/>
        <v>3</v>
      </c>
      <c r="G56" s="273">
        <v>2013</v>
      </c>
      <c r="H56" s="314">
        <v>258012</v>
      </c>
      <c r="I56" s="314">
        <f>G21</f>
        <v>430105</v>
      </c>
      <c r="J56" s="512">
        <f t="shared" si="9"/>
        <v>1.6669961087081222</v>
      </c>
      <c r="M56" s="296"/>
      <c r="N56" s="296"/>
    </row>
    <row r="57" spans="1:14" s="245" customFormat="1" x14ac:dyDescent="0.2">
      <c r="A57" s="273">
        <v>2014</v>
      </c>
      <c r="B57" s="278">
        <v>8</v>
      </c>
      <c r="C57" s="278">
        <f>H28</f>
        <v>4</v>
      </c>
      <c r="D57" s="275">
        <f t="shared" si="8"/>
        <v>0.5</v>
      </c>
      <c r="G57" s="273">
        <v>2014</v>
      </c>
      <c r="H57" s="314">
        <v>1560393</v>
      </c>
      <c r="I57" s="278">
        <f>H21</f>
        <v>10436</v>
      </c>
      <c r="J57" s="275">
        <f t="shared" si="9"/>
        <v>6.6880587134138646E-3</v>
      </c>
      <c r="M57" s="296"/>
      <c r="N57" s="296"/>
    </row>
    <row r="58" spans="1:14" s="245" customFormat="1" x14ac:dyDescent="0.2">
      <c r="A58" s="273">
        <v>2015</v>
      </c>
      <c r="B58" s="278">
        <f>I28</f>
        <v>3</v>
      </c>
      <c r="C58" s="278"/>
      <c r="D58" s="275"/>
      <c r="G58" s="273">
        <v>2015</v>
      </c>
      <c r="H58" s="314">
        <f>I21</f>
        <v>466500</v>
      </c>
      <c r="I58" s="278"/>
      <c r="J58" s="275"/>
      <c r="M58" s="296"/>
      <c r="N58" s="296"/>
    </row>
    <row r="59" spans="1:14" s="245" customFormat="1" x14ac:dyDescent="0.2">
      <c r="A59" s="273">
        <v>2016</v>
      </c>
      <c r="B59" s="278">
        <f>J28</f>
        <v>30.940410558540755</v>
      </c>
      <c r="G59" s="273">
        <v>2016</v>
      </c>
      <c r="H59" s="314">
        <f>J21</f>
        <v>798019.27702171914</v>
      </c>
      <c r="I59" s="296"/>
      <c r="M59" s="296"/>
      <c r="N59" s="296"/>
    </row>
    <row r="60" spans="1:14" s="245" customFormat="1" x14ac:dyDescent="0.2">
      <c r="A60" s="273">
        <v>2017</v>
      </c>
      <c r="B60" s="278">
        <f>K28</f>
        <v>25.34278969316421</v>
      </c>
      <c r="G60" s="273">
        <v>2017</v>
      </c>
      <c r="H60" s="314">
        <f>K21</f>
        <v>688047.02987946279</v>
      </c>
      <c r="I60" s="296"/>
      <c r="M60" s="296"/>
      <c r="N60" s="296"/>
    </row>
    <row r="61" spans="1:14" s="245" customFormat="1" x14ac:dyDescent="0.2">
      <c r="A61" s="273">
        <v>2018</v>
      </c>
      <c r="B61" s="278" t="e">
        <f>L28</f>
        <v>#REF!</v>
      </c>
      <c r="G61" s="273">
        <v>2018</v>
      </c>
      <c r="H61" s="314" t="e">
        <f>L21</f>
        <v>#REF!</v>
      </c>
      <c r="I61" s="296"/>
      <c r="M61" s="296"/>
      <c r="N61" s="296"/>
    </row>
    <row r="62" spans="1:14" s="245" customFormat="1" x14ac:dyDescent="0.2">
      <c r="I62" s="296"/>
      <c r="M62" s="296"/>
      <c r="N62" s="296"/>
    </row>
    <row r="63" spans="1:14" s="245" customFormat="1" x14ac:dyDescent="0.2">
      <c r="I63" s="296"/>
      <c r="M63" s="296"/>
      <c r="N63" s="296"/>
    </row>
    <row r="64" spans="1:14" s="245" customFormat="1" x14ac:dyDescent="0.2">
      <c r="I64" s="296"/>
      <c r="M64" s="296"/>
      <c r="N64" s="296"/>
    </row>
    <row r="65" spans="5:14" s="245" customFormat="1" x14ac:dyDescent="0.2">
      <c r="I65" s="296"/>
      <c r="M65" s="296"/>
      <c r="N65" s="296"/>
    </row>
    <row r="66" spans="5:14" x14ac:dyDescent="0.2">
      <c r="E66" s="3"/>
      <c r="F66" s="3"/>
      <c r="G66" s="3"/>
      <c r="H66" s="3"/>
      <c r="I66" s="296"/>
      <c r="M66" s="296"/>
      <c r="N66" s="296"/>
    </row>
    <row r="67" spans="5:14" x14ac:dyDescent="0.2">
      <c r="E67" s="3"/>
      <c r="F67" s="3"/>
      <c r="G67" s="3"/>
      <c r="H67" s="3"/>
      <c r="I67" s="296"/>
      <c r="M67" s="296"/>
      <c r="N67" s="296"/>
    </row>
    <row r="68" spans="5:14" x14ac:dyDescent="0.2">
      <c r="E68" s="3"/>
      <c r="F68" s="3"/>
      <c r="G68" s="3"/>
      <c r="H68" s="3"/>
      <c r="I68" s="296"/>
      <c r="M68" s="296"/>
      <c r="N68" s="296"/>
    </row>
    <row r="69" spans="5:14" x14ac:dyDescent="0.2">
      <c r="E69" s="3"/>
      <c r="F69" s="3"/>
      <c r="G69" s="3"/>
      <c r="H69" s="3"/>
      <c r="I69" s="296"/>
      <c r="M69" s="296"/>
      <c r="N69" s="296"/>
    </row>
    <row r="70" spans="5:14" x14ac:dyDescent="0.2">
      <c r="I70" s="296"/>
      <c r="M70" s="296"/>
      <c r="N70" s="296"/>
    </row>
    <row r="71" spans="5:14" x14ac:dyDescent="0.2">
      <c r="I71" s="296"/>
      <c r="M71" s="296"/>
      <c r="N71" s="296"/>
    </row>
    <row r="72" spans="5:14" x14ac:dyDescent="0.2">
      <c r="I72" s="296"/>
      <c r="M72" s="296"/>
      <c r="N72" s="296"/>
    </row>
    <row r="73" spans="5:14" x14ac:dyDescent="0.2">
      <c r="I73" s="296"/>
      <c r="M73" s="296"/>
      <c r="N73" s="296"/>
    </row>
    <row r="74" spans="5:14" x14ac:dyDescent="0.2">
      <c r="I74" s="296"/>
      <c r="M74" s="296"/>
      <c r="N74" s="296"/>
    </row>
    <row r="75" spans="5:14" x14ac:dyDescent="0.2">
      <c r="I75" s="296"/>
      <c r="M75" s="296"/>
      <c r="N75" s="296"/>
    </row>
    <row r="76" spans="5:14" x14ac:dyDescent="0.2">
      <c r="I76" s="296"/>
      <c r="M76" s="296"/>
      <c r="N76" s="296"/>
    </row>
    <row r="77" spans="5:14" x14ac:dyDescent="0.2">
      <c r="I77" s="296"/>
      <c r="M77" s="296"/>
      <c r="N77" s="296"/>
    </row>
    <row r="78" spans="5:14" x14ac:dyDescent="0.2">
      <c r="I78" s="181"/>
      <c r="M78" s="181"/>
      <c r="N78" s="181"/>
    </row>
  </sheetData>
  <mergeCells count="1">
    <mergeCell ref="A1:M1"/>
  </mergeCells>
  <phoneticPr fontId="10" type="noConversion"/>
  <pageMargins left="0.98" right="0.75" top="1.1499999999999999" bottom="1" header="0.5" footer="0.5"/>
  <pageSetup scale="62" fitToHeight="0" orientation="landscape" r:id="rId1"/>
  <headerFooter alignWithMargins="0">
    <oddFooter>&amp;C&amp;1#&amp;"Calibri"&amp;12&amp;K008000Internal Use</oddFooter>
  </headerFooter>
  <rowBreaks count="1" manualBreakCount="1">
    <brk id="34" max="12"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6">
    <tabColor indexed="47"/>
    <pageSetUpPr fitToPage="1"/>
  </sheetPr>
  <dimension ref="A1:U62"/>
  <sheetViews>
    <sheetView zoomScaleNormal="100" workbookViewId="0">
      <selection activeCell="W61" sqref="W61"/>
    </sheetView>
  </sheetViews>
  <sheetFormatPr defaultRowHeight="12.75" x14ac:dyDescent="0.2"/>
  <cols>
    <col min="1" max="1" width="39.28515625" style="168" bestFit="1" customWidth="1"/>
    <col min="2" max="8" width="13.42578125" style="168" customWidth="1"/>
    <col min="9" max="9" width="9.5703125" style="168" bestFit="1" customWidth="1"/>
    <col min="10" max="11" width="9.85546875" style="168" bestFit="1" customWidth="1"/>
    <col min="12" max="12" width="13.28515625" style="245" bestFit="1" customWidth="1"/>
    <col min="13" max="14" width="9.85546875" style="168" customWidth="1"/>
    <col min="15" max="15" width="6.85546875"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76</v>
      </c>
      <c r="B1" s="3055"/>
      <c r="C1" s="3055"/>
      <c r="D1" s="3055"/>
      <c r="E1" s="3055"/>
      <c r="F1" s="3055"/>
      <c r="G1" s="3055"/>
      <c r="H1" s="3055"/>
      <c r="I1" s="3055"/>
      <c r="J1" s="1914"/>
      <c r="K1" s="1914"/>
      <c r="L1" s="1914"/>
      <c r="M1" s="1914"/>
      <c r="N1" s="1914"/>
      <c r="O1" s="1914"/>
    </row>
    <row r="2" spans="1:15" x14ac:dyDescent="0.2">
      <c r="A2" s="169"/>
    </row>
    <row r="3" spans="1:15" ht="15.75" x14ac:dyDescent="0.25">
      <c r="A3" s="172" t="s">
        <v>245</v>
      </c>
    </row>
    <row r="4" spans="1:15" x14ac:dyDescent="0.2">
      <c r="A4" s="169"/>
    </row>
    <row r="5" spans="1:15" x14ac:dyDescent="0.2">
      <c r="A5" s="173"/>
      <c r="C5" s="704"/>
      <c r="D5" s="794"/>
      <c r="E5" s="704"/>
      <c r="F5" s="704"/>
      <c r="G5" s="704"/>
      <c r="H5" s="704"/>
      <c r="L5" s="168"/>
    </row>
    <row r="6" spans="1:15" s="245" customFormat="1" x14ac:dyDescent="0.2">
      <c r="A6" s="242"/>
      <c r="B6" s="243">
        <v>2012</v>
      </c>
      <c r="C6" s="243">
        <v>2013</v>
      </c>
      <c r="D6" s="243">
        <v>2014</v>
      </c>
      <c r="E6" s="243">
        <v>2015</v>
      </c>
      <c r="F6" s="243">
        <v>2016</v>
      </c>
      <c r="G6" s="243">
        <v>2017</v>
      </c>
      <c r="H6" s="243">
        <v>2018</v>
      </c>
    </row>
    <row r="7" spans="1:15" s="245" customFormat="1" x14ac:dyDescent="0.2">
      <c r="A7" s="247" t="s">
        <v>44</v>
      </c>
      <c r="B7" s="248" t="s">
        <v>148</v>
      </c>
      <c r="C7" s="248" t="s">
        <v>148</v>
      </c>
      <c r="D7" s="248" t="s">
        <v>148</v>
      </c>
      <c r="E7" s="248" t="s">
        <v>1</v>
      </c>
      <c r="F7" s="248" t="s">
        <v>1</v>
      </c>
      <c r="G7" s="248" t="s">
        <v>1</v>
      </c>
      <c r="H7" s="248" t="s">
        <v>1</v>
      </c>
    </row>
    <row r="8" spans="1:15" s="245" customFormat="1" x14ac:dyDescent="0.2">
      <c r="A8" s="244"/>
      <c r="C8" s="704"/>
      <c r="E8" s="575"/>
      <c r="F8" s="575"/>
      <c r="G8" s="575"/>
      <c r="H8" s="575"/>
    </row>
    <row r="9" spans="1:15" s="245" customFormat="1" x14ac:dyDescent="0.2">
      <c r="A9" s="244" t="s">
        <v>53</v>
      </c>
      <c r="B9" s="252">
        <v>5900</v>
      </c>
      <c r="C9" s="252">
        <v>28750.480000000007</v>
      </c>
      <c r="D9" s="252">
        <v>47609.49000000018</v>
      </c>
      <c r="E9" s="252">
        <v>28000</v>
      </c>
      <c r="F9" s="252">
        <f>'CNG Table C 2016'!$C$28</f>
        <v>28000</v>
      </c>
      <c r="G9" s="252">
        <f>'CNG Table C 2017'!$C$28</f>
        <v>8032</v>
      </c>
      <c r="H9" s="252">
        <f>'CNG Table C 2019'!$C$27</f>
        <v>76395.5</v>
      </c>
    </row>
    <row r="10" spans="1:15" s="245" customFormat="1" x14ac:dyDescent="0.2">
      <c r="A10" s="244" t="s">
        <v>45</v>
      </c>
      <c r="B10" s="252">
        <v>910</v>
      </c>
      <c r="C10" s="252">
        <v>1829.9099999999999</v>
      </c>
      <c r="D10" s="252">
        <v>0</v>
      </c>
      <c r="E10" s="252">
        <v>10000</v>
      </c>
      <c r="F10" s="252">
        <f>'CNG Table C 2016'!$E$28</f>
        <v>13280</v>
      </c>
      <c r="G10" s="252">
        <f>'CNG Table C 2017'!$E$28</f>
        <v>10000</v>
      </c>
      <c r="H10" s="252">
        <f>'CNG Table C 2019'!$E$27</f>
        <v>10250.209999999999</v>
      </c>
    </row>
    <row r="11" spans="1:15" s="245" customFormat="1" x14ac:dyDescent="0.2">
      <c r="A11" s="244" t="s">
        <v>202</v>
      </c>
      <c r="B11" s="252">
        <v>0</v>
      </c>
      <c r="C11" s="252">
        <v>0</v>
      </c>
      <c r="D11" s="252">
        <v>0</v>
      </c>
      <c r="E11" s="252">
        <v>2000</v>
      </c>
      <c r="F11" s="252">
        <f>'CNG Table C 2016'!$D$28</f>
        <v>1273</v>
      </c>
      <c r="G11" s="252">
        <f>'CNG Table C 2017'!$D$28</f>
        <v>2000</v>
      </c>
      <c r="H11" s="252">
        <f>'CNG Table C 2019'!$D$27</f>
        <v>2000</v>
      </c>
    </row>
    <row r="12" spans="1:15" s="245" customFormat="1" ht="14.25" x14ac:dyDescent="0.2">
      <c r="A12" s="244" t="s">
        <v>2</v>
      </c>
      <c r="B12" s="252">
        <v>44246</v>
      </c>
      <c r="C12" s="252">
        <v>151830.71</v>
      </c>
      <c r="D12" s="252">
        <v>129032.37</v>
      </c>
      <c r="E12" s="257">
        <v>183512</v>
      </c>
      <c r="F12" s="257">
        <f>'CNG Table C 2016'!$F$28</f>
        <v>208129</v>
      </c>
      <c r="G12" s="257">
        <f>'CNG Table C 2017'!$F$28</f>
        <v>192711</v>
      </c>
      <c r="H12" s="257">
        <f>'CNG Table C 2019'!$F$27</f>
        <v>164718.41</v>
      </c>
      <c r="I12" s="947" t="s">
        <v>326</v>
      </c>
    </row>
    <row r="13" spans="1:15" s="245" customFormat="1" ht="14.25" x14ac:dyDescent="0.2">
      <c r="A13" s="244" t="s">
        <v>14</v>
      </c>
      <c r="B13" s="252">
        <v>0</v>
      </c>
      <c r="C13" s="252">
        <v>6283.6</v>
      </c>
      <c r="D13" s="252">
        <v>1613</v>
      </c>
      <c r="E13" s="252">
        <v>5000</v>
      </c>
      <c r="F13" s="252">
        <f>'CNG Table C 2016'!$G$28</f>
        <v>2545</v>
      </c>
      <c r="G13" s="252">
        <f>'CNG Table C 2017'!$G$28</f>
        <v>21372</v>
      </c>
      <c r="H13" s="252">
        <f>'CNG Table C 2019'!$G$27</f>
        <v>21372</v>
      </c>
      <c r="I13" s="947" t="s">
        <v>327</v>
      </c>
    </row>
    <row r="14" spans="1:15" s="245" customFormat="1" ht="15" x14ac:dyDescent="0.35">
      <c r="A14" s="244" t="s">
        <v>46</v>
      </c>
      <c r="B14" s="256">
        <v>0</v>
      </c>
      <c r="C14" s="256">
        <v>21865.77</v>
      </c>
      <c r="D14" s="256">
        <v>20994.75</v>
      </c>
      <c r="E14" s="256">
        <v>5000</v>
      </c>
      <c r="F14" s="256">
        <f>'CNG Table C 2016'!$H$28</f>
        <v>1273</v>
      </c>
      <c r="G14" s="256">
        <f>'CNG Table C 2017'!$H$28</f>
        <v>5000</v>
      </c>
      <c r="H14" s="256">
        <f>'CNG Table C 2019'!$H$27</f>
        <v>60000</v>
      </c>
    </row>
    <row r="15" spans="1:15" s="245" customFormat="1" x14ac:dyDescent="0.2">
      <c r="A15" s="244" t="s">
        <v>86</v>
      </c>
      <c r="B15" s="252">
        <f t="shared" ref="B15:H15" si="0">SUM(B9:B14)</f>
        <v>51056</v>
      </c>
      <c r="C15" s="705">
        <f t="shared" si="0"/>
        <v>210560.47</v>
      </c>
      <c r="D15" s="252">
        <f t="shared" si="0"/>
        <v>199249.61000000016</v>
      </c>
      <c r="E15" s="504">
        <f t="shared" si="0"/>
        <v>233512</v>
      </c>
      <c r="F15" s="504">
        <f t="shared" si="0"/>
        <v>254500</v>
      </c>
      <c r="G15" s="504">
        <f t="shared" si="0"/>
        <v>239115</v>
      </c>
      <c r="H15" s="504">
        <f t="shared" si="0"/>
        <v>334736.12</v>
      </c>
      <c r="I15" s="246" t="s">
        <v>201</v>
      </c>
    </row>
    <row r="16" spans="1:15" s="245" customFormat="1" x14ac:dyDescent="0.2">
      <c r="A16" s="244"/>
      <c r="C16" s="704"/>
      <c r="D16" s="255"/>
      <c r="E16" s="284"/>
      <c r="F16" s="284"/>
      <c r="G16" s="284"/>
      <c r="H16" s="284"/>
    </row>
    <row r="17" spans="1:17" s="245" customFormat="1" ht="15" x14ac:dyDescent="0.35">
      <c r="A17" s="262"/>
      <c r="C17" s="704"/>
      <c r="E17" s="294"/>
      <c r="F17" s="294"/>
      <c r="G17" s="294"/>
      <c r="H17" s="294"/>
      <c r="I17" s="263"/>
    </row>
    <row r="18" spans="1:17" s="245" customFormat="1" x14ac:dyDescent="0.2">
      <c r="A18" s="247" t="s">
        <v>83</v>
      </c>
      <c r="B18" s="264" t="s">
        <v>480</v>
      </c>
      <c r="C18" s="264" t="s">
        <v>569</v>
      </c>
      <c r="D18" s="264" t="s">
        <v>570</v>
      </c>
      <c r="E18" s="264" t="s">
        <v>334</v>
      </c>
      <c r="F18" s="264" t="s">
        <v>564</v>
      </c>
      <c r="G18" s="264" t="s">
        <v>565</v>
      </c>
      <c r="H18" s="264" t="s">
        <v>566</v>
      </c>
      <c r="I18" s="246"/>
      <c r="K18" s="244"/>
      <c r="L18" s="244"/>
      <c r="M18" s="244"/>
      <c r="N18" s="244"/>
      <c r="O18" s="244"/>
      <c r="P18" s="244"/>
      <c r="Q18" s="244"/>
    </row>
    <row r="19" spans="1:17" s="245" customFormat="1" x14ac:dyDescent="0.2">
      <c r="C19" s="704"/>
      <c r="E19" s="180"/>
      <c r="F19" s="180"/>
      <c r="G19" s="180"/>
      <c r="H19" s="180"/>
      <c r="I19" s="246"/>
      <c r="K19" s="186"/>
      <c r="L19" s="186"/>
      <c r="M19" s="180"/>
      <c r="N19" s="180"/>
      <c r="O19" s="180"/>
      <c r="P19" s="244"/>
      <c r="Q19" s="244"/>
    </row>
    <row r="20" spans="1:17" s="245" customFormat="1" x14ac:dyDescent="0.2">
      <c r="A20" s="245" t="s">
        <v>49</v>
      </c>
      <c r="B20" s="267">
        <v>19081</v>
      </c>
      <c r="C20" s="555">
        <v>33226</v>
      </c>
      <c r="D20" s="531">
        <v>14430</v>
      </c>
      <c r="E20" s="506">
        <v>65845</v>
      </c>
      <c r="F20" s="506">
        <f>'2016 Summary Table B'!$M$45</f>
        <v>57456.795886546759</v>
      </c>
      <c r="G20" s="506">
        <f>'2017 Summary Table B'!$M$45</f>
        <v>55114.102743642012</v>
      </c>
      <c r="H20" s="506" t="e">
        <f>'2019 Summary Table B'!$M$45</f>
        <v>#REF!</v>
      </c>
      <c r="I20" s="246" t="s">
        <v>64</v>
      </c>
      <c r="K20" s="186"/>
      <c r="L20" s="186"/>
      <c r="M20" s="187"/>
      <c r="N20" s="187"/>
      <c r="O20" s="187"/>
      <c r="P20" s="244"/>
      <c r="Q20" s="244"/>
    </row>
    <row r="21" spans="1:17" s="245" customFormat="1" x14ac:dyDescent="0.2">
      <c r="A21" s="245" t="s">
        <v>50</v>
      </c>
      <c r="B21" s="267">
        <v>192819</v>
      </c>
      <c r="C21" s="555">
        <v>442210</v>
      </c>
      <c r="D21" s="531">
        <v>217159</v>
      </c>
      <c r="E21" s="506">
        <v>741929</v>
      </c>
      <c r="F21" s="506">
        <f>'2016 Summary Table B'!$N$45</f>
        <v>859932.15944450011</v>
      </c>
      <c r="G21" s="506">
        <f>'2017 Summary Table B'!$N$45</f>
        <v>815365.71720952215</v>
      </c>
      <c r="H21" s="506" t="e">
        <f>'2019 Summary Table B'!$N$45</f>
        <v>#REF!</v>
      </c>
      <c r="I21" s="246" t="s">
        <v>10</v>
      </c>
      <c r="K21" s="180"/>
      <c r="L21" s="185"/>
      <c r="M21" s="182"/>
      <c r="N21" s="182"/>
      <c r="O21" s="182"/>
      <c r="P21" s="244"/>
      <c r="Q21" s="244"/>
    </row>
    <row r="22" spans="1:17" s="245" customFormat="1" x14ac:dyDescent="0.2">
      <c r="C22" s="704"/>
      <c r="D22" s="527"/>
      <c r="E22" s="180"/>
      <c r="F22" s="180"/>
      <c r="G22" s="180"/>
      <c r="H22" s="180"/>
      <c r="I22" s="246"/>
      <c r="K22" s="180"/>
      <c r="L22" s="185"/>
      <c r="M22" s="183"/>
      <c r="N22" s="183"/>
      <c r="O22" s="183"/>
      <c r="P22" s="244"/>
      <c r="Q22" s="244"/>
    </row>
    <row r="23" spans="1:17" s="245" customFormat="1" x14ac:dyDescent="0.2">
      <c r="A23" s="245" t="s">
        <v>51</v>
      </c>
      <c r="B23" s="269">
        <f t="shared" ref="B23:H23" si="1">SUM(B15/B20)</f>
        <v>2.6757507468162047</v>
      </c>
      <c r="C23" s="269">
        <f t="shared" si="1"/>
        <v>6.3372199482333116</v>
      </c>
      <c r="D23" s="528">
        <f t="shared" si="1"/>
        <v>13.808011781011793</v>
      </c>
      <c r="E23" s="269">
        <f t="shared" si="1"/>
        <v>3.5463892474751311</v>
      </c>
      <c r="F23" s="269">
        <f t="shared" si="1"/>
        <v>4.4294151122267849</v>
      </c>
      <c r="G23" s="269">
        <f t="shared" si="1"/>
        <v>4.3385447298710567</v>
      </c>
      <c r="H23" s="269" t="e">
        <f t="shared" si="1"/>
        <v>#REF!</v>
      </c>
      <c r="I23" s="246" t="s">
        <v>65</v>
      </c>
      <c r="K23" s="180"/>
      <c r="L23" s="185"/>
      <c r="M23" s="183"/>
      <c r="N23" s="183"/>
      <c r="O23" s="183"/>
      <c r="P23" s="244"/>
      <c r="Q23" s="244"/>
    </row>
    <row r="24" spans="1:17" s="245" customFormat="1" x14ac:dyDescent="0.2">
      <c r="A24" s="245" t="s">
        <v>52</v>
      </c>
      <c r="B24" s="269">
        <f t="shared" ref="B24:H24" si="2">SUM(B15/B21)</f>
        <v>0.26478718383561783</v>
      </c>
      <c r="C24" s="269">
        <f t="shared" si="2"/>
        <v>0.476154926392438</v>
      </c>
      <c r="D24" s="528">
        <f t="shared" si="2"/>
        <v>0.91752867714439723</v>
      </c>
      <c r="E24" s="269">
        <f t="shared" si="2"/>
        <v>0.3147363157391071</v>
      </c>
      <c r="F24" s="269">
        <f t="shared" si="2"/>
        <v>0.29595357866881289</v>
      </c>
      <c r="G24" s="269">
        <f t="shared" si="2"/>
        <v>0.29326104219630234</v>
      </c>
      <c r="H24" s="269" t="e">
        <f t="shared" si="2"/>
        <v>#REF!</v>
      </c>
      <c r="I24" s="246" t="s">
        <v>66</v>
      </c>
      <c r="K24" s="180"/>
      <c r="L24" s="185"/>
      <c r="M24" s="184"/>
      <c r="N24" s="184"/>
      <c r="O24" s="184"/>
      <c r="P24" s="244"/>
      <c r="Q24" s="244"/>
    </row>
    <row r="25" spans="1:17" s="245" customFormat="1" x14ac:dyDescent="0.2">
      <c r="C25" s="704"/>
      <c r="D25" s="249"/>
      <c r="I25" s="246"/>
      <c r="K25" s="180"/>
      <c r="L25" s="185"/>
      <c r="M25" s="182"/>
      <c r="N25" s="182"/>
      <c r="O25" s="182"/>
      <c r="P25" s="244"/>
      <c r="Q25" s="244"/>
    </row>
    <row r="26" spans="1:17" s="245" customFormat="1" x14ac:dyDescent="0.2">
      <c r="A26" s="245" t="s">
        <v>84</v>
      </c>
      <c r="B26" s="257">
        <f>+B21/389894*217422</f>
        <v>107524.3338394538</v>
      </c>
      <c r="C26" s="706">
        <v>241597</v>
      </c>
      <c r="D26" s="257">
        <v>176880</v>
      </c>
      <c r="E26" s="747">
        <v>827633</v>
      </c>
      <c r="F26" s="747">
        <f>'2016 Summary Table B'!$F$45</f>
        <v>649193.13349480811</v>
      </c>
      <c r="G26" s="747">
        <f>'2017 Summary Table B'!$F$45</f>
        <v>575224.37079813902</v>
      </c>
      <c r="H26" s="747" t="e">
        <f>'2019 Summary Table B'!$F$45</f>
        <v>#REF!</v>
      </c>
      <c r="I26" s="246" t="s">
        <v>67</v>
      </c>
      <c r="K26" s="180"/>
      <c r="L26" s="185"/>
      <c r="M26" s="185"/>
      <c r="N26" s="185"/>
      <c r="O26" s="185"/>
      <c r="P26" s="244"/>
      <c r="Q26" s="244"/>
    </row>
    <row r="27" spans="1:17" s="245" customFormat="1" x14ac:dyDescent="0.2">
      <c r="A27" s="245" t="s">
        <v>85</v>
      </c>
      <c r="B27" s="271">
        <f t="shared" ref="B27:H27" si="3">SUM(B26/B15)</f>
        <v>2.1060077922174436</v>
      </c>
      <c r="C27" s="271">
        <f t="shared" si="3"/>
        <v>1.1473996044936641</v>
      </c>
      <c r="D27" s="529">
        <f t="shared" si="3"/>
        <v>0.88773072127970465</v>
      </c>
      <c r="E27" s="271">
        <f t="shared" si="3"/>
        <v>3.5442846620302171</v>
      </c>
      <c r="F27" s="271">
        <f t="shared" si="3"/>
        <v>2.550857106069973</v>
      </c>
      <c r="G27" s="271">
        <f t="shared" si="3"/>
        <v>2.405639005491663</v>
      </c>
      <c r="H27" s="271" t="e">
        <f t="shared" si="3"/>
        <v>#REF!</v>
      </c>
      <c r="I27" s="246" t="s">
        <v>68</v>
      </c>
      <c r="K27" s="180"/>
      <c r="L27" s="185"/>
      <c r="M27" s="183"/>
      <c r="N27" s="185"/>
      <c r="O27" s="183"/>
      <c r="P27" s="244"/>
      <c r="Q27" s="244"/>
    </row>
    <row r="28" spans="1:17" s="245" customFormat="1" x14ac:dyDescent="0.2">
      <c r="A28" s="245" t="s">
        <v>214</v>
      </c>
      <c r="B28" s="281">
        <v>9</v>
      </c>
      <c r="C28" s="799">
        <v>20</v>
      </c>
      <c r="D28" s="534">
        <v>24</v>
      </c>
      <c r="E28" s="506">
        <v>9</v>
      </c>
      <c r="F28" s="506">
        <f>'2016 Summary Table B'!$K$45</f>
        <v>65.740349640338096</v>
      </c>
      <c r="G28" s="506">
        <f>'2017 Summary Table B'!$K$45</f>
        <v>60.870366549299682</v>
      </c>
      <c r="H28" s="506" t="e">
        <f>'2019 Summary Table B'!$K$45</f>
        <v>#REF!</v>
      </c>
      <c r="I28" s="246" t="s">
        <v>69</v>
      </c>
      <c r="K28" s="180"/>
      <c r="L28" s="185"/>
      <c r="M28" s="183"/>
      <c r="N28" s="183"/>
      <c r="O28" s="183"/>
      <c r="P28" s="244"/>
      <c r="Q28" s="244"/>
    </row>
    <row r="29" spans="1:17" s="245" customFormat="1" x14ac:dyDescent="0.2">
      <c r="A29" s="245" t="s">
        <v>215</v>
      </c>
      <c r="B29" s="282">
        <f>SUM(B21/B28)</f>
        <v>21424.333333333332</v>
      </c>
      <c r="C29" s="312">
        <f>C21/C28</f>
        <v>22110.5</v>
      </c>
      <c r="D29" s="282">
        <f>SUM(D21/D28)</f>
        <v>9048.2916666666661</v>
      </c>
      <c r="E29" s="266">
        <f>SUM(E21/E28)</f>
        <v>82436.555555555562</v>
      </c>
      <c r="F29" s="266">
        <f>SUM(F21/F28)</f>
        <v>13080.736019037662</v>
      </c>
      <c r="G29" s="266">
        <f>SUM(G21/G28)</f>
        <v>13395.117582364928</v>
      </c>
      <c r="H29" s="266" t="e">
        <f>SUM(H21/H28)</f>
        <v>#REF!</v>
      </c>
      <c r="I29" s="246" t="s">
        <v>70</v>
      </c>
      <c r="K29" s="180"/>
      <c r="L29" s="185"/>
      <c r="M29" s="182"/>
      <c r="N29" s="182"/>
      <c r="O29" s="182"/>
      <c r="P29" s="244"/>
      <c r="Q29" s="244"/>
    </row>
    <row r="30" spans="1:17" s="245" customFormat="1" x14ac:dyDescent="0.2">
      <c r="A30" s="245" t="s">
        <v>216</v>
      </c>
      <c r="B30" s="257">
        <f>SUM(B15/B28)</f>
        <v>5672.8888888888887</v>
      </c>
      <c r="C30" s="283">
        <f>C15/C28</f>
        <v>10528.023499999999</v>
      </c>
      <c r="D30" s="530">
        <f>SUM(D15/D28)</f>
        <v>8302.0670833333406</v>
      </c>
      <c r="E30" s="257">
        <f>SUM(E15/E28)</f>
        <v>25945.777777777777</v>
      </c>
      <c r="F30" s="257">
        <f>SUM(F15/F28)</f>
        <v>3871.2906364562368</v>
      </c>
      <c r="G30" s="257">
        <f>SUM(G15/G28)</f>
        <v>3928.2661425463525</v>
      </c>
      <c r="H30" s="257" t="e">
        <f>SUM(H15/H28)</f>
        <v>#REF!</v>
      </c>
      <c r="I30" s="246" t="s">
        <v>72</v>
      </c>
      <c r="K30" s="180"/>
      <c r="L30" s="185"/>
      <c r="M30" s="182"/>
      <c r="N30" s="182"/>
      <c r="O30" s="182"/>
      <c r="P30" s="244"/>
      <c r="Q30" s="244"/>
    </row>
    <row r="31" spans="1:17" s="245" customFormat="1" x14ac:dyDescent="0.2">
      <c r="A31" s="245" t="s">
        <v>217</v>
      </c>
      <c r="B31" s="257">
        <f>SUM(B26/B28)</f>
        <v>11947.148204383755</v>
      </c>
      <c r="C31" s="283">
        <f>C26/C28</f>
        <v>12079.85</v>
      </c>
      <c r="D31" s="530">
        <f>SUM(D26/D28)</f>
        <v>7370</v>
      </c>
      <c r="E31" s="257">
        <f>SUM(E26/E28)</f>
        <v>91959.222222222219</v>
      </c>
      <c r="F31" s="257">
        <f>SUM(F26/F28)</f>
        <v>9875.1092296665392</v>
      </c>
      <c r="G31" s="257">
        <f>SUM(G26/G28)</f>
        <v>9449.9902564617787</v>
      </c>
      <c r="H31" s="257" t="e">
        <f>SUM(H26/H28)</f>
        <v>#REF!</v>
      </c>
      <c r="I31" s="246" t="s">
        <v>73</v>
      </c>
      <c r="K31" s="244"/>
      <c r="L31" s="244"/>
      <c r="M31" s="244"/>
      <c r="N31" s="244"/>
      <c r="O31" s="244"/>
      <c r="P31" s="244"/>
      <c r="Q31" s="244"/>
    </row>
    <row r="32" spans="1:17" s="245" customFormat="1" ht="14.25" x14ac:dyDescent="0.2">
      <c r="A32" s="704" t="s">
        <v>324</v>
      </c>
      <c r="B32" s="945">
        <f t="shared" ref="B32:H32" si="4">B12/B21</f>
        <v>0.22946908758991594</v>
      </c>
      <c r="C32" s="945">
        <f t="shared" si="4"/>
        <v>0.34334526582392977</v>
      </c>
      <c r="D32" s="945">
        <f t="shared" si="4"/>
        <v>0.59418384685875325</v>
      </c>
      <c r="E32" s="945">
        <f t="shared" si="4"/>
        <v>0.24734442244473528</v>
      </c>
      <c r="F32" s="945">
        <f t="shared" si="4"/>
        <v>0.24202955746468116</v>
      </c>
      <c r="G32" s="945">
        <f t="shared" si="4"/>
        <v>0.2363491571113967</v>
      </c>
      <c r="H32" s="945" t="e">
        <f t="shared" si="4"/>
        <v>#REF!</v>
      </c>
      <c r="I32" s="557" t="s">
        <v>328</v>
      </c>
      <c r="K32" s="244"/>
      <c r="L32" s="244"/>
      <c r="M32" s="244"/>
      <c r="N32" s="244"/>
      <c r="O32" s="244"/>
      <c r="P32" s="244"/>
      <c r="Q32" s="244"/>
    </row>
    <row r="33" spans="1:21" s="245" customFormat="1" ht="14.25" x14ac:dyDescent="0.2">
      <c r="A33" s="704" t="s">
        <v>325</v>
      </c>
      <c r="B33" s="946">
        <f t="shared" ref="B33:H33" si="5">B13/B21</f>
        <v>0</v>
      </c>
      <c r="C33" s="946">
        <f t="shared" si="5"/>
        <v>1.4209538454580404E-2</v>
      </c>
      <c r="D33" s="946">
        <f t="shared" si="5"/>
        <v>7.4277372800574696E-3</v>
      </c>
      <c r="E33" s="946">
        <f t="shared" si="5"/>
        <v>6.7391893294371837E-3</v>
      </c>
      <c r="F33" s="946">
        <f t="shared" si="5"/>
        <v>2.9595357866881288E-3</v>
      </c>
      <c r="G33" s="946">
        <f t="shared" si="5"/>
        <v>2.6211550901530115E-2</v>
      </c>
      <c r="H33" s="946" t="e">
        <f t="shared" si="5"/>
        <v>#REF!</v>
      </c>
      <c r="I33" s="557" t="s">
        <v>329</v>
      </c>
      <c r="K33" s="244"/>
      <c r="L33" s="244"/>
      <c r="M33" s="244"/>
      <c r="N33" s="244"/>
      <c r="O33" s="244"/>
      <c r="P33" s="244"/>
      <c r="Q33" s="244"/>
    </row>
    <row r="34" spans="1:21" s="245" customFormat="1" x14ac:dyDescent="0.2">
      <c r="A34" s="247"/>
      <c r="B34" s="265"/>
      <c r="C34" s="250"/>
      <c r="D34" s="250"/>
      <c r="K34" s="557"/>
      <c r="M34" s="557"/>
      <c r="N34" s="557"/>
      <c r="P34" s="180"/>
      <c r="Q34" s="185"/>
      <c r="R34" s="182"/>
      <c r="S34" s="182"/>
      <c r="T34" s="182"/>
      <c r="U34" s="244"/>
    </row>
    <row r="35" spans="1:21" s="245" customFormat="1" x14ac:dyDescent="0.2">
      <c r="A35" s="248" t="s">
        <v>194</v>
      </c>
      <c r="B35" s="270"/>
      <c r="C35" s="244"/>
      <c r="F35" s="276" t="s">
        <v>191</v>
      </c>
      <c r="K35" s="557"/>
      <c r="M35" s="557"/>
      <c r="N35" s="557"/>
      <c r="P35" s="180"/>
      <c r="Q35" s="185"/>
      <c r="R35" s="182"/>
      <c r="S35" s="182"/>
      <c r="T35" s="182"/>
      <c r="U35" s="244"/>
    </row>
    <row r="36" spans="1:21" s="245" customFormat="1" x14ac:dyDescent="0.2">
      <c r="A36" s="273" t="s">
        <v>185</v>
      </c>
      <c r="B36" s="250" t="s">
        <v>1</v>
      </c>
      <c r="C36" s="250" t="s">
        <v>186</v>
      </c>
      <c r="D36" s="250" t="s">
        <v>18</v>
      </c>
      <c r="F36" s="273" t="s">
        <v>185</v>
      </c>
      <c r="G36" s="250" t="s">
        <v>188</v>
      </c>
      <c r="H36" s="250" t="s">
        <v>186</v>
      </c>
      <c r="I36" s="250" t="s">
        <v>189</v>
      </c>
      <c r="K36" s="557"/>
      <c r="M36" s="557"/>
      <c r="N36" s="557"/>
    </row>
    <row r="37" spans="1:21" s="245" customFormat="1" x14ac:dyDescent="0.2">
      <c r="A37" s="273">
        <v>2012</v>
      </c>
      <c r="B37" s="313">
        <v>100000</v>
      </c>
      <c r="C37" s="283">
        <f>+B15</f>
        <v>51056</v>
      </c>
      <c r="D37" s="512">
        <f>IF(ISERROR(C37/B37),"-",(C37/B37))</f>
        <v>0.51056000000000001</v>
      </c>
      <c r="F37" s="273">
        <v>2012</v>
      </c>
      <c r="G37" s="536">
        <v>33896</v>
      </c>
      <c r="H37" s="554">
        <f>+B20</f>
        <v>19081</v>
      </c>
      <c r="I37" s="512">
        <f>IF(ISERROR(H37/G37),"-",(H37/G37))</f>
        <v>0.56292777908897806</v>
      </c>
      <c r="K37" s="557"/>
      <c r="M37" s="557"/>
      <c r="N37" s="557"/>
    </row>
    <row r="38" spans="1:21" s="245" customFormat="1" x14ac:dyDescent="0.2">
      <c r="A38" s="273">
        <v>2013</v>
      </c>
      <c r="B38" s="313">
        <v>100000</v>
      </c>
      <c r="C38" s="283">
        <f>C15</f>
        <v>210560.47</v>
      </c>
      <c r="D38" s="512">
        <f>IF(ISERROR(C38/B38),"-",(C38/B38))</f>
        <v>2.1056047000000002</v>
      </c>
      <c r="F38" s="273">
        <v>2013</v>
      </c>
      <c r="G38" s="554">
        <v>27592</v>
      </c>
      <c r="H38" s="536">
        <f>C20</f>
        <v>33226</v>
      </c>
      <c r="I38" s="512">
        <f>IF(ISERROR(H38/G38),"-",(H38/G38))</f>
        <v>1.2041896201797622</v>
      </c>
      <c r="K38" s="557"/>
      <c r="M38" s="557"/>
      <c r="N38" s="557"/>
    </row>
    <row r="39" spans="1:21" s="245" customFormat="1" x14ac:dyDescent="0.2">
      <c r="A39" s="273">
        <v>2014</v>
      </c>
      <c r="B39" s="274">
        <v>160008</v>
      </c>
      <c r="C39" s="274">
        <f>D15</f>
        <v>199249.61000000016</v>
      </c>
      <c r="D39" s="275">
        <f>IF(ISERROR(C39/B39),"-",(C39/B39))</f>
        <v>1.2452478001099956</v>
      </c>
      <c r="F39" s="273">
        <v>2014</v>
      </c>
      <c r="G39" s="562">
        <v>38692</v>
      </c>
      <c r="H39" s="278">
        <f>D20</f>
        <v>14430</v>
      </c>
      <c r="I39" s="275">
        <f>IF(ISERROR(H39/G39),"-",(H39/G39))</f>
        <v>0.37294531169233952</v>
      </c>
      <c r="K39" s="557"/>
      <c r="M39" s="557"/>
      <c r="N39" s="557"/>
    </row>
    <row r="40" spans="1:21" s="245" customFormat="1" x14ac:dyDescent="0.2">
      <c r="A40" s="273">
        <v>2015</v>
      </c>
      <c r="B40" s="274">
        <f>E15</f>
        <v>233512</v>
      </c>
      <c r="C40" s="274"/>
      <c r="D40" s="275"/>
      <c r="F40" s="273">
        <v>2015</v>
      </c>
      <c r="G40" s="562">
        <f>E20</f>
        <v>65845</v>
      </c>
      <c r="H40" s="278"/>
      <c r="I40" s="275"/>
      <c r="K40" s="557"/>
      <c r="M40" s="557"/>
      <c r="N40" s="557"/>
    </row>
    <row r="41" spans="1:21" s="245" customFormat="1" x14ac:dyDescent="0.2">
      <c r="A41" s="273">
        <v>2016</v>
      </c>
      <c r="B41" s="309">
        <f>F15</f>
        <v>254500</v>
      </c>
      <c r="C41" s="314"/>
      <c r="F41" s="273">
        <v>2016</v>
      </c>
      <c r="G41" s="562">
        <f>F20</f>
        <v>57456.795886546759</v>
      </c>
      <c r="H41" s="168"/>
      <c r="I41" s="168"/>
      <c r="K41" s="557"/>
      <c r="M41" s="557"/>
      <c r="N41" s="557"/>
    </row>
    <row r="42" spans="1:21" s="245" customFormat="1" x14ac:dyDescent="0.2">
      <c r="A42" s="273">
        <v>2017</v>
      </c>
      <c r="B42" s="309">
        <f>G15</f>
        <v>239115</v>
      </c>
      <c r="C42" s="314"/>
      <c r="F42" s="273">
        <v>2017</v>
      </c>
      <c r="G42" s="562">
        <f>G20</f>
        <v>55114.102743642012</v>
      </c>
      <c r="H42" s="168"/>
      <c r="I42" s="168"/>
      <c r="K42" s="557"/>
      <c r="M42" s="557"/>
      <c r="N42" s="557"/>
    </row>
    <row r="43" spans="1:21" s="245" customFormat="1" x14ac:dyDescent="0.2">
      <c r="A43" s="273">
        <v>2018</v>
      </c>
      <c r="B43" s="309">
        <f>H15</f>
        <v>334736.12</v>
      </c>
      <c r="C43" s="314"/>
      <c r="F43" s="273">
        <v>2018</v>
      </c>
      <c r="G43" s="562" t="e">
        <f>H20</f>
        <v>#REF!</v>
      </c>
      <c r="H43" s="168"/>
      <c r="I43" s="168"/>
      <c r="K43" s="557"/>
      <c r="M43" s="557"/>
      <c r="N43" s="557"/>
    </row>
    <row r="44" spans="1:21" s="245" customFormat="1" x14ac:dyDescent="0.2">
      <c r="A44" s="273"/>
      <c r="C44" s="314"/>
      <c r="F44" s="273"/>
      <c r="G44" s="168"/>
      <c r="H44" s="168"/>
      <c r="I44" s="168"/>
      <c r="K44" s="557"/>
      <c r="M44" s="557"/>
      <c r="N44" s="557"/>
    </row>
    <row r="45" spans="1:21" s="245" customFormat="1" x14ac:dyDescent="0.2">
      <c r="A45" s="276" t="s">
        <v>193</v>
      </c>
      <c r="F45" s="276" t="s">
        <v>190</v>
      </c>
      <c r="G45" s="168"/>
      <c r="H45" s="168"/>
      <c r="I45" s="168"/>
      <c r="K45" s="557"/>
      <c r="M45" s="557"/>
      <c r="N45" s="557"/>
    </row>
    <row r="46" spans="1:21" s="245" customFormat="1" x14ac:dyDescent="0.2">
      <c r="A46" s="273" t="s">
        <v>185</v>
      </c>
      <c r="B46" s="250" t="s">
        <v>188</v>
      </c>
      <c r="C46" s="250" t="s">
        <v>186</v>
      </c>
      <c r="D46" s="250" t="s">
        <v>189</v>
      </c>
      <c r="F46" s="273" t="s">
        <v>185</v>
      </c>
      <c r="G46" s="250" t="s">
        <v>188</v>
      </c>
      <c r="H46" s="250" t="s">
        <v>186</v>
      </c>
      <c r="I46" s="250" t="s">
        <v>189</v>
      </c>
      <c r="K46" s="557"/>
      <c r="M46" s="557"/>
      <c r="N46" s="557"/>
    </row>
    <row r="47" spans="1:21" s="245" customFormat="1" x14ac:dyDescent="0.2">
      <c r="A47" s="273">
        <v>2012</v>
      </c>
      <c r="B47" s="536">
        <v>12</v>
      </c>
      <c r="C47" s="536">
        <f>+B28</f>
        <v>9</v>
      </c>
      <c r="D47" s="512">
        <f>IF(ISERROR(C47/B47),"-",(C47/B47))</f>
        <v>0.75</v>
      </c>
      <c r="F47" s="273">
        <v>2012</v>
      </c>
      <c r="G47" s="536">
        <v>389894</v>
      </c>
      <c r="H47" s="536">
        <f>+B21</f>
        <v>192819</v>
      </c>
      <c r="I47" s="512">
        <f>IF(ISERROR(H47/G47),"-",(H47/G47))</f>
        <v>0.49454210631607565</v>
      </c>
      <c r="K47" s="557"/>
      <c r="M47" s="557"/>
      <c r="N47" s="557"/>
    </row>
    <row r="48" spans="1:21" s="245" customFormat="1" x14ac:dyDescent="0.2">
      <c r="A48" s="273">
        <v>2013</v>
      </c>
      <c r="B48" s="314">
        <v>4</v>
      </c>
      <c r="C48" s="278">
        <f>C28</f>
        <v>20</v>
      </c>
      <c r="D48" s="512">
        <f>IF(ISERROR(C48/B48),"-",(C48/B48))</f>
        <v>5</v>
      </c>
      <c r="F48" s="273">
        <v>2013</v>
      </c>
      <c r="G48" s="562">
        <v>310907</v>
      </c>
      <c r="H48" s="536">
        <f>C21</f>
        <v>442210</v>
      </c>
      <c r="I48" s="512">
        <f>IF(ISERROR(H48/G48),"-",(H48/G48))</f>
        <v>1.4223224308233653</v>
      </c>
      <c r="K48" s="557"/>
      <c r="M48" s="557"/>
      <c r="N48" s="557"/>
    </row>
    <row r="49" spans="1:14" s="245" customFormat="1" x14ac:dyDescent="0.2">
      <c r="A49" s="273">
        <v>2014</v>
      </c>
      <c r="B49" s="278">
        <v>5</v>
      </c>
      <c r="C49" s="278">
        <f>D28</f>
        <v>24</v>
      </c>
      <c r="D49" s="275">
        <f>IF(ISERROR(C49/B49),"-",(C49/B49))</f>
        <v>4.8</v>
      </c>
      <c r="F49" s="273">
        <v>2014</v>
      </c>
      <c r="G49" s="314">
        <v>435971</v>
      </c>
      <c r="H49" s="278">
        <f>D21</f>
        <v>217159</v>
      </c>
      <c r="I49" s="275">
        <f>IF(ISERROR(H49/G49),"-",(H49/G49))</f>
        <v>0.49810423170348489</v>
      </c>
      <c r="K49" s="557"/>
      <c r="M49" s="557"/>
      <c r="N49" s="557"/>
    </row>
    <row r="50" spans="1:14" s="245" customFormat="1" x14ac:dyDescent="0.2">
      <c r="A50" s="273">
        <v>2015</v>
      </c>
      <c r="B50" s="278">
        <f>E28</f>
        <v>9</v>
      </c>
      <c r="C50" s="278"/>
      <c r="D50" s="275"/>
      <c r="F50" s="273">
        <v>2015</v>
      </c>
      <c r="G50" s="314">
        <f>E21</f>
        <v>741929</v>
      </c>
      <c r="H50" s="278"/>
      <c r="I50" s="275"/>
      <c r="K50" s="557"/>
      <c r="M50" s="557"/>
      <c r="N50" s="557"/>
    </row>
    <row r="51" spans="1:14" s="245" customFormat="1" x14ac:dyDescent="0.2">
      <c r="A51" s="273">
        <v>2016</v>
      </c>
      <c r="B51" s="278">
        <f>F28</f>
        <v>65.740349640338096</v>
      </c>
      <c r="F51" s="273">
        <v>2016</v>
      </c>
      <c r="G51" s="314">
        <f>F21</f>
        <v>859932.15944450011</v>
      </c>
      <c r="K51" s="557"/>
      <c r="M51" s="557"/>
      <c r="N51" s="557"/>
    </row>
    <row r="52" spans="1:14" s="245" customFormat="1" x14ac:dyDescent="0.2">
      <c r="A52" s="273">
        <v>2017</v>
      </c>
      <c r="B52" s="278">
        <f>G28</f>
        <v>60.870366549299682</v>
      </c>
      <c r="F52" s="273">
        <v>2017</v>
      </c>
      <c r="G52" s="314">
        <f>G21</f>
        <v>815365.71720952215</v>
      </c>
      <c r="K52" s="557"/>
      <c r="M52" s="557"/>
      <c r="N52" s="557"/>
    </row>
    <row r="53" spans="1:14" s="245" customFormat="1" x14ac:dyDescent="0.2">
      <c r="A53" s="273">
        <v>2018</v>
      </c>
      <c r="B53" s="278" t="e">
        <f>H28</f>
        <v>#REF!</v>
      </c>
      <c r="F53" s="273">
        <v>2018</v>
      </c>
      <c r="G53" s="314" t="e">
        <f>H21</f>
        <v>#REF!</v>
      </c>
      <c r="K53" s="557"/>
      <c r="M53" s="557"/>
      <c r="N53" s="557"/>
    </row>
    <row r="54" spans="1:14" s="245" customFormat="1" x14ac:dyDescent="0.2">
      <c r="A54" s="273"/>
      <c r="K54" s="557"/>
      <c r="M54" s="557"/>
      <c r="N54" s="557"/>
    </row>
    <row r="55" spans="1:14" s="245" customFormat="1" x14ac:dyDescent="0.2">
      <c r="K55" s="557"/>
      <c r="M55" s="557"/>
      <c r="N55" s="557"/>
    </row>
    <row r="56" spans="1:14" s="245" customFormat="1" x14ac:dyDescent="0.2">
      <c r="K56" s="557"/>
      <c r="M56" s="557"/>
      <c r="N56" s="557"/>
    </row>
    <row r="57" spans="1:14" s="245" customFormat="1" x14ac:dyDescent="0.2">
      <c r="K57" s="557"/>
      <c r="M57" s="557"/>
      <c r="N57" s="557"/>
    </row>
    <row r="58" spans="1:14" x14ac:dyDescent="0.2">
      <c r="K58" s="557"/>
      <c r="M58" s="557"/>
      <c r="N58" s="557"/>
    </row>
    <row r="59" spans="1:14" x14ac:dyDescent="0.2">
      <c r="K59" s="557"/>
      <c r="M59" s="557"/>
      <c r="N59" s="557"/>
    </row>
    <row r="60" spans="1:14" x14ac:dyDescent="0.2">
      <c r="K60" s="557"/>
      <c r="M60" s="557"/>
      <c r="N60" s="557"/>
    </row>
    <row r="61" spans="1:14" x14ac:dyDescent="0.2">
      <c r="K61" s="557"/>
      <c r="M61" s="557"/>
      <c r="N61" s="557"/>
    </row>
    <row r="62" spans="1:14" x14ac:dyDescent="0.2">
      <c r="K62" s="181"/>
      <c r="M62" s="181"/>
      <c r="N62" s="181"/>
    </row>
  </sheetData>
  <mergeCells count="1">
    <mergeCell ref="A1:I1"/>
  </mergeCells>
  <phoneticPr fontId="10" type="noConversion"/>
  <pageMargins left="0.98" right="0.75" top="1.1499999999999999" bottom="1" header="0.5" footer="0.5"/>
  <pageSetup scale="84" fitToHeight="0" orientation="landscape" r:id="rId1"/>
  <headerFooter alignWithMargins="0">
    <oddFooter>&amp;C&amp;1#&amp;"Calibri"&amp;12&amp;K008000Internal Use</oddFooter>
  </headerFooter>
  <rowBreaks count="2" manualBreakCount="2">
    <brk id="34" max="8" man="1"/>
    <brk id="64" max="1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37">
    <tabColor indexed="44"/>
    <pageSetUpPr fitToPage="1"/>
  </sheetPr>
  <dimension ref="A1:U62"/>
  <sheetViews>
    <sheetView zoomScaleNormal="100" workbookViewId="0">
      <selection activeCell="W61" sqref="W61"/>
    </sheetView>
  </sheetViews>
  <sheetFormatPr defaultRowHeight="12.75" x14ac:dyDescent="0.2"/>
  <cols>
    <col min="1" max="1" width="41.5703125" style="168" bestFit="1" customWidth="1"/>
    <col min="2" max="8" width="13.42578125" style="168" customWidth="1"/>
    <col min="9"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77</v>
      </c>
      <c r="B1" s="3055"/>
      <c r="C1" s="3055"/>
      <c r="D1" s="3055"/>
      <c r="E1" s="3055"/>
      <c r="F1" s="3055"/>
      <c r="G1" s="3055"/>
      <c r="H1" s="3055"/>
      <c r="I1" s="3055"/>
      <c r="J1" s="1914"/>
      <c r="K1" s="1914"/>
      <c r="L1" s="1914"/>
      <c r="M1" s="1914"/>
      <c r="N1" s="1914"/>
      <c r="O1" s="1914"/>
    </row>
    <row r="2" spans="1:15" x14ac:dyDescent="0.2">
      <c r="A2" s="169"/>
    </row>
    <row r="3" spans="1:15" ht="15.75" x14ac:dyDescent="0.25">
      <c r="A3" s="172" t="s">
        <v>245</v>
      </c>
    </row>
    <row r="4" spans="1:15" x14ac:dyDescent="0.2">
      <c r="A4" s="169"/>
    </row>
    <row r="5" spans="1:15" x14ac:dyDescent="0.2">
      <c r="A5" s="173"/>
      <c r="K5" s="704"/>
      <c r="L5" s="794"/>
      <c r="M5" s="704"/>
      <c r="N5" s="704"/>
    </row>
    <row r="6" spans="1:15" s="245" customFormat="1" x14ac:dyDescent="0.2">
      <c r="A6" s="242"/>
      <c r="B6" s="243">
        <v>2012</v>
      </c>
      <c r="C6" s="243">
        <v>2013</v>
      </c>
      <c r="D6" s="243">
        <v>2014</v>
      </c>
      <c r="E6" s="243">
        <v>2015</v>
      </c>
      <c r="F6" s="243">
        <v>2016</v>
      </c>
      <c r="G6" s="243">
        <v>2017</v>
      </c>
      <c r="H6" s="243">
        <v>2018</v>
      </c>
    </row>
    <row r="7" spans="1:15" s="245" customFormat="1" x14ac:dyDescent="0.2">
      <c r="A7" s="247" t="s">
        <v>44</v>
      </c>
      <c r="B7" s="248" t="s">
        <v>148</v>
      </c>
      <c r="C7" s="248" t="s">
        <v>148</v>
      </c>
      <c r="D7" s="248" t="s">
        <v>148</v>
      </c>
      <c r="E7" s="248" t="s">
        <v>1</v>
      </c>
      <c r="F7" s="248" t="s">
        <v>1</v>
      </c>
      <c r="G7" s="248" t="s">
        <v>1</v>
      </c>
      <c r="H7" s="248" t="s">
        <v>1</v>
      </c>
    </row>
    <row r="8" spans="1:15" s="245" customFormat="1" x14ac:dyDescent="0.2">
      <c r="A8" s="244"/>
      <c r="C8" s="704"/>
      <c r="E8" s="575"/>
      <c r="F8" s="575"/>
      <c r="G8" s="575"/>
      <c r="H8" s="575"/>
    </row>
    <row r="9" spans="1:15" s="245" customFormat="1" x14ac:dyDescent="0.2">
      <c r="A9" s="244" t="s">
        <v>53</v>
      </c>
      <c r="B9" s="252">
        <v>21848</v>
      </c>
      <c r="C9" s="252">
        <v>29396.37</v>
      </c>
      <c r="D9" s="252">
        <v>17505.53</v>
      </c>
      <c r="E9" s="252">
        <v>29000</v>
      </c>
      <c r="F9" s="252">
        <f>'SCG Table C 2016'!$C$28</f>
        <v>29000</v>
      </c>
      <c r="G9" s="252">
        <f>'SCG Table C 2017'!$C$28</f>
        <v>8032</v>
      </c>
      <c r="H9" s="252">
        <f>'SCG Table C 2019'!$C$27</f>
        <v>76388</v>
      </c>
    </row>
    <row r="10" spans="1:15" s="245" customFormat="1" x14ac:dyDescent="0.2">
      <c r="A10" s="244" t="s">
        <v>45</v>
      </c>
      <c r="B10" s="252">
        <v>0</v>
      </c>
      <c r="C10" s="252">
        <v>101.39999999999999</v>
      </c>
      <c r="D10" s="252">
        <v>0</v>
      </c>
      <c r="E10" s="252">
        <v>5000</v>
      </c>
      <c r="F10" s="252">
        <f>'SCG Table C 2016'!$E$28</f>
        <v>14460</v>
      </c>
      <c r="G10" s="252">
        <f>'SCG Table C 2017'!$E$28</f>
        <v>5000</v>
      </c>
      <c r="H10" s="252">
        <f>'SCG Table C 2019'!$E$27</f>
        <v>5355.23</v>
      </c>
    </row>
    <row r="11" spans="1:15" s="245" customFormat="1" x14ac:dyDescent="0.2">
      <c r="A11" s="244" t="s">
        <v>202</v>
      </c>
      <c r="B11" s="252">
        <v>0</v>
      </c>
      <c r="C11" s="252">
        <v>0</v>
      </c>
      <c r="D11" s="252">
        <v>0</v>
      </c>
      <c r="E11" s="252">
        <v>1000</v>
      </c>
      <c r="F11" s="252">
        <f>'SCG Table C 2016'!$D$28</f>
        <v>1233</v>
      </c>
      <c r="G11" s="252">
        <f>'SCG Table C 2017'!$D$28</f>
        <v>1000</v>
      </c>
      <c r="H11" s="252">
        <f>'SCG Table C 2019'!$D$27</f>
        <v>1000</v>
      </c>
    </row>
    <row r="12" spans="1:15" s="245" customFormat="1" ht="14.25" x14ac:dyDescent="0.2">
      <c r="A12" s="244" t="s">
        <v>2</v>
      </c>
      <c r="B12" s="252">
        <v>70094</v>
      </c>
      <c r="C12" s="252">
        <v>60664.39</v>
      </c>
      <c r="D12" s="252">
        <v>58373.460000000006</v>
      </c>
      <c r="E12" s="257">
        <v>101545</v>
      </c>
      <c r="F12" s="257">
        <f>'SCG Table C 2016'!$F$28</f>
        <v>198119</v>
      </c>
      <c r="G12" s="257">
        <f>'SCG Table C 2017'!$F$28</f>
        <v>207010</v>
      </c>
      <c r="H12" s="257">
        <f>'SCG Table C 2019'!$F$27</f>
        <v>199172</v>
      </c>
      <c r="I12" s="947" t="s">
        <v>326</v>
      </c>
    </row>
    <row r="13" spans="1:15" s="245" customFormat="1" ht="14.25" x14ac:dyDescent="0.2">
      <c r="A13" s="244" t="s">
        <v>14</v>
      </c>
      <c r="B13" s="252">
        <v>0</v>
      </c>
      <c r="C13" s="252">
        <v>919</v>
      </c>
      <c r="D13" s="252">
        <v>35957.979999999996</v>
      </c>
      <c r="E13" s="252">
        <v>2500</v>
      </c>
      <c r="F13" s="252">
        <f>'SCG Table C 2016'!$G$28</f>
        <v>2465</v>
      </c>
      <c r="G13" s="252">
        <f>'SCG Table C 2017'!$G$28</f>
        <v>2500</v>
      </c>
      <c r="H13" s="252">
        <f>'SCG Table C 2019'!$G$27</f>
        <v>2500</v>
      </c>
      <c r="I13" s="947" t="s">
        <v>327</v>
      </c>
    </row>
    <row r="14" spans="1:15" s="245" customFormat="1" ht="15" x14ac:dyDescent="0.35">
      <c r="A14" s="244" t="s">
        <v>46</v>
      </c>
      <c r="B14" s="256">
        <v>0</v>
      </c>
      <c r="C14" s="256">
        <v>562</v>
      </c>
      <c r="D14" s="256">
        <v>1416.1100000000001</v>
      </c>
      <c r="E14" s="256">
        <v>2000</v>
      </c>
      <c r="F14" s="256">
        <f>'SCG Table C 2016'!$H$28</f>
        <v>1233</v>
      </c>
      <c r="G14" s="256">
        <f>'SCG Table C 2017'!$H$28</f>
        <v>2000</v>
      </c>
      <c r="H14" s="256">
        <f>'SCG Table C 2019'!$H$27</f>
        <v>2000</v>
      </c>
    </row>
    <row r="15" spans="1:15" s="245" customFormat="1" x14ac:dyDescent="0.2">
      <c r="A15" s="244" t="s">
        <v>86</v>
      </c>
      <c r="B15" s="252">
        <f t="shared" ref="B15:H15" si="0">SUM(B9:B14)</f>
        <v>91942</v>
      </c>
      <c r="C15" s="705">
        <f t="shared" si="0"/>
        <v>91643.16</v>
      </c>
      <c r="D15" s="252">
        <f t="shared" si="0"/>
        <v>113253.08</v>
      </c>
      <c r="E15" s="504">
        <f t="shared" si="0"/>
        <v>141045</v>
      </c>
      <c r="F15" s="504">
        <f t="shared" si="0"/>
        <v>246510</v>
      </c>
      <c r="G15" s="504">
        <f t="shared" si="0"/>
        <v>225542</v>
      </c>
      <c r="H15" s="504">
        <f t="shared" si="0"/>
        <v>286415.23</v>
      </c>
      <c r="I15" s="246" t="s">
        <v>201</v>
      </c>
    </row>
    <row r="16" spans="1:15" s="245" customFormat="1" x14ac:dyDescent="0.2">
      <c r="A16" s="244"/>
      <c r="C16" s="704"/>
      <c r="D16" s="255"/>
      <c r="E16" s="284"/>
      <c r="F16" s="284"/>
      <c r="G16" s="284"/>
      <c r="H16" s="284"/>
    </row>
    <row r="17" spans="1:17" s="245" customFormat="1" ht="15" x14ac:dyDescent="0.35">
      <c r="A17" s="262"/>
      <c r="C17" s="704"/>
      <c r="E17" s="294"/>
      <c r="F17" s="294"/>
      <c r="G17" s="294"/>
      <c r="H17" s="294"/>
      <c r="I17" s="263"/>
    </row>
    <row r="18" spans="1:17" s="245" customFormat="1" ht="25.5" x14ac:dyDescent="0.2">
      <c r="A18" s="247" t="s">
        <v>83</v>
      </c>
      <c r="B18" s="264" t="s">
        <v>479</v>
      </c>
      <c r="C18" s="264" t="s">
        <v>567</v>
      </c>
      <c r="D18" s="264" t="s">
        <v>568</v>
      </c>
      <c r="E18" s="264" t="s">
        <v>334</v>
      </c>
      <c r="F18" s="264" t="s">
        <v>564</v>
      </c>
      <c r="G18" s="264" t="s">
        <v>565</v>
      </c>
      <c r="H18" s="264" t="s">
        <v>566</v>
      </c>
      <c r="I18" s="246"/>
      <c r="K18" s="244"/>
      <c r="L18" s="244"/>
      <c r="M18" s="244"/>
      <c r="N18" s="244"/>
      <c r="O18" s="244"/>
      <c r="P18" s="244"/>
      <c r="Q18" s="244"/>
    </row>
    <row r="19" spans="1:17" s="245" customFormat="1" x14ac:dyDescent="0.2">
      <c r="C19" s="704"/>
      <c r="E19" s="180"/>
      <c r="F19" s="180"/>
      <c r="G19" s="180"/>
      <c r="H19" s="180"/>
      <c r="I19" s="246"/>
      <c r="K19" s="186"/>
      <c r="L19" s="186"/>
      <c r="M19" s="180"/>
      <c r="N19" s="180"/>
      <c r="O19" s="180"/>
      <c r="P19" s="244"/>
      <c r="Q19" s="244"/>
    </row>
    <row r="20" spans="1:17" s="245" customFormat="1" x14ac:dyDescent="0.2">
      <c r="A20" s="245" t="s">
        <v>49</v>
      </c>
      <c r="B20" s="267">
        <v>27004</v>
      </c>
      <c r="C20" s="555">
        <v>10963</v>
      </c>
      <c r="D20" s="531">
        <v>37136</v>
      </c>
      <c r="E20" s="506">
        <v>36435</v>
      </c>
      <c r="F20" s="506">
        <f>'2016 Summary Table B'!$M$46</f>
        <v>57133.539187114569</v>
      </c>
      <c r="G20" s="506">
        <f>'2017 Summary Table B'!$M$46</f>
        <v>59697.524957851536</v>
      </c>
      <c r="H20" s="506" t="e">
        <f>'2019 Summary Table B'!$M$46</f>
        <v>#REF!</v>
      </c>
      <c r="I20" s="246" t="s">
        <v>64</v>
      </c>
      <c r="K20" s="186"/>
      <c r="L20" s="186"/>
      <c r="M20" s="187"/>
      <c r="N20" s="187"/>
      <c r="O20" s="187"/>
      <c r="P20" s="244"/>
      <c r="Q20" s="244"/>
    </row>
    <row r="21" spans="1:17" s="245" customFormat="1" x14ac:dyDescent="0.2">
      <c r="A21" s="245" t="s">
        <v>50</v>
      </c>
      <c r="B21" s="267">
        <v>378102</v>
      </c>
      <c r="C21" s="555">
        <v>152848</v>
      </c>
      <c r="D21" s="531">
        <v>408127</v>
      </c>
      <c r="E21" s="506">
        <v>410541</v>
      </c>
      <c r="F21" s="506">
        <f>'2016 Summary Table B'!$N$46</f>
        <v>806758.52543161903</v>
      </c>
      <c r="G21" s="506">
        <f>'2017 Summary Table B'!$N$46</f>
        <v>842963.48330851388</v>
      </c>
      <c r="H21" s="506" t="e">
        <f>'2019 Summary Table B'!$N$46</f>
        <v>#REF!</v>
      </c>
      <c r="I21" s="246" t="s">
        <v>10</v>
      </c>
      <c r="K21" s="180"/>
      <c r="L21" s="185"/>
      <c r="M21" s="182"/>
      <c r="N21" s="182"/>
      <c r="O21" s="182"/>
      <c r="P21" s="244"/>
      <c r="Q21" s="244"/>
    </row>
    <row r="22" spans="1:17" s="245" customFormat="1" x14ac:dyDescent="0.2">
      <c r="C22" s="704"/>
      <c r="D22" s="527"/>
      <c r="E22" s="180"/>
      <c r="F22" s="180"/>
      <c r="G22" s="180"/>
      <c r="H22" s="180"/>
      <c r="I22" s="246"/>
      <c r="K22" s="180"/>
      <c r="L22" s="185"/>
      <c r="M22" s="183"/>
      <c r="N22" s="183"/>
      <c r="O22" s="183"/>
      <c r="P22" s="244"/>
      <c r="Q22" s="244"/>
    </row>
    <row r="23" spans="1:17" s="245" customFormat="1" x14ac:dyDescent="0.2">
      <c r="A23" s="245" t="s">
        <v>51</v>
      </c>
      <c r="B23" s="269">
        <f t="shared" ref="B23:H23" si="1">SUM(B15/B20)</f>
        <v>3.4047548511331653</v>
      </c>
      <c r="C23" s="269">
        <f t="shared" si="1"/>
        <v>8.3593140563714314</v>
      </c>
      <c r="D23" s="528">
        <f t="shared" si="1"/>
        <v>3.0496844032744508</v>
      </c>
      <c r="E23" s="269">
        <f t="shared" si="1"/>
        <v>3.8711403869905312</v>
      </c>
      <c r="F23" s="269">
        <f t="shared" si="1"/>
        <v>4.3146285615646907</v>
      </c>
      <c r="G23" s="269">
        <f t="shared" si="1"/>
        <v>3.7780795796683404</v>
      </c>
      <c r="H23" s="269" t="e">
        <f t="shared" si="1"/>
        <v>#REF!</v>
      </c>
      <c r="I23" s="246" t="s">
        <v>65</v>
      </c>
      <c r="K23" s="180"/>
      <c r="L23" s="185"/>
      <c r="M23" s="183"/>
      <c r="N23" s="183"/>
      <c r="O23" s="183"/>
      <c r="P23" s="244"/>
      <c r="Q23" s="244"/>
    </row>
    <row r="24" spans="1:17" s="245" customFormat="1" x14ac:dyDescent="0.2">
      <c r="A24" s="245" t="s">
        <v>52</v>
      </c>
      <c r="B24" s="269">
        <f t="shared" ref="B24:H24" si="2">SUM(B15/B21)</f>
        <v>0.24316718769009421</v>
      </c>
      <c r="C24" s="269">
        <f t="shared" si="2"/>
        <v>0.59957055375274781</v>
      </c>
      <c r="D24" s="528">
        <f t="shared" si="2"/>
        <v>0.27749470140421978</v>
      </c>
      <c r="E24" s="269">
        <f t="shared" si="2"/>
        <v>0.34355886500982852</v>
      </c>
      <c r="F24" s="269">
        <f t="shared" si="2"/>
        <v>0.30555611404058752</v>
      </c>
      <c r="G24" s="269">
        <f t="shared" si="2"/>
        <v>0.26755844644038335</v>
      </c>
      <c r="H24" s="269" t="e">
        <f t="shared" si="2"/>
        <v>#REF!</v>
      </c>
      <c r="I24" s="246" t="s">
        <v>66</v>
      </c>
      <c r="K24" s="180"/>
      <c r="L24" s="185"/>
      <c r="M24" s="184"/>
      <c r="N24" s="184"/>
      <c r="O24" s="184"/>
      <c r="P24" s="244"/>
      <c r="Q24" s="244"/>
    </row>
    <row r="25" spans="1:17" s="245" customFormat="1" x14ac:dyDescent="0.2">
      <c r="C25" s="704"/>
      <c r="D25" s="249"/>
      <c r="I25" s="246"/>
      <c r="K25" s="180"/>
      <c r="L25" s="185"/>
      <c r="M25" s="182"/>
      <c r="N25" s="182"/>
      <c r="O25" s="182"/>
      <c r="P25" s="244"/>
      <c r="Q25" s="244"/>
    </row>
    <row r="26" spans="1:17" s="245" customFormat="1" x14ac:dyDescent="0.2">
      <c r="A26" s="245" t="s">
        <v>84</v>
      </c>
      <c r="B26" s="257">
        <f>+B21/389894*217422</f>
        <v>210846.26345622144</v>
      </c>
      <c r="C26" s="706">
        <v>84698</v>
      </c>
      <c r="D26" s="257">
        <v>332835</v>
      </c>
      <c r="E26" s="747">
        <v>457964</v>
      </c>
      <c r="F26" s="747">
        <f>'2016 Summary Table B'!$F$46</f>
        <v>607955.54672029824</v>
      </c>
      <c r="G26" s="747">
        <f>'2017 Summary Table B'!$F$46</f>
        <v>594707.58237718011</v>
      </c>
      <c r="H26" s="747" t="e">
        <f>'2019 Summary Table B'!$F$46</f>
        <v>#REF!</v>
      </c>
      <c r="I26" s="246" t="s">
        <v>67</v>
      </c>
      <c r="K26" s="180"/>
      <c r="L26" s="185"/>
      <c r="M26" s="185"/>
      <c r="N26" s="185"/>
      <c r="O26" s="185"/>
      <c r="P26" s="244"/>
      <c r="Q26" s="244"/>
    </row>
    <row r="27" spans="1:17" s="245" customFormat="1" x14ac:dyDescent="0.2">
      <c r="A27" s="245" t="s">
        <v>85</v>
      </c>
      <c r="B27" s="271">
        <f t="shared" ref="B27:H27" si="3">SUM(B26/B15)</f>
        <v>2.2932529579106551</v>
      </c>
      <c r="C27" s="271">
        <f t="shared" si="3"/>
        <v>0.92421518419923532</v>
      </c>
      <c r="D27" s="529">
        <f t="shared" si="3"/>
        <v>2.9388604707262709</v>
      </c>
      <c r="E27" s="271">
        <f t="shared" si="3"/>
        <v>3.246935375234854</v>
      </c>
      <c r="F27" s="271">
        <f t="shared" si="3"/>
        <v>2.4662510515609841</v>
      </c>
      <c r="G27" s="271">
        <f t="shared" si="3"/>
        <v>2.6367930690389376</v>
      </c>
      <c r="H27" s="271" t="e">
        <f t="shared" si="3"/>
        <v>#REF!</v>
      </c>
      <c r="I27" s="246" t="s">
        <v>68</v>
      </c>
      <c r="K27" s="180"/>
      <c r="L27" s="185"/>
      <c r="M27" s="183"/>
      <c r="N27" s="185"/>
      <c r="O27" s="183"/>
      <c r="P27" s="244"/>
      <c r="Q27" s="244"/>
    </row>
    <row r="28" spans="1:17" s="245" customFormat="1" x14ac:dyDescent="0.2">
      <c r="A28" s="245" t="s">
        <v>214</v>
      </c>
      <c r="B28" s="281">
        <v>27</v>
      </c>
      <c r="C28" s="799">
        <v>72</v>
      </c>
      <c r="D28" s="534">
        <v>57</v>
      </c>
      <c r="E28" s="506">
        <v>5</v>
      </c>
      <c r="F28" s="506">
        <f>'2016 Summary Table B'!$K$46</f>
        <v>62.578556233846037</v>
      </c>
      <c r="G28" s="506">
        <f>'2017 Summary Table B'!$K$46</f>
        <v>65.386898409382596</v>
      </c>
      <c r="H28" s="506" t="e">
        <f>'2019 Summary Table B'!$K$46</f>
        <v>#REF!</v>
      </c>
      <c r="I28" s="246" t="s">
        <v>69</v>
      </c>
      <c r="K28" s="180"/>
      <c r="L28" s="185"/>
      <c r="M28" s="183"/>
      <c r="N28" s="183"/>
      <c r="O28" s="183"/>
      <c r="P28" s="244"/>
      <c r="Q28" s="244"/>
    </row>
    <row r="29" spans="1:17" s="245" customFormat="1" x14ac:dyDescent="0.2">
      <c r="A29" s="245" t="s">
        <v>215</v>
      </c>
      <c r="B29" s="282">
        <f>SUM(B21/B28)</f>
        <v>14003.777777777777</v>
      </c>
      <c r="C29" s="312">
        <f>C21/C28</f>
        <v>2122.8888888888887</v>
      </c>
      <c r="D29" s="282">
        <f>SUM(D21/D28)</f>
        <v>7160.1228070175439</v>
      </c>
      <c r="E29" s="266">
        <f>SUM(E21/E28)</f>
        <v>82108.2</v>
      </c>
      <c r="F29" s="266">
        <f>SUM(F21/F28)</f>
        <v>12891.932540228185</v>
      </c>
      <c r="G29" s="266">
        <f>SUM(G21/G28)</f>
        <v>12891.932540228183</v>
      </c>
      <c r="H29" s="266" t="e">
        <f>SUM(H21/H28)</f>
        <v>#REF!</v>
      </c>
      <c r="I29" s="246" t="s">
        <v>70</v>
      </c>
      <c r="K29" s="180"/>
      <c r="L29" s="185"/>
      <c r="M29" s="182"/>
      <c r="N29" s="182"/>
      <c r="O29" s="182"/>
      <c r="P29" s="244"/>
      <c r="Q29" s="244"/>
    </row>
    <row r="30" spans="1:17" s="245" customFormat="1" x14ac:dyDescent="0.2">
      <c r="A30" s="245" t="s">
        <v>216</v>
      </c>
      <c r="B30" s="257">
        <f>SUM(B15/B28)</f>
        <v>3405.2592592592591</v>
      </c>
      <c r="C30" s="283">
        <f>C15/C28</f>
        <v>1272.8216666666667</v>
      </c>
      <c r="D30" s="530">
        <f>SUM(D15/D28)</f>
        <v>1986.8961403508772</v>
      </c>
      <c r="E30" s="257">
        <f>SUM(E15/E28)</f>
        <v>28209</v>
      </c>
      <c r="F30" s="257">
        <f>SUM(F15/F28)</f>
        <v>3939.2088094655242</v>
      </c>
      <c r="G30" s="257">
        <f>SUM(G15/G28)</f>
        <v>3449.3454420776775</v>
      </c>
      <c r="H30" s="257" t="e">
        <f>SUM(H15/H28)</f>
        <v>#REF!</v>
      </c>
      <c r="I30" s="246" t="s">
        <v>72</v>
      </c>
      <c r="K30" s="180"/>
      <c r="L30" s="185"/>
      <c r="M30" s="182"/>
      <c r="N30" s="182"/>
      <c r="O30" s="182"/>
      <c r="P30" s="244"/>
      <c r="Q30" s="244"/>
    </row>
    <row r="31" spans="1:17" s="245" customFormat="1" x14ac:dyDescent="0.2">
      <c r="A31" s="245" t="s">
        <v>217</v>
      </c>
      <c r="B31" s="257">
        <f>SUM(B26/B28)</f>
        <v>7809.1208687489425</v>
      </c>
      <c r="C31" s="283">
        <f>C26/C28</f>
        <v>1176.3611111111111</v>
      </c>
      <c r="D31" s="530">
        <f>SUM(D26/D28)</f>
        <v>5839.2105263157891</v>
      </c>
      <c r="E31" s="257">
        <f>SUM(E26/E28)</f>
        <v>91592.8</v>
      </c>
      <c r="F31" s="257">
        <f>SUM(F26/F28)</f>
        <v>9715.0778686626418</v>
      </c>
      <c r="G31" s="257">
        <f>SUM(G26/G28)</f>
        <v>9095.2101543914705</v>
      </c>
      <c r="H31" s="257" t="e">
        <f>SUM(H26/H28)</f>
        <v>#REF!</v>
      </c>
      <c r="I31" s="246" t="s">
        <v>73</v>
      </c>
      <c r="K31" s="244"/>
      <c r="L31" s="244"/>
      <c r="M31" s="244"/>
      <c r="N31" s="244"/>
      <c r="O31" s="244"/>
      <c r="P31" s="244"/>
      <c r="Q31" s="244"/>
    </row>
    <row r="32" spans="1:17" s="245" customFormat="1" ht="14.25" x14ac:dyDescent="0.2">
      <c r="A32" s="704" t="s">
        <v>324</v>
      </c>
      <c r="B32" s="945">
        <f t="shared" ref="B32:H32" si="4">B12/B21</f>
        <v>0.18538383822354815</v>
      </c>
      <c r="C32" s="945">
        <f t="shared" si="4"/>
        <v>0.39689358055061236</v>
      </c>
      <c r="D32" s="945">
        <f t="shared" si="4"/>
        <v>0.14302768500981314</v>
      </c>
      <c r="E32" s="945">
        <f t="shared" si="4"/>
        <v>0.24734435781079112</v>
      </c>
      <c r="F32" s="945">
        <f t="shared" si="4"/>
        <v>0.24557410148718981</v>
      </c>
      <c r="G32" s="945">
        <f t="shared" si="4"/>
        <v>0.24557410148718978</v>
      </c>
      <c r="H32" s="945" t="e">
        <f t="shared" si="4"/>
        <v>#REF!</v>
      </c>
      <c r="I32" s="557" t="s">
        <v>328</v>
      </c>
      <c r="K32" s="244"/>
      <c r="L32" s="244"/>
      <c r="M32" s="244"/>
      <c r="N32" s="244"/>
      <c r="O32" s="244"/>
      <c r="P32" s="244"/>
      <c r="Q32" s="244"/>
    </row>
    <row r="33" spans="1:21" s="245" customFormat="1" ht="14.25" x14ac:dyDescent="0.2">
      <c r="A33" s="704" t="s">
        <v>325</v>
      </c>
      <c r="B33" s="946">
        <f t="shared" ref="B33:H33" si="5">B13/B21</f>
        <v>0</v>
      </c>
      <c r="C33" s="946">
        <f t="shared" si="5"/>
        <v>6.0125091594263585E-3</v>
      </c>
      <c r="D33" s="946">
        <f t="shared" si="5"/>
        <v>8.8104879118509671E-2</v>
      </c>
      <c r="E33" s="946">
        <f t="shared" si="5"/>
        <v>6.0895257720909729E-3</v>
      </c>
      <c r="F33" s="946">
        <f t="shared" si="5"/>
        <v>3.0554371875787926E-3</v>
      </c>
      <c r="G33" s="946">
        <f t="shared" si="5"/>
        <v>2.9657275190472657E-3</v>
      </c>
      <c r="H33" s="946" t="e">
        <f t="shared" si="5"/>
        <v>#REF!</v>
      </c>
      <c r="I33" s="557" t="s">
        <v>329</v>
      </c>
      <c r="K33" s="244"/>
      <c r="L33" s="244"/>
      <c r="M33" s="244"/>
      <c r="N33" s="244"/>
      <c r="O33" s="244"/>
      <c r="P33" s="244"/>
      <c r="Q33" s="244"/>
    </row>
    <row r="34" spans="1:21" s="245" customFormat="1" x14ac:dyDescent="0.2">
      <c r="A34" s="247"/>
      <c r="B34" s="265"/>
      <c r="C34" s="250"/>
      <c r="D34" s="250"/>
      <c r="K34" s="557"/>
      <c r="M34" s="557"/>
      <c r="N34" s="557"/>
      <c r="P34" s="180"/>
      <c r="Q34" s="185"/>
      <c r="R34" s="182"/>
      <c r="S34" s="182"/>
      <c r="T34" s="182"/>
      <c r="U34" s="244"/>
    </row>
    <row r="35" spans="1:21" s="245" customFormat="1" x14ac:dyDescent="0.2">
      <c r="A35" s="248" t="s">
        <v>194</v>
      </c>
      <c r="B35" s="270"/>
      <c r="C35" s="244"/>
      <c r="F35" s="276" t="s">
        <v>191</v>
      </c>
      <c r="K35" s="557"/>
      <c r="M35" s="557"/>
      <c r="N35" s="557"/>
      <c r="P35" s="180"/>
      <c r="Q35" s="185"/>
      <c r="R35" s="182"/>
      <c r="S35" s="182"/>
      <c r="T35" s="182"/>
      <c r="U35" s="244"/>
    </row>
    <row r="36" spans="1:21" s="245" customFormat="1" x14ac:dyDescent="0.2">
      <c r="A36" s="273" t="s">
        <v>185</v>
      </c>
      <c r="B36" s="250" t="s">
        <v>1</v>
      </c>
      <c r="C36" s="250" t="s">
        <v>186</v>
      </c>
      <c r="D36" s="250" t="s">
        <v>18</v>
      </c>
      <c r="F36" s="273" t="s">
        <v>185</v>
      </c>
      <c r="G36" s="250" t="s">
        <v>188</v>
      </c>
      <c r="H36" s="250" t="s">
        <v>186</v>
      </c>
      <c r="I36" s="250" t="s">
        <v>189</v>
      </c>
      <c r="K36" s="557"/>
      <c r="M36" s="557"/>
      <c r="N36" s="557"/>
    </row>
    <row r="37" spans="1:21" s="245" customFormat="1" x14ac:dyDescent="0.2">
      <c r="A37" s="273">
        <v>2012</v>
      </c>
      <c r="B37" s="313">
        <v>100000</v>
      </c>
      <c r="C37" s="283">
        <f>+B15</f>
        <v>91942</v>
      </c>
      <c r="D37" s="512">
        <f>IF(ISERROR(C37/B37),"-",(C37/B37))</f>
        <v>0.91942000000000002</v>
      </c>
      <c r="F37" s="273">
        <v>2012</v>
      </c>
      <c r="G37" s="554">
        <v>33896</v>
      </c>
      <c r="H37" s="554">
        <f>+B20</f>
        <v>27004</v>
      </c>
      <c r="I37" s="512">
        <f>IF(ISERROR(H37/G37),"-",(H37/G37))</f>
        <v>0.79667217370781218</v>
      </c>
      <c r="K37" s="557"/>
      <c r="M37" s="557"/>
      <c r="N37" s="557"/>
    </row>
    <row r="38" spans="1:21" s="245" customFormat="1" x14ac:dyDescent="0.2">
      <c r="A38" s="273">
        <v>2013</v>
      </c>
      <c r="B38" s="313">
        <v>100000</v>
      </c>
      <c r="C38" s="283">
        <f>C15</f>
        <v>91643.16</v>
      </c>
      <c r="D38" s="512">
        <f>IF(ISERROR(C38/B38),"-",(C38/B38))</f>
        <v>0.91643160000000001</v>
      </c>
      <c r="F38" s="273">
        <v>2013</v>
      </c>
      <c r="G38" s="554">
        <v>27592</v>
      </c>
      <c r="H38" s="536">
        <f>C20</f>
        <v>10963</v>
      </c>
      <c r="I38" s="512">
        <f>IF(ISERROR(H38/G38),"-",(H38/G38))</f>
        <v>0.39732531168454627</v>
      </c>
      <c r="K38" s="557"/>
      <c r="M38" s="557"/>
      <c r="N38" s="557"/>
    </row>
    <row r="39" spans="1:21" s="245" customFormat="1" x14ac:dyDescent="0.2">
      <c r="A39" s="273">
        <v>2014</v>
      </c>
      <c r="B39" s="274">
        <v>124329</v>
      </c>
      <c r="C39" s="274">
        <f>D15</f>
        <v>113253.08</v>
      </c>
      <c r="D39" s="275">
        <f>IF(ISERROR(C39/B39),"-",(C39/B39))</f>
        <v>0.91091442865300942</v>
      </c>
      <c r="F39" s="273">
        <v>2014</v>
      </c>
      <c r="G39" s="562">
        <v>31343</v>
      </c>
      <c r="H39" s="278">
        <f>D20</f>
        <v>37136</v>
      </c>
      <c r="I39" s="275">
        <f>IF(ISERROR(H39/G39),"-",(H39/G39))</f>
        <v>1.1848259579491434</v>
      </c>
      <c r="K39" s="557"/>
      <c r="M39" s="557"/>
      <c r="N39" s="557"/>
    </row>
    <row r="40" spans="1:21" s="245" customFormat="1" x14ac:dyDescent="0.2">
      <c r="A40" s="273">
        <v>2015</v>
      </c>
      <c r="B40" s="274">
        <f>E15</f>
        <v>141045</v>
      </c>
      <c r="C40" s="274"/>
      <c r="D40" s="275"/>
      <c r="F40" s="273">
        <v>2015</v>
      </c>
      <c r="G40" s="562">
        <f>E20</f>
        <v>36435</v>
      </c>
      <c r="H40" s="278"/>
      <c r="I40" s="275"/>
      <c r="K40" s="557"/>
      <c r="M40" s="557"/>
      <c r="N40" s="557"/>
    </row>
    <row r="41" spans="1:21" s="245" customFormat="1" x14ac:dyDescent="0.2">
      <c r="A41" s="273">
        <v>2016</v>
      </c>
      <c r="B41" s="309">
        <f>F15</f>
        <v>246510</v>
      </c>
      <c r="C41" s="314"/>
      <c r="F41" s="273">
        <v>2016</v>
      </c>
      <c r="G41" s="562">
        <f>F20</f>
        <v>57133.539187114569</v>
      </c>
      <c r="H41" s="168"/>
      <c r="I41" s="168"/>
      <c r="K41" s="557"/>
      <c r="M41" s="557"/>
      <c r="N41" s="557"/>
    </row>
    <row r="42" spans="1:21" s="245" customFormat="1" x14ac:dyDescent="0.2">
      <c r="A42" s="273">
        <v>2017</v>
      </c>
      <c r="B42" s="309">
        <f>G15</f>
        <v>225542</v>
      </c>
      <c r="C42" s="314"/>
      <c r="F42" s="273">
        <v>2017</v>
      </c>
      <c r="G42" s="562">
        <f>G20</f>
        <v>59697.524957851536</v>
      </c>
      <c r="H42" s="168"/>
      <c r="I42" s="168"/>
      <c r="K42" s="557"/>
      <c r="M42" s="557"/>
      <c r="N42" s="557"/>
    </row>
    <row r="43" spans="1:21" s="245" customFormat="1" x14ac:dyDescent="0.2">
      <c r="A43" s="273">
        <v>2018</v>
      </c>
      <c r="B43" s="309">
        <f>H15</f>
        <v>286415.23</v>
      </c>
      <c r="C43" s="314"/>
      <c r="F43" s="273">
        <v>2018</v>
      </c>
      <c r="G43" s="562" t="e">
        <f>H20</f>
        <v>#REF!</v>
      </c>
      <c r="H43" s="168"/>
      <c r="I43" s="168"/>
      <c r="K43" s="557"/>
      <c r="M43" s="557"/>
      <c r="N43" s="557"/>
    </row>
    <row r="44" spans="1:21" s="245" customFormat="1" x14ac:dyDescent="0.2">
      <c r="A44" s="273"/>
      <c r="C44" s="314"/>
      <c r="F44" s="273"/>
      <c r="G44" s="168"/>
      <c r="H44" s="168"/>
      <c r="I44" s="168"/>
      <c r="K44" s="557"/>
      <c r="M44" s="557"/>
      <c r="N44" s="557"/>
    </row>
    <row r="45" spans="1:21" s="245" customFormat="1" x14ac:dyDescent="0.2">
      <c r="A45" s="276" t="s">
        <v>193</v>
      </c>
      <c r="F45" s="276" t="s">
        <v>190</v>
      </c>
      <c r="G45" s="168"/>
      <c r="H45" s="168"/>
      <c r="I45" s="168"/>
      <c r="K45" s="557"/>
      <c r="M45" s="557"/>
      <c r="N45" s="557"/>
    </row>
    <row r="46" spans="1:21" s="245" customFormat="1" x14ac:dyDescent="0.2">
      <c r="A46" s="273" t="s">
        <v>185</v>
      </c>
      <c r="B46" s="250" t="s">
        <v>188</v>
      </c>
      <c r="C46" s="250" t="s">
        <v>186</v>
      </c>
      <c r="D46" s="250" t="s">
        <v>189</v>
      </c>
      <c r="F46" s="273" t="s">
        <v>185</v>
      </c>
      <c r="G46" s="250" t="s">
        <v>188</v>
      </c>
      <c r="H46" s="250" t="s">
        <v>186</v>
      </c>
      <c r="I46" s="250" t="s">
        <v>189</v>
      </c>
      <c r="K46" s="557"/>
      <c r="M46" s="557"/>
      <c r="N46" s="557"/>
    </row>
    <row r="47" spans="1:21" s="245" customFormat="1" x14ac:dyDescent="0.2">
      <c r="A47" s="273">
        <v>2012</v>
      </c>
      <c r="B47" s="536">
        <v>12</v>
      </c>
      <c r="C47" s="536">
        <f>+B28</f>
        <v>27</v>
      </c>
      <c r="D47" s="512">
        <f>IF(ISERROR(C47/B47),"-",(C47/B47))</f>
        <v>2.25</v>
      </c>
      <c r="F47" s="273">
        <v>2012</v>
      </c>
      <c r="G47" s="536">
        <v>389894</v>
      </c>
      <c r="H47" s="536">
        <f>+B21</f>
        <v>378102</v>
      </c>
      <c r="I47" s="512">
        <f>IF(ISERROR(H47/G47),"-",(H47/G47))</f>
        <v>0.96975588236802823</v>
      </c>
      <c r="K47" s="557"/>
      <c r="M47" s="557"/>
      <c r="N47" s="557"/>
    </row>
    <row r="48" spans="1:21" s="245" customFormat="1" x14ac:dyDescent="0.2">
      <c r="A48" s="273">
        <v>2013</v>
      </c>
      <c r="B48" s="314">
        <v>4</v>
      </c>
      <c r="C48" s="278">
        <f>C28</f>
        <v>72</v>
      </c>
      <c r="D48" s="512">
        <f>IF(ISERROR(C48/B48),"-",(C48/B48))</f>
        <v>18</v>
      </c>
      <c r="F48" s="273">
        <v>2013</v>
      </c>
      <c r="G48" s="562">
        <v>310905</v>
      </c>
      <c r="H48" s="536">
        <f>C21</f>
        <v>152848</v>
      </c>
      <c r="I48" s="512">
        <f>IF(ISERROR(H48/G48),"-",(H48/G48))</f>
        <v>0.49162284299062414</v>
      </c>
      <c r="K48" s="557"/>
      <c r="M48" s="557"/>
      <c r="N48" s="557"/>
    </row>
    <row r="49" spans="1:14" s="245" customFormat="1" x14ac:dyDescent="0.2">
      <c r="A49" s="273">
        <v>2014</v>
      </c>
      <c r="B49" s="278">
        <v>4</v>
      </c>
      <c r="C49" s="278">
        <f>D28</f>
        <v>57</v>
      </c>
      <c r="D49" s="275">
        <f>IF(ISERROR(C49/B49),"-",(C49/B49))</f>
        <v>14.25</v>
      </c>
      <c r="F49" s="273">
        <v>2014</v>
      </c>
      <c r="G49" s="314">
        <v>353167</v>
      </c>
      <c r="H49" s="278">
        <f>D21</f>
        <v>408127</v>
      </c>
      <c r="I49" s="275">
        <f>IF(ISERROR(H49/G49),"-",(H49/G49))</f>
        <v>1.1556204288622662</v>
      </c>
      <c r="K49" s="557"/>
      <c r="M49" s="557"/>
      <c r="N49" s="557"/>
    </row>
    <row r="50" spans="1:14" s="245" customFormat="1" x14ac:dyDescent="0.2">
      <c r="A50" s="273">
        <v>2015</v>
      </c>
      <c r="B50" s="278">
        <f>E28</f>
        <v>5</v>
      </c>
      <c r="C50" s="278"/>
      <c r="D50" s="275"/>
      <c r="F50" s="273">
        <v>2015</v>
      </c>
      <c r="G50" s="314">
        <f>E21</f>
        <v>410541</v>
      </c>
      <c r="H50" s="278"/>
      <c r="I50" s="275"/>
      <c r="K50" s="557"/>
      <c r="M50" s="557"/>
      <c r="N50" s="557"/>
    </row>
    <row r="51" spans="1:14" s="245" customFormat="1" x14ac:dyDescent="0.2">
      <c r="A51" s="273">
        <v>2016</v>
      </c>
      <c r="B51" s="278">
        <f>F28</f>
        <v>62.578556233846037</v>
      </c>
      <c r="F51" s="273">
        <v>2016</v>
      </c>
      <c r="G51" s="314">
        <f>F21</f>
        <v>806758.52543161903</v>
      </c>
      <c r="K51" s="557"/>
      <c r="M51" s="557"/>
      <c r="N51" s="557"/>
    </row>
    <row r="52" spans="1:14" s="245" customFormat="1" x14ac:dyDescent="0.2">
      <c r="A52" s="273">
        <v>2017</v>
      </c>
      <c r="B52" s="278">
        <f>G28</f>
        <v>65.386898409382596</v>
      </c>
      <c r="F52" s="273">
        <v>2017</v>
      </c>
      <c r="G52" s="314">
        <f>G21</f>
        <v>842963.48330851388</v>
      </c>
      <c r="K52" s="557"/>
      <c r="M52" s="557"/>
      <c r="N52" s="557"/>
    </row>
    <row r="53" spans="1:14" s="245" customFormat="1" x14ac:dyDescent="0.2">
      <c r="A53" s="273">
        <v>2018</v>
      </c>
      <c r="B53" s="278" t="e">
        <f>H28</f>
        <v>#REF!</v>
      </c>
      <c r="F53" s="273">
        <v>2018</v>
      </c>
      <c r="G53" s="314" t="e">
        <f>H21</f>
        <v>#REF!</v>
      </c>
      <c r="K53" s="557"/>
      <c r="M53" s="557"/>
      <c r="N53" s="557"/>
    </row>
    <row r="54" spans="1:14" s="245" customFormat="1" x14ac:dyDescent="0.2">
      <c r="K54" s="557"/>
      <c r="M54" s="557"/>
      <c r="N54" s="557"/>
    </row>
    <row r="55" spans="1:14" s="245" customFormat="1" x14ac:dyDescent="0.2">
      <c r="K55" s="557"/>
      <c r="M55" s="557"/>
      <c r="N55" s="557"/>
    </row>
    <row r="56" spans="1:14" s="245" customFormat="1" x14ac:dyDescent="0.2">
      <c r="K56" s="557"/>
      <c r="M56" s="557"/>
      <c r="N56" s="557"/>
    </row>
    <row r="57" spans="1:14" s="245" customFormat="1" x14ac:dyDescent="0.2">
      <c r="K57" s="557"/>
      <c r="M57" s="557"/>
      <c r="N57" s="557"/>
    </row>
    <row r="58" spans="1:14" x14ac:dyDescent="0.2">
      <c r="K58" s="557"/>
      <c r="M58" s="557"/>
      <c r="N58" s="557"/>
    </row>
    <row r="59" spans="1:14" x14ac:dyDescent="0.2">
      <c r="K59" s="557"/>
      <c r="M59" s="557"/>
      <c r="N59" s="557"/>
    </row>
    <row r="60" spans="1:14" x14ac:dyDescent="0.2">
      <c r="K60" s="557"/>
      <c r="M60" s="557"/>
      <c r="N60" s="557"/>
    </row>
    <row r="61" spans="1:14" x14ac:dyDescent="0.2">
      <c r="K61" s="557"/>
      <c r="M61" s="557"/>
      <c r="N61" s="557"/>
    </row>
    <row r="62" spans="1:14" x14ac:dyDescent="0.2">
      <c r="K62" s="181"/>
      <c r="M62" s="181"/>
      <c r="N62" s="181"/>
    </row>
  </sheetData>
  <mergeCells count="1">
    <mergeCell ref="A1:I1"/>
  </mergeCells>
  <phoneticPr fontId="10" type="noConversion"/>
  <pageMargins left="0.98" right="0.75" top="1.1499999999999999" bottom="1" header="0.5" footer="0.5"/>
  <pageSetup scale="82" fitToHeight="0" orientation="landscape" r:id="rId1"/>
  <headerFooter alignWithMargins="0">
    <oddFooter>&amp;C&amp;1#&amp;"Calibri"&amp;12&amp;K008000Internal Use</oddFooter>
  </headerFooter>
  <rowBreaks count="2" manualBreakCount="2">
    <brk id="34" max="8" man="1"/>
    <brk id="64" max="1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8">
    <tabColor indexed="47"/>
    <pageSetUpPr fitToPage="1"/>
  </sheetPr>
  <dimension ref="A1:O17"/>
  <sheetViews>
    <sheetView zoomScaleNormal="100" workbookViewId="0">
      <selection activeCell="W61" sqref="W61"/>
    </sheetView>
  </sheetViews>
  <sheetFormatPr defaultRowHeight="12.75" x14ac:dyDescent="0.2"/>
  <cols>
    <col min="1" max="1" width="41.5703125" style="168" bestFit="1" customWidth="1"/>
    <col min="2" max="2" width="13.28515625" style="168" customWidth="1"/>
    <col min="3" max="3" width="14.42578125" style="168" customWidth="1"/>
    <col min="4" max="6" width="13.42578125" style="168" customWidth="1"/>
    <col min="7"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76</v>
      </c>
      <c r="B1" s="3055"/>
      <c r="C1" s="3055"/>
      <c r="D1" s="3055"/>
      <c r="E1" s="3055"/>
      <c r="F1" s="3055"/>
      <c r="G1" s="1914"/>
      <c r="H1" s="1914"/>
      <c r="I1" s="1914"/>
      <c r="J1" s="1914"/>
      <c r="K1" s="1914"/>
      <c r="L1" s="1914"/>
      <c r="M1" s="1914"/>
      <c r="N1" s="1914"/>
      <c r="O1" s="1914"/>
    </row>
    <row r="2" spans="1:15" x14ac:dyDescent="0.2">
      <c r="A2" s="169"/>
      <c r="B2" s="169"/>
    </row>
    <row r="3" spans="1:15" ht="18.75" x14ac:dyDescent="0.25">
      <c r="A3" s="172" t="s">
        <v>574</v>
      </c>
      <c r="B3" s="172"/>
    </row>
    <row r="4" spans="1:15" x14ac:dyDescent="0.2">
      <c r="A4" s="169"/>
      <c r="B4" s="169"/>
    </row>
    <row r="5" spans="1:15" x14ac:dyDescent="0.2">
      <c r="A5" s="173"/>
      <c r="B5" s="173"/>
      <c r="K5" s="704"/>
      <c r="L5" s="794"/>
      <c r="M5" s="704"/>
      <c r="N5" s="704"/>
    </row>
    <row r="6" spans="1:15" s="245" customFormat="1" x14ac:dyDescent="0.2">
      <c r="A6" s="242"/>
      <c r="B6" s="243">
        <v>2014</v>
      </c>
      <c r="C6" s="243">
        <v>2015</v>
      </c>
      <c r="D6" s="243">
        <v>2016</v>
      </c>
      <c r="E6" s="243">
        <v>2017</v>
      </c>
      <c r="F6" s="243">
        <v>2018</v>
      </c>
    </row>
    <row r="7" spans="1:15" s="245" customFormat="1" x14ac:dyDescent="0.2">
      <c r="A7" s="247" t="s">
        <v>44</v>
      </c>
      <c r="B7" s="248" t="s">
        <v>148</v>
      </c>
      <c r="C7" s="248" t="s">
        <v>1</v>
      </c>
      <c r="D7" s="248" t="s">
        <v>1</v>
      </c>
      <c r="E7" s="248" t="s">
        <v>1</v>
      </c>
      <c r="F7" s="248" t="s">
        <v>1</v>
      </c>
    </row>
    <row r="8" spans="1:15" s="245" customFormat="1" x14ac:dyDescent="0.2">
      <c r="A8" s="244"/>
      <c r="B8" s="244"/>
      <c r="C8" s="575"/>
      <c r="D8" s="575"/>
      <c r="E8" s="575"/>
      <c r="F8" s="575"/>
    </row>
    <row r="9" spans="1:15" s="245" customFormat="1" x14ac:dyDescent="0.2">
      <c r="A9" s="244" t="s">
        <v>53</v>
      </c>
      <c r="B9" s="252">
        <v>6513</v>
      </c>
      <c r="C9" s="252">
        <v>7655</v>
      </c>
      <c r="D9" s="252">
        <f>'CNG Table C 2016'!$C$32</f>
        <v>0</v>
      </c>
      <c r="E9" s="252">
        <f>'CNG Table C 2017'!$C$32</f>
        <v>0</v>
      </c>
      <c r="F9" s="252" t="e">
        <f>'CNG Table C 2019'!#REF!</f>
        <v>#REF!</v>
      </c>
    </row>
    <row r="10" spans="1:15" s="245" customFormat="1" x14ac:dyDescent="0.2">
      <c r="A10" s="244" t="s">
        <v>45</v>
      </c>
      <c r="B10" s="252">
        <f>53327.769516+88</f>
        <v>53415.769516</v>
      </c>
      <c r="C10" s="252">
        <v>67845</v>
      </c>
      <c r="D10" s="252">
        <f>'CNG Table C 2016'!$E$32</f>
        <v>0</v>
      </c>
      <c r="E10" s="252">
        <f>'CNG Table C 2017'!$E$32</f>
        <v>0</v>
      </c>
      <c r="F10" s="252" t="e">
        <f>'CNG Table C 2019'!#REF!</f>
        <v>#REF!</v>
      </c>
    </row>
    <row r="11" spans="1:15" s="245" customFormat="1" x14ac:dyDescent="0.2">
      <c r="A11" s="244" t="s">
        <v>202</v>
      </c>
      <c r="B11" s="252">
        <v>3334</v>
      </c>
      <c r="C11" s="252">
        <v>1000</v>
      </c>
      <c r="D11" s="252">
        <f>'CNG Table C 2016'!$D$32</f>
        <v>0</v>
      </c>
      <c r="E11" s="252">
        <f>'CNG Table C 2017'!$D$32</f>
        <v>0</v>
      </c>
      <c r="F11" s="252" t="e">
        <f>'CNG Table C 2019'!#REF!</f>
        <v>#REF!</v>
      </c>
    </row>
    <row r="12" spans="1:15" s="245" customFormat="1" x14ac:dyDescent="0.2">
      <c r="A12" s="244" t="s">
        <v>2</v>
      </c>
      <c r="B12" s="252">
        <v>0</v>
      </c>
      <c r="C12" s="257">
        <v>0</v>
      </c>
      <c r="D12" s="257">
        <f>'CNG Table C 2016'!$F$32</f>
        <v>0</v>
      </c>
      <c r="E12" s="257">
        <f>'CNG Table C 2017'!$F$32</f>
        <v>0</v>
      </c>
      <c r="F12" s="257" t="e">
        <f>'CNG Table C 2019'!#REF!</f>
        <v>#REF!</v>
      </c>
    </row>
    <row r="13" spans="1:15" s="245" customFormat="1" x14ac:dyDescent="0.2">
      <c r="A13" s="244" t="s">
        <v>14</v>
      </c>
      <c r="B13" s="252">
        <v>103690</v>
      </c>
      <c r="C13" s="252">
        <v>5000</v>
      </c>
      <c r="D13" s="252">
        <f>'CNG Table C 2016'!$G$32</f>
        <v>0</v>
      </c>
      <c r="E13" s="252">
        <f>'CNG Table C 2017'!$G$32</f>
        <v>0</v>
      </c>
      <c r="F13" s="252" t="e">
        <f>'CNG Table C 2019'!#REF!</f>
        <v>#REF!</v>
      </c>
    </row>
    <row r="14" spans="1:15" s="245" customFormat="1" ht="15" x14ac:dyDescent="0.35">
      <c r="A14" s="244" t="s">
        <v>46</v>
      </c>
      <c r="B14" s="256">
        <v>0</v>
      </c>
      <c r="C14" s="256">
        <v>500</v>
      </c>
      <c r="D14" s="256">
        <f>'CNG Table C 2016'!$H$32</f>
        <v>0</v>
      </c>
      <c r="E14" s="256">
        <f>'CNG Table C 2017'!$H$32</f>
        <v>0</v>
      </c>
      <c r="F14" s="256" t="e">
        <f>'CNG Table C 2019'!#REF!</f>
        <v>#REF!</v>
      </c>
    </row>
    <row r="15" spans="1:15" s="245" customFormat="1" x14ac:dyDescent="0.2">
      <c r="A15" s="244" t="s">
        <v>86</v>
      </c>
      <c r="B15" s="504">
        <f>SUM(B9:B14)</f>
        <v>166952.769516</v>
      </c>
      <c r="C15" s="504">
        <f>SUM(C9:C14)</f>
        <v>82000</v>
      </c>
      <c r="D15" s="504">
        <f>SUM(D9:D14)</f>
        <v>0</v>
      </c>
      <c r="E15" s="504">
        <f>SUM(E9:E14)</f>
        <v>0</v>
      </c>
      <c r="F15" s="504" t="e">
        <f>SUM(F9:F14)</f>
        <v>#REF!</v>
      </c>
    </row>
    <row r="16" spans="1:15" s="245" customFormat="1" x14ac:dyDescent="0.2">
      <c r="A16" s="244"/>
      <c r="B16" s="244"/>
      <c r="C16" s="284"/>
      <c r="D16" s="284"/>
      <c r="E16" s="284"/>
      <c r="F16" s="284"/>
    </row>
    <row r="17" spans="1:6" s="245" customFormat="1" x14ac:dyDescent="0.2">
      <c r="A17" s="262"/>
      <c r="B17" s="262"/>
      <c r="C17" s="294"/>
      <c r="D17" s="294"/>
      <c r="E17" s="294"/>
      <c r="F17" s="294"/>
    </row>
  </sheetData>
  <mergeCells count="1">
    <mergeCell ref="A1:F1"/>
  </mergeCells>
  <pageMargins left="0.98" right="0.75" top="1.1499999999999999" bottom="1" header="0.5" footer="0.5"/>
  <pageSetup fitToHeight="0" orientation="landscape" r:id="rId1"/>
  <headerFooter alignWithMargins="0">
    <oddFooter>&amp;C&amp;1#&amp;"Calibri"&amp;12&amp;K008000Internal Use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indexed="47"/>
    <pageSetUpPr fitToPage="1"/>
  </sheetPr>
  <dimension ref="A1:U67"/>
  <sheetViews>
    <sheetView tabSelected="1" zoomScale="70" zoomScaleNormal="70" workbookViewId="0">
      <selection activeCell="M13" sqref="M13"/>
    </sheetView>
  </sheetViews>
  <sheetFormatPr defaultRowHeight="12.75" x14ac:dyDescent="0.2"/>
  <cols>
    <col min="1" max="1" width="6.42578125" bestFit="1" customWidth="1"/>
    <col min="2" max="2" width="68.7109375" customWidth="1"/>
    <col min="3" max="4" width="20.7109375" customWidth="1"/>
    <col min="5" max="6" width="20.7109375" style="2838" customWidth="1"/>
    <col min="7" max="7" width="20.7109375" customWidth="1"/>
    <col min="8" max="9" width="20.7109375" style="2838" customWidth="1"/>
    <col min="10" max="10" width="20.7109375" customWidth="1"/>
    <col min="11" max="12" width="20.85546875" style="2838" customWidth="1"/>
    <col min="13" max="13" width="20.85546875" customWidth="1"/>
    <col min="14" max="14" width="20.85546875" style="2838" customWidth="1"/>
  </cols>
  <sheetData>
    <row r="1" spans="1:14" ht="23.25" x14ac:dyDescent="0.35">
      <c r="B1" s="501"/>
    </row>
    <row r="2" spans="1:14" ht="20.25" customHeight="1" x14ac:dyDescent="0.3">
      <c r="B2" s="2474" t="s">
        <v>231</v>
      </c>
      <c r="C2" s="2651"/>
      <c r="D2" s="2651"/>
      <c r="E2" s="2651"/>
      <c r="F2" s="2651"/>
      <c r="G2" s="2651"/>
      <c r="H2" s="2651"/>
      <c r="I2" s="2651"/>
      <c r="J2" s="2651"/>
      <c r="K2" s="2651"/>
      <c r="L2" s="2651"/>
      <c r="M2" s="2651"/>
      <c r="N2" s="2651"/>
    </row>
    <row r="3" spans="1:14" ht="20.25" customHeight="1" x14ac:dyDescent="0.3">
      <c r="A3" s="3"/>
      <c r="B3" s="2474" t="s">
        <v>225</v>
      </c>
      <c r="C3" s="2651"/>
      <c r="D3" s="2651"/>
      <c r="E3" s="2651"/>
      <c r="F3" s="2651"/>
      <c r="G3" s="2651"/>
      <c r="H3" s="2651"/>
      <c r="I3" s="2651"/>
      <c r="J3" s="2651"/>
      <c r="K3" s="2651"/>
      <c r="L3" s="2651"/>
      <c r="M3" s="2651"/>
      <c r="N3" s="2651"/>
    </row>
    <row r="4" spans="1:14" ht="20.25" customHeight="1" x14ac:dyDescent="0.3">
      <c r="A4" s="3"/>
      <c r="B4" s="2474" t="s">
        <v>614</v>
      </c>
      <c r="C4" s="2651"/>
      <c r="D4" s="2651"/>
      <c r="E4" s="2651"/>
      <c r="F4" s="2651"/>
      <c r="G4" s="2651"/>
      <c r="H4" s="2651"/>
      <c r="I4" s="2651"/>
      <c r="J4" s="2651"/>
      <c r="K4" s="2651"/>
      <c r="L4" s="2651"/>
      <c r="M4" s="2651"/>
      <c r="N4" s="2651"/>
    </row>
    <row r="5" spans="1:14" ht="20.25" customHeight="1" x14ac:dyDescent="0.3">
      <c r="A5" s="3"/>
      <c r="B5" s="949"/>
    </row>
    <row r="6" spans="1:14" ht="20.25" customHeight="1" thickBot="1" x14ac:dyDescent="0.35">
      <c r="A6" s="3"/>
      <c r="B6" s="213"/>
    </row>
    <row r="7" spans="1:14" s="752" customFormat="1" ht="17.25" customHeight="1" x14ac:dyDescent="0.3">
      <c r="A7" s="15"/>
      <c r="B7" s="2686"/>
      <c r="C7" s="2687">
        <v>44196</v>
      </c>
      <c r="D7" s="2687">
        <v>44256</v>
      </c>
      <c r="E7" s="2687">
        <v>44561</v>
      </c>
      <c r="F7" s="2687">
        <v>44501</v>
      </c>
      <c r="G7" s="2687">
        <v>44621</v>
      </c>
      <c r="H7" s="2687">
        <v>44501</v>
      </c>
      <c r="I7" s="2687">
        <v>44621</v>
      </c>
      <c r="J7" s="2687">
        <v>44866</v>
      </c>
      <c r="K7" s="2687">
        <v>44501</v>
      </c>
      <c r="L7" s="2687">
        <v>44621</v>
      </c>
      <c r="M7" s="2687">
        <v>44866</v>
      </c>
      <c r="N7" s="2687">
        <v>44866</v>
      </c>
    </row>
    <row r="8" spans="1:14" ht="17.25" customHeight="1" x14ac:dyDescent="0.3">
      <c r="A8" s="15"/>
      <c r="B8" s="2688"/>
      <c r="C8" s="2689">
        <v>2020</v>
      </c>
      <c r="D8" s="2689">
        <v>2021</v>
      </c>
      <c r="E8" s="2689">
        <v>2021</v>
      </c>
      <c r="F8" s="2689">
        <v>2022</v>
      </c>
      <c r="G8" s="2689">
        <v>2022</v>
      </c>
      <c r="H8" s="2689">
        <v>2023</v>
      </c>
      <c r="I8" s="2689">
        <v>2023</v>
      </c>
      <c r="J8" s="2689">
        <v>2023</v>
      </c>
      <c r="K8" s="2689">
        <v>2024</v>
      </c>
      <c r="L8" s="2689">
        <v>2024</v>
      </c>
      <c r="M8" s="2689">
        <v>2024</v>
      </c>
      <c r="N8" s="2689">
        <v>2025</v>
      </c>
    </row>
    <row r="9" spans="1:14" ht="16.5" customHeight="1" x14ac:dyDescent="0.3">
      <c r="A9" s="15"/>
      <c r="B9" s="2689" t="s">
        <v>615</v>
      </c>
      <c r="C9" s="2689" t="s">
        <v>37</v>
      </c>
      <c r="D9" s="2689" t="s">
        <v>37</v>
      </c>
      <c r="E9" s="2689" t="s">
        <v>37</v>
      </c>
      <c r="F9" s="2689" t="s">
        <v>37</v>
      </c>
      <c r="G9" s="2689" t="s">
        <v>37</v>
      </c>
      <c r="H9" s="2689" t="s">
        <v>37</v>
      </c>
      <c r="I9" s="2689" t="s">
        <v>37</v>
      </c>
      <c r="J9" s="2689" t="s">
        <v>37</v>
      </c>
      <c r="K9" s="2689" t="s">
        <v>37</v>
      </c>
      <c r="L9" s="2689" t="s">
        <v>37</v>
      </c>
      <c r="M9" s="2689" t="s">
        <v>37</v>
      </c>
      <c r="N9" s="2689" t="s">
        <v>37</v>
      </c>
    </row>
    <row r="10" spans="1:14" ht="16.5" customHeight="1" x14ac:dyDescent="0.3">
      <c r="A10" s="15"/>
      <c r="B10" s="2689"/>
      <c r="C10" s="2689" t="s">
        <v>186</v>
      </c>
      <c r="D10" s="2689" t="s">
        <v>1</v>
      </c>
      <c r="E10" s="2689" t="s">
        <v>821</v>
      </c>
      <c r="F10" s="2689" t="s">
        <v>1</v>
      </c>
      <c r="G10" s="2689" t="s">
        <v>1</v>
      </c>
      <c r="H10" s="2689" t="s">
        <v>1</v>
      </c>
      <c r="I10" s="2689" t="s">
        <v>1</v>
      </c>
      <c r="J10" s="2689" t="s">
        <v>1</v>
      </c>
      <c r="K10" s="2689" t="s">
        <v>1</v>
      </c>
      <c r="L10" s="2689" t="s">
        <v>1</v>
      </c>
      <c r="M10" s="2689" t="s">
        <v>1</v>
      </c>
      <c r="N10" s="2689" t="s">
        <v>1</v>
      </c>
    </row>
    <row r="11" spans="1:14" ht="18" customHeight="1" thickBot="1" x14ac:dyDescent="0.35">
      <c r="A11" s="15"/>
      <c r="B11" s="2690"/>
      <c r="C11" s="2691" t="s">
        <v>820</v>
      </c>
      <c r="D11" s="2691" t="s">
        <v>542</v>
      </c>
      <c r="E11" s="2691" t="s">
        <v>820</v>
      </c>
      <c r="F11" s="2691" t="s">
        <v>542</v>
      </c>
      <c r="G11" s="2691" t="s">
        <v>542</v>
      </c>
      <c r="H11" s="2691" t="s">
        <v>542</v>
      </c>
      <c r="I11" s="2691" t="s">
        <v>542</v>
      </c>
      <c r="J11" s="2691" t="s">
        <v>542</v>
      </c>
      <c r="K11" s="2691" t="s">
        <v>542</v>
      </c>
      <c r="L11" s="2691" t="s">
        <v>542</v>
      </c>
      <c r="M11" s="2691" t="s">
        <v>542</v>
      </c>
      <c r="N11" s="2691" t="s">
        <v>542</v>
      </c>
    </row>
    <row r="12" spans="1:14" s="13" customFormat="1" ht="21" thickBot="1" x14ac:dyDescent="0.35">
      <c r="A12" s="15"/>
      <c r="B12" s="2700" t="s">
        <v>115</v>
      </c>
      <c r="C12" s="2700"/>
      <c r="D12" s="2700"/>
      <c r="E12" s="2700"/>
      <c r="F12" s="2700"/>
      <c r="G12" s="2700"/>
      <c r="H12" s="2700"/>
      <c r="I12" s="2700"/>
      <c r="J12" s="2700"/>
      <c r="K12" s="2700"/>
      <c r="L12" s="2700"/>
      <c r="M12" s="2700"/>
      <c r="N12" s="2700"/>
    </row>
    <row r="13" spans="1:14" s="15" customFormat="1" ht="21" thickBot="1" x14ac:dyDescent="0.35">
      <c r="A13" s="16" t="s">
        <v>9</v>
      </c>
      <c r="B13" s="2696" t="s">
        <v>741</v>
      </c>
      <c r="C13" s="2692">
        <v>470451</v>
      </c>
      <c r="D13" s="2692">
        <v>739127.19750000001</v>
      </c>
      <c r="E13" s="2692">
        <v>21028</v>
      </c>
      <c r="F13" s="2692">
        <v>677883.52745541581</v>
      </c>
      <c r="G13" s="2692">
        <f>'CNG Table C 2022'!$K$12</f>
        <v>480479.74209008168</v>
      </c>
      <c r="H13" s="2692">
        <v>692644.09324727755</v>
      </c>
      <c r="I13" s="2692">
        <v>587523.49999818159</v>
      </c>
      <c r="J13" s="2692">
        <f>'CNG Table C 2023'!$K$12</f>
        <v>293761.55409718014</v>
      </c>
      <c r="K13" s="2692">
        <v>696740.30373997544</v>
      </c>
      <c r="L13" s="2692">
        <v>562809.69828844559</v>
      </c>
      <c r="M13" s="2692">
        <f>'CNG Table C 2024'!$K$12</f>
        <v>117504.62163887206</v>
      </c>
      <c r="N13" s="2692">
        <f>'CNG Table C 2025'!$K$12</f>
        <v>58752.310819436032</v>
      </c>
    </row>
    <row r="14" spans="1:14" s="3" customFormat="1" ht="21" thickBot="1" x14ac:dyDescent="0.35">
      <c r="A14" s="16" t="s">
        <v>9</v>
      </c>
      <c r="B14" s="2696" t="s">
        <v>742</v>
      </c>
      <c r="C14" s="2692">
        <v>2497610</v>
      </c>
      <c r="D14" s="2692">
        <v>2842878.0381</v>
      </c>
      <c r="E14" s="2692">
        <v>4516900</v>
      </c>
      <c r="F14" s="2692">
        <v>2911380.5622832589</v>
      </c>
      <c r="G14" s="2692">
        <f>'CNG Table C 2022'!$K$13</f>
        <v>2689118.5486931698</v>
      </c>
      <c r="H14" s="2692">
        <v>2974774.5388957546</v>
      </c>
      <c r="I14" s="2692">
        <v>2966299.9883060101</v>
      </c>
      <c r="J14" s="2692">
        <f>'CNG Table C 2023'!$K$13</f>
        <v>3317020.5047965101</v>
      </c>
      <c r="K14" s="2692">
        <v>2992366.9832671606</v>
      </c>
      <c r="L14" s="2692">
        <v>2954522.8198093297</v>
      </c>
      <c r="M14" s="2692">
        <f>'CNG Table C 2024'!$K$13</f>
        <v>3331236.7278325986</v>
      </c>
      <c r="N14" s="2692">
        <f>'CNG Table C 2025'!$K$13</f>
        <v>3376762.1020240057</v>
      </c>
    </row>
    <row r="15" spans="1:14" s="3" customFormat="1" ht="21" thickBot="1" x14ac:dyDescent="0.35">
      <c r="A15" s="2595" t="s">
        <v>705</v>
      </c>
      <c r="B15" s="2696" t="s">
        <v>759</v>
      </c>
      <c r="C15" s="2692">
        <v>2683072</v>
      </c>
      <c r="D15" s="2692">
        <v>2321127.4208678901</v>
      </c>
      <c r="E15" s="2692">
        <v>3010011</v>
      </c>
      <c r="F15" s="2692">
        <v>1825036.1772115724</v>
      </c>
      <c r="G15" s="2692">
        <f>'CNG Table C 2022'!$K$14</f>
        <v>1356035.2151158133</v>
      </c>
      <c r="H15" s="2692">
        <v>1865615.2936711651</v>
      </c>
      <c r="I15" s="2692">
        <v>1627345.8779161233</v>
      </c>
      <c r="J15" s="2692">
        <f>'CNG Table C 2023'!$K$14</f>
        <v>1062339.0412094784</v>
      </c>
      <c r="K15" s="2692">
        <v>1874345.348058529</v>
      </c>
      <c r="L15" s="2692">
        <v>1574394.1154608033</v>
      </c>
      <c r="M15" s="2692">
        <f>'CNG Table C 2024'!$K$14</f>
        <v>1062339.4158166039</v>
      </c>
      <c r="N15" s="2692">
        <f>'CNG Table C 2025'!$K$14</f>
        <v>1062339.4158166039</v>
      </c>
    </row>
    <row r="16" spans="1:14" s="3" customFormat="1" ht="21" thickBot="1" x14ac:dyDescent="0.35">
      <c r="A16" s="16" t="s">
        <v>9</v>
      </c>
      <c r="B16" s="2696" t="s">
        <v>760</v>
      </c>
      <c r="C16" s="2693">
        <v>96254</v>
      </c>
      <c r="D16" s="2693">
        <v>4288661.3418320501</v>
      </c>
      <c r="E16" s="2693">
        <v>3696772</v>
      </c>
      <c r="F16" s="2693">
        <v>3937478.0725342045</v>
      </c>
      <c r="G16" s="2693">
        <f>'CNG Table C 2022'!$K$15</f>
        <v>3735755.1693553999</v>
      </c>
      <c r="H16" s="2693">
        <v>4020763.3010312896</v>
      </c>
      <c r="I16" s="2693">
        <v>4248282.7373723304</v>
      </c>
      <c r="J16" s="2693">
        <f>'CNG Table C 2023'!$K$15</f>
        <v>4737409.9147097096</v>
      </c>
      <c r="K16" s="2693">
        <v>4044541.5920510334</v>
      </c>
      <c r="L16" s="2693">
        <v>4305852.94586372</v>
      </c>
      <c r="M16" s="2693">
        <f>'CNG Table C 2024'!$K$15</f>
        <v>4862141.4270319892</v>
      </c>
      <c r="N16" s="2693">
        <f>'CNG Table C 2025'!$K$15</f>
        <v>4918338.133831637</v>
      </c>
    </row>
    <row r="17" spans="1:14" s="3" customFormat="1" ht="21" thickBot="1" x14ac:dyDescent="0.35">
      <c r="A17" s="16" t="s">
        <v>9</v>
      </c>
      <c r="B17" s="2696" t="s">
        <v>531</v>
      </c>
      <c r="C17" s="2692">
        <v>151126</v>
      </c>
      <c r="D17" s="2692">
        <v>162490.66319999998</v>
      </c>
      <c r="E17" s="2692">
        <v>62321</v>
      </c>
      <c r="F17" s="2692">
        <v>149032.62816220766</v>
      </c>
      <c r="G17" s="2692">
        <f>'CNG Table C 2022'!$K$16</f>
        <v>133390.88669326584</v>
      </c>
      <c r="H17" s="2692">
        <v>152277.7363941959</v>
      </c>
      <c r="I17" s="2692">
        <v>152234.43835844609</v>
      </c>
      <c r="J17" s="2692">
        <f>'CNG Table C 2023'!$K$16</f>
        <v>171155.52915580795</v>
      </c>
      <c r="K17" s="2692">
        <v>153178.29205491726</v>
      </c>
      <c r="L17" s="2692">
        <v>151744.61195351373</v>
      </c>
      <c r="M17" s="2692">
        <f>'CNG Table C 2024'!$K$16</f>
        <v>176102.00105573717</v>
      </c>
      <c r="N17" s="2692">
        <f>'CNG Table C 2025'!$K$16</f>
        <v>177199.52260588371</v>
      </c>
    </row>
    <row r="18" spans="1:14" ht="21" thickBot="1" x14ac:dyDescent="0.35">
      <c r="A18" s="15"/>
      <c r="B18" s="2697" t="s">
        <v>743</v>
      </c>
      <c r="C18" s="2694">
        <f t="shared" ref="C18:E18" si="0">SUM(C13:C17)</f>
        <v>5898513</v>
      </c>
      <c r="D18" s="2694">
        <f t="shared" si="0"/>
        <v>10354284.661499942</v>
      </c>
      <c r="E18" s="2694">
        <f t="shared" si="0"/>
        <v>11307032</v>
      </c>
      <c r="F18" s="2694">
        <f t="shared" ref="F18:M18" si="1">SUM(F13:F17)</f>
        <v>9500810.9676466584</v>
      </c>
      <c r="G18" s="2694">
        <f t="shared" si="1"/>
        <v>8394779.5619477313</v>
      </c>
      <c r="H18" s="2694">
        <f t="shared" si="1"/>
        <v>9706074.9632396847</v>
      </c>
      <c r="I18" s="2694">
        <v>9581686.541951092</v>
      </c>
      <c r="J18" s="2694">
        <f t="shared" si="1"/>
        <v>9581686.5439686868</v>
      </c>
      <c r="K18" s="2694">
        <f t="shared" si="1"/>
        <v>9761172.5191716161</v>
      </c>
      <c r="L18" s="2694">
        <v>9549324.1913758125</v>
      </c>
      <c r="M18" s="2694">
        <f t="shared" si="1"/>
        <v>9549324.1933758017</v>
      </c>
      <c r="N18" s="2694">
        <f t="shared" ref="N18" si="2">SUM(N13:N17)</f>
        <v>9593391.4850975666</v>
      </c>
    </row>
    <row r="19" spans="1:14" s="3" customFormat="1" ht="21" thickBot="1" x14ac:dyDescent="0.35">
      <c r="A19" s="13"/>
      <c r="B19" s="2700" t="s">
        <v>6</v>
      </c>
      <c r="C19" s="2700"/>
      <c r="D19" s="2700"/>
      <c r="E19" s="2700"/>
      <c r="F19" s="2700"/>
      <c r="G19" s="2700"/>
      <c r="H19" s="2700"/>
      <c r="I19" s="2700"/>
      <c r="J19" s="2700"/>
      <c r="K19" s="2700"/>
      <c r="L19" s="2700"/>
      <c r="M19" s="2700"/>
      <c r="N19" s="2700"/>
    </row>
    <row r="20" spans="1:14" ht="21" thickBot="1" x14ac:dyDescent="0.35">
      <c r="A20" s="18" t="s">
        <v>10</v>
      </c>
      <c r="B20" s="2696" t="s">
        <v>285</v>
      </c>
      <c r="C20" s="2692">
        <v>4145798</v>
      </c>
      <c r="D20" s="2692">
        <v>2200847.1958612399</v>
      </c>
      <c r="E20" s="2692">
        <v>3713683</v>
      </c>
      <c r="F20" s="2692">
        <v>2018486.9459121672</v>
      </c>
      <c r="G20" s="2692">
        <f>'CNG Table C 2022'!$K$19</f>
        <v>1708700.7141989998</v>
      </c>
      <c r="H20" s="2692">
        <v>2062438.5022013288</v>
      </c>
      <c r="I20" s="2692">
        <v>1975107.6746147869</v>
      </c>
      <c r="J20" s="2692">
        <f>'CNG Table C 2023'!$K$19</f>
        <v>1975107.6746147869</v>
      </c>
      <c r="K20" s="2692">
        <v>2073999.6365135179</v>
      </c>
      <c r="L20" s="2692">
        <v>2032227.696005163</v>
      </c>
      <c r="M20" s="2692">
        <f>'CNG Table C 2024'!$K$19</f>
        <v>2032227.696005163</v>
      </c>
      <c r="N20" s="2692">
        <f>'CNG Table C 2025'!$K$19</f>
        <v>2042302.8345758275</v>
      </c>
    </row>
    <row r="21" spans="1:14" ht="21" thickBot="1" x14ac:dyDescent="0.35">
      <c r="A21" s="18" t="s">
        <v>10</v>
      </c>
      <c r="B21" s="2696" t="s">
        <v>275</v>
      </c>
      <c r="C21" s="2692">
        <v>813249</v>
      </c>
      <c r="D21" s="2692">
        <v>1251157.80143619</v>
      </c>
      <c r="E21" s="2692">
        <v>925543</v>
      </c>
      <c r="F21" s="2692">
        <v>1147575.2410860236</v>
      </c>
      <c r="G21" s="2692">
        <f>'CNG Table C 2022'!$K$20</f>
        <v>1011721.7125900991</v>
      </c>
      <c r="H21" s="2692">
        <v>1172501.9711290498</v>
      </c>
      <c r="I21" s="2692">
        <v>1152717.7822517415</v>
      </c>
      <c r="J21" s="2692">
        <f>'CNG Table C 2023'!$K$20</f>
        <v>1152717.7822517415</v>
      </c>
      <c r="K21" s="2692">
        <v>1179436.0010640072</v>
      </c>
      <c r="L21" s="2692">
        <v>1182948.5934229754</v>
      </c>
      <c r="M21" s="2692">
        <f>'CNG Table C 2024'!$K$20</f>
        <v>1182948.5934229754</v>
      </c>
      <c r="N21" s="2692">
        <f>'CNG Table C 2025'!$K$20</f>
        <v>1188813.2763146306</v>
      </c>
    </row>
    <row r="22" spans="1:14" ht="41.25" thickBot="1" x14ac:dyDescent="0.35">
      <c r="A22" s="18" t="s">
        <v>10</v>
      </c>
      <c r="B22" s="2701" t="s">
        <v>762</v>
      </c>
      <c r="C22" s="2692">
        <v>418511</v>
      </c>
      <c r="D22" s="2692">
        <v>725292.32700263092</v>
      </c>
      <c r="E22" s="2692">
        <v>308472</v>
      </c>
      <c r="F22" s="2692">
        <v>665195.61107363144</v>
      </c>
      <c r="G22" s="2692">
        <f>'CNG Table C 2022'!$K$21</f>
        <v>536581.49806664698</v>
      </c>
      <c r="H22" s="2692">
        <v>679679.92296980659</v>
      </c>
      <c r="I22" s="2692">
        <v>608762.80100521806</v>
      </c>
      <c r="J22" s="2692">
        <f>'CNG Table C 2023'!$K$21</f>
        <v>608762.80100521806</v>
      </c>
      <c r="K22" s="2692">
        <v>683699.46498176921</v>
      </c>
      <c r="L22" s="2692">
        <v>624239.1142419352</v>
      </c>
      <c r="M22" s="2692">
        <f>'CNG Table C 2024'!$K$21</f>
        <v>624239.1142419352</v>
      </c>
      <c r="N22" s="2692">
        <f>'CNG Table C 2025'!$K$21</f>
        <v>627333.89323229122</v>
      </c>
    </row>
    <row r="23" spans="1:14" ht="21" thickBot="1" x14ac:dyDescent="0.35">
      <c r="A23" s="18" t="s">
        <v>10</v>
      </c>
      <c r="B23" s="2696" t="s">
        <v>245</v>
      </c>
      <c r="C23" s="2692">
        <v>118716</v>
      </c>
      <c r="D23" s="2692">
        <v>338954.33120000002</v>
      </c>
      <c r="E23" s="2692">
        <v>94822</v>
      </c>
      <c r="F23" s="2692">
        <v>310868.78406410728</v>
      </c>
      <c r="G23" s="2692">
        <f>'CNG Table C 2022'!$K$22</f>
        <v>433484.85750000004</v>
      </c>
      <c r="H23" s="2692">
        <v>317637.80618103361</v>
      </c>
      <c r="I23" s="2692">
        <v>475581.6991567784</v>
      </c>
      <c r="J23" s="2692">
        <f>'CNG Table C 2023'!$K$22</f>
        <v>475581.6991567784</v>
      </c>
      <c r="K23" s="2692">
        <v>319516.27641883853</v>
      </c>
      <c r="L23" s="2692">
        <v>484607.63636258419</v>
      </c>
      <c r="M23" s="2692">
        <f>'CNG Table C 2024'!$K$22</f>
        <v>484607.63636258419</v>
      </c>
      <c r="N23" s="2692">
        <f>'CNG Table C 2025'!$K$22</f>
        <v>487010.16689513868</v>
      </c>
    </row>
    <row r="24" spans="1:14" s="1" customFormat="1" ht="21" thickBot="1" x14ac:dyDescent="0.35">
      <c r="A24" s="19"/>
      <c r="B24" s="2697" t="s">
        <v>745</v>
      </c>
      <c r="C24" s="2694">
        <f t="shared" ref="C24:E24" si="3">SUM(C20:C23)</f>
        <v>5496274</v>
      </c>
      <c r="D24" s="2694">
        <f t="shared" si="3"/>
        <v>4516251.6555000609</v>
      </c>
      <c r="E24" s="2694">
        <f t="shared" si="3"/>
        <v>5042520</v>
      </c>
      <c r="F24" s="2694">
        <f t="shared" ref="F24:M24" si="4">SUM(F20:F23)</f>
        <v>4142126.5821359293</v>
      </c>
      <c r="G24" s="2694">
        <f t="shared" si="4"/>
        <v>3690488.7823557458</v>
      </c>
      <c r="H24" s="2694">
        <f t="shared" si="4"/>
        <v>4232258.2024812186</v>
      </c>
      <c r="I24" s="2694">
        <v>4212169.957028525</v>
      </c>
      <c r="J24" s="2694">
        <f t="shared" si="4"/>
        <v>4212169.957028525</v>
      </c>
      <c r="K24" s="2694">
        <f t="shared" si="4"/>
        <v>4256651.3789781332</v>
      </c>
      <c r="L24" s="2694">
        <v>4324023.0400326578</v>
      </c>
      <c r="M24" s="2694">
        <f t="shared" si="4"/>
        <v>4324023.0400326578</v>
      </c>
      <c r="N24" s="2694">
        <f t="shared" ref="N24" si="5">SUM(N20:N23)</f>
        <v>4345460.171017888</v>
      </c>
    </row>
    <row r="25" spans="1:14" s="3" customFormat="1" ht="21" thickBot="1" x14ac:dyDescent="0.35">
      <c r="A25" s="13"/>
      <c r="B25" s="2700" t="s">
        <v>737</v>
      </c>
      <c r="C25" s="2700"/>
      <c r="D25" s="2700"/>
      <c r="E25" s="2700"/>
      <c r="F25" s="2700"/>
      <c r="G25" s="2700"/>
      <c r="H25" s="2700"/>
      <c r="I25" s="2700"/>
      <c r="J25" s="2700"/>
      <c r="K25" s="2700"/>
      <c r="L25" s="2700"/>
      <c r="M25" s="2700"/>
      <c r="N25" s="2700"/>
    </row>
    <row r="26" spans="1:14" ht="21" thickBot="1" x14ac:dyDescent="0.35">
      <c r="A26" s="16" t="s">
        <v>9</v>
      </c>
      <c r="B26" s="2696" t="s">
        <v>739</v>
      </c>
      <c r="C26" s="2692">
        <v>0</v>
      </c>
      <c r="D26" s="2692">
        <v>0</v>
      </c>
      <c r="E26" s="2692">
        <v>0</v>
      </c>
      <c r="F26" s="2692">
        <v>51485</v>
      </c>
      <c r="G26" s="2692">
        <f>'CNG Table C 2022'!$K$25</f>
        <v>72927</v>
      </c>
      <c r="H26" s="2692">
        <v>108118.5</v>
      </c>
      <c r="I26" s="2692">
        <v>151002.5</v>
      </c>
      <c r="J26" s="2692">
        <f>'CNG Table C 2023'!$K$25</f>
        <v>151002.5</v>
      </c>
      <c r="K26" s="2692">
        <v>113524.425</v>
      </c>
      <c r="L26" s="2692">
        <v>156408.42499999999</v>
      </c>
      <c r="M26" s="2692">
        <f>'CNG Table C 2024'!$K25</f>
        <v>156408.42499999999</v>
      </c>
      <c r="N26" s="2692">
        <f>'CNG Table C 2025'!$K25</f>
        <v>156408.42499999999</v>
      </c>
    </row>
    <row r="27" spans="1:14" ht="21" thickBot="1" x14ac:dyDescent="0.35">
      <c r="A27" s="18" t="s">
        <v>10</v>
      </c>
      <c r="B27" s="2696" t="s">
        <v>738</v>
      </c>
      <c r="C27" s="2692">
        <v>0</v>
      </c>
      <c r="D27" s="2692">
        <v>0</v>
      </c>
      <c r="E27" s="2692">
        <v>0</v>
      </c>
      <c r="F27" s="2692">
        <v>140292</v>
      </c>
      <c r="G27" s="2692">
        <f>'CNG Table C 2022'!$K$26</f>
        <v>183176</v>
      </c>
      <c r="H27" s="2692">
        <v>144500.76</v>
      </c>
      <c r="I27" s="2692">
        <v>187384.76</v>
      </c>
      <c r="J27" s="2692">
        <f>'CNG Table C 2023'!$K$26</f>
        <v>187384.76</v>
      </c>
      <c r="K27" s="2692">
        <v>148835.78279999999</v>
      </c>
      <c r="L27" s="2692">
        <v>191719.78279999999</v>
      </c>
      <c r="M27" s="2692">
        <f>'CNG Table C 2024'!$K26</f>
        <v>191719.78279999999</v>
      </c>
      <c r="N27" s="2692">
        <f>'CNG Table C 2025'!$K26</f>
        <v>191719.78279999999</v>
      </c>
    </row>
    <row r="28" spans="1:14" ht="21" thickBot="1" x14ac:dyDescent="0.35">
      <c r="B28" s="2697" t="s">
        <v>758</v>
      </c>
      <c r="C28" s="2694">
        <f t="shared" ref="C28:E28" si="6">SUM(C26:C27)</f>
        <v>0</v>
      </c>
      <c r="D28" s="2694">
        <f t="shared" si="6"/>
        <v>0</v>
      </c>
      <c r="E28" s="2694">
        <f t="shared" si="6"/>
        <v>0</v>
      </c>
      <c r="F28" s="2694">
        <f t="shared" ref="F28:M28" si="7">SUM(F26:F27)</f>
        <v>191777</v>
      </c>
      <c r="G28" s="2694">
        <f t="shared" si="7"/>
        <v>256103</v>
      </c>
      <c r="H28" s="2694">
        <f t="shared" si="7"/>
        <v>252619.26</v>
      </c>
      <c r="I28" s="2694">
        <v>338387.26</v>
      </c>
      <c r="J28" s="2694">
        <f t="shared" si="7"/>
        <v>338387.26</v>
      </c>
      <c r="K28" s="2694">
        <f t="shared" si="7"/>
        <v>262360.20779999997</v>
      </c>
      <c r="L28" s="2694">
        <v>348128.20779999997</v>
      </c>
      <c r="M28" s="2694">
        <f t="shared" si="7"/>
        <v>348128.20779999997</v>
      </c>
      <c r="N28" s="2694">
        <f t="shared" ref="N28" si="8">SUM(N26:N27)</f>
        <v>348128.20779999997</v>
      </c>
    </row>
    <row r="29" spans="1:14" ht="21" thickBot="1" x14ac:dyDescent="0.35">
      <c r="B29" s="2700" t="s">
        <v>746</v>
      </c>
      <c r="C29" s="2700"/>
      <c r="D29" s="2700"/>
      <c r="E29" s="2700"/>
      <c r="F29" s="2700"/>
      <c r="G29" s="2700"/>
      <c r="H29" s="2700"/>
      <c r="I29" s="2700"/>
      <c r="J29" s="2700"/>
      <c r="K29" s="2700"/>
      <c r="L29" s="2700"/>
      <c r="M29" s="2700"/>
      <c r="N29" s="2700"/>
    </row>
    <row r="30" spans="1:14" ht="21" thickBot="1" x14ac:dyDescent="0.35">
      <c r="A30" s="2292" t="s">
        <v>580</v>
      </c>
      <c r="B30" s="2698" t="s">
        <v>763</v>
      </c>
      <c r="C30" s="2692">
        <v>31421.369999999995</v>
      </c>
      <c r="D30" s="2692">
        <v>45163.843779461575</v>
      </c>
      <c r="E30" s="2692">
        <v>25240</v>
      </c>
      <c r="F30" s="2692">
        <v>76666.67</v>
      </c>
      <c r="G30" s="2692">
        <f>'CNG Table C 2022'!$K$29</f>
        <v>76667.08128046451</v>
      </c>
      <c r="H30" s="2692">
        <v>76666.67</v>
      </c>
      <c r="I30" s="2692">
        <v>76667.08128046451</v>
      </c>
      <c r="J30" s="2692">
        <f>'CNG Table C 2023'!$K$29</f>
        <v>76667.08128046451</v>
      </c>
      <c r="K30" s="2692">
        <v>76666.67</v>
      </c>
      <c r="L30" s="2692">
        <v>76667.08128046451</v>
      </c>
      <c r="M30" s="2692">
        <f>'CNG Table C 2024'!$K$29</f>
        <v>76667.08128046451</v>
      </c>
      <c r="N30" s="2692">
        <f>'CNG Table C 2025'!$K$29</f>
        <v>76667.08128046451</v>
      </c>
    </row>
    <row r="31" spans="1:14" ht="21" thickBot="1" x14ac:dyDescent="0.35">
      <c r="A31" s="37" t="s">
        <v>611</v>
      </c>
      <c r="B31" s="2698" t="s">
        <v>764</v>
      </c>
      <c r="C31" s="2692">
        <v>24596.659999999996</v>
      </c>
      <c r="D31" s="2692">
        <v>67472.61538461539</v>
      </c>
      <c r="E31" s="2692">
        <v>15434</v>
      </c>
      <c r="F31" s="2692">
        <v>82666.66</v>
      </c>
      <c r="G31" s="2692">
        <f>'CNG Table C 2022'!$K$30</f>
        <v>82666.66</v>
      </c>
      <c r="H31" s="2692">
        <v>82666.66</v>
      </c>
      <c r="I31" s="2692">
        <v>82666.66</v>
      </c>
      <c r="J31" s="2692">
        <f>'CNG Table C 2023'!$K$30</f>
        <v>82666.66</v>
      </c>
      <c r="K31" s="2692">
        <v>82666.66</v>
      </c>
      <c r="L31" s="2692">
        <v>82666.66</v>
      </c>
      <c r="M31" s="2692">
        <f>'CNG Table C 2024'!$K$30</f>
        <v>82666.66</v>
      </c>
      <c r="N31" s="2692">
        <f>'CNG Table C 2025'!$K$30</f>
        <v>82666.66</v>
      </c>
    </row>
    <row r="32" spans="1:14" ht="21" thickBot="1" x14ac:dyDescent="0.35">
      <c r="A32" s="37" t="s">
        <v>611</v>
      </c>
      <c r="B32" s="2698" t="s">
        <v>765</v>
      </c>
      <c r="C32" s="2692">
        <v>64577.56</v>
      </c>
      <c r="D32" s="2692">
        <v>76089.066283762892</v>
      </c>
      <c r="E32" s="2692">
        <v>17227</v>
      </c>
      <c r="F32" s="2692">
        <v>79999.989999999991</v>
      </c>
      <c r="G32" s="2692">
        <f>'CNG Table C 2022'!$K$31</f>
        <v>79999.78509823716</v>
      </c>
      <c r="H32" s="2692">
        <v>79999.989999999991</v>
      </c>
      <c r="I32" s="2692">
        <v>79999.78509823716</v>
      </c>
      <c r="J32" s="2692">
        <f>'CNG Table C 2023'!$K$31</f>
        <v>79999.78509823716</v>
      </c>
      <c r="K32" s="2692">
        <v>79999.989999999991</v>
      </c>
      <c r="L32" s="2692">
        <v>79999.78509823716</v>
      </c>
      <c r="M32" s="2692">
        <f>'CNG Table C 2024'!$K$31</f>
        <v>79999.78509823716</v>
      </c>
      <c r="N32" s="2692">
        <f>'CNG Table C 2025'!$K$31</f>
        <v>79999.78509823716</v>
      </c>
    </row>
    <row r="33" spans="1:14" ht="21" thickBot="1" x14ac:dyDescent="0.35">
      <c r="A33" s="2292" t="s">
        <v>580</v>
      </c>
      <c r="B33" s="2698" t="s">
        <v>766</v>
      </c>
      <c r="C33" s="2692">
        <v>0</v>
      </c>
      <c r="D33" s="2692">
        <v>100000</v>
      </c>
      <c r="E33" s="2692">
        <v>0</v>
      </c>
      <c r="F33" s="2692">
        <v>49999.999999999993</v>
      </c>
      <c r="G33" s="2692">
        <f>'CNG Table C 2022'!$K$32</f>
        <v>50000.1191625832</v>
      </c>
      <c r="H33" s="2692">
        <v>49999.999999999993</v>
      </c>
      <c r="I33" s="2692">
        <v>50000.1191625832</v>
      </c>
      <c r="J33" s="2692">
        <f>'CNG Table C 2023'!$K$32</f>
        <v>50000.1191625832</v>
      </c>
      <c r="K33" s="2692">
        <v>49999.999999999993</v>
      </c>
      <c r="L33" s="2692">
        <v>50000.1191625832</v>
      </c>
      <c r="M33" s="2692">
        <f>'CNG Table C 2024'!$K$32</f>
        <v>50000.1191625832</v>
      </c>
      <c r="N33" s="2692">
        <f>'CNG Table C 2025'!$K$32</f>
        <v>50000.1191625832</v>
      </c>
    </row>
    <row r="34" spans="1:14" s="1" customFormat="1" ht="21" thickBot="1" x14ac:dyDescent="0.35">
      <c r="A34" s="19"/>
      <c r="B34" s="2697" t="s">
        <v>747</v>
      </c>
      <c r="C34" s="2694">
        <f t="shared" ref="C34:E34" si="9">SUM(C30:C33)</f>
        <v>120595.59</v>
      </c>
      <c r="D34" s="2694">
        <f t="shared" si="9"/>
        <v>288725.52544783987</v>
      </c>
      <c r="E34" s="2694">
        <f t="shared" si="9"/>
        <v>57901</v>
      </c>
      <c r="F34" s="2694">
        <f t="shared" ref="F34:M34" si="10">SUM(F30:F33)</f>
        <v>289333.32</v>
      </c>
      <c r="G34" s="2694">
        <f t="shared" si="10"/>
        <v>289333.64554128487</v>
      </c>
      <c r="H34" s="2694">
        <f t="shared" si="10"/>
        <v>289333.32</v>
      </c>
      <c r="I34" s="2694">
        <v>289333.64554128487</v>
      </c>
      <c r="J34" s="2694">
        <f t="shared" si="10"/>
        <v>289333.64554128487</v>
      </c>
      <c r="K34" s="2694">
        <f t="shared" si="10"/>
        <v>289333.32</v>
      </c>
      <c r="L34" s="2694">
        <v>289333.64554128487</v>
      </c>
      <c r="M34" s="2694">
        <f t="shared" si="10"/>
        <v>289333.64554128487</v>
      </c>
      <c r="N34" s="2694">
        <f t="shared" ref="N34" si="11">SUM(N30:N33)</f>
        <v>289333.64554128487</v>
      </c>
    </row>
    <row r="35" spans="1:14" ht="21" thickBot="1" x14ac:dyDescent="0.35">
      <c r="A35" s="15"/>
      <c r="B35" s="2700" t="s">
        <v>108</v>
      </c>
      <c r="C35" s="2700"/>
      <c r="D35" s="2700"/>
      <c r="E35" s="2700"/>
      <c r="F35" s="2700"/>
      <c r="G35" s="2700"/>
      <c r="H35" s="2700"/>
      <c r="I35" s="2700"/>
      <c r="J35" s="2700"/>
      <c r="K35" s="2700"/>
      <c r="L35" s="2700"/>
      <c r="M35" s="2700"/>
      <c r="N35" s="2700"/>
    </row>
    <row r="36" spans="1:14" s="3" customFormat="1" ht="21" thickBot="1" x14ac:dyDescent="0.35">
      <c r="A36" s="16" t="s">
        <v>9</v>
      </c>
      <c r="B36" s="2698" t="s">
        <v>605</v>
      </c>
      <c r="C36" s="2692">
        <v>52478.13</v>
      </c>
      <c r="D36" s="2692">
        <v>86292</v>
      </c>
      <c r="E36" s="2692">
        <v>0</v>
      </c>
      <c r="F36" s="2692">
        <v>86292</v>
      </c>
      <c r="G36" s="2692">
        <f>'CNG Table C 2022'!$K$35</f>
        <v>86292</v>
      </c>
      <c r="H36" s="2692">
        <v>86292</v>
      </c>
      <c r="I36" s="2692">
        <v>86292</v>
      </c>
      <c r="J36" s="2692">
        <f>'CNG Table C 2023'!$K$35</f>
        <v>86292</v>
      </c>
      <c r="K36" s="2692">
        <v>86292</v>
      </c>
      <c r="L36" s="2692">
        <v>86292</v>
      </c>
      <c r="M36" s="2692">
        <f>'CNG Table C 2024'!$K$35</f>
        <v>86292</v>
      </c>
      <c r="N36" s="2692">
        <f>'CNG Table C 2025'!$K$35</f>
        <v>86292</v>
      </c>
    </row>
    <row r="37" spans="1:14" s="3" customFormat="1" ht="21" thickBot="1" x14ac:dyDescent="0.35">
      <c r="A37" s="18" t="s">
        <v>10</v>
      </c>
      <c r="B37" s="2698" t="s">
        <v>606</v>
      </c>
      <c r="C37" s="2692">
        <v>0</v>
      </c>
      <c r="D37" s="2692">
        <v>20000</v>
      </c>
      <c r="E37" s="2692">
        <v>0</v>
      </c>
      <c r="F37" s="2692">
        <v>20000</v>
      </c>
      <c r="G37" s="2692">
        <f>'CNG Table C 2022'!$K$36</f>
        <v>20000</v>
      </c>
      <c r="H37" s="2692">
        <v>20000</v>
      </c>
      <c r="I37" s="2692">
        <v>20000</v>
      </c>
      <c r="J37" s="2692">
        <f>'CNG Table C 2023'!$K$36</f>
        <v>20000</v>
      </c>
      <c r="K37" s="2692">
        <v>20000</v>
      </c>
      <c r="L37" s="2692">
        <v>20000</v>
      </c>
      <c r="M37" s="2692">
        <f>'CNG Table C 2024'!$K$36</f>
        <v>20000</v>
      </c>
      <c r="N37" s="2692">
        <f>'CNG Table C 2025'!$K$36</f>
        <v>20000</v>
      </c>
    </row>
    <row r="38" spans="1:14" s="3" customFormat="1" ht="21" thickBot="1" x14ac:dyDescent="0.35">
      <c r="A38" s="2249" t="s">
        <v>11</v>
      </c>
      <c r="B38" s="2698" t="s">
        <v>338</v>
      </c>
      <c r="C38" s="2692">
        <v>20163.810000000001</v>
      </c>
      <c r="D38" s="2692">
        <v>50000</v>
      </c>
      <c r="E38" s="2692">
        <v>11573</v>
      </c>
      <c r="F38" s="2692">
        <v>50000</v>
      </c>
      <c r="G38" s="2692">
        <f>'CNG Table C 2022'!$K$37</f>
        <v>50000</v>
      </c>
      <c r="H38" s="2692">
        <v>50000</v>
      </c>
      <c r="I38" s="2692">
        <v>50000</v>
      </c>
      <c r="J38" s="2692">
        <f>'CNG Table C 2023'!$K$37</f>
        <v>50000</v>
      </c>
      <c r="K38" s="2692">
        <v>50000</v>
      </c>
      <c r="L38" s="2692">
        <v>50000</v>
      </c>
      <c r="M38" s="2692">
        <f>'CNG Table C 2024'!$K$37</f>
        <v>50000</v>
      </c>
      <c r="N38" s="2692">
        <f>'CNG Table C 2025'!$K$37</f>
        <v>50000</v>
      </c>
    </row>
    <row r="39" spans="1:14" s="1" customFormat="1" ht="21" thickBot="1" x14ac:dyDescent="0.35">
      <c r="A39" s="19"/>
      <c r="B39" s="2697" t="s">
        <v>749</v>
      </c>
      <c r="C39" s="2694">
        <f t="shared" ref="C39:E39" si="12">SUM(C36:C38)</f>
        <v>72641.94</v>
      </c>
      <c r="D39" s="2694">
        <f t="shared" si="12"/>
        <v>156292</v>
      </c>
      <c r="E39" s="2694">
        <f t="shared" si="12"/>
        <v>11573</v>
      </c>
      <c r="F39" s="2694">
        <f t="shared" ref="F39:M39" si="13">SUM(F36:F38)</f>
        <v>156292</v>
      </c>
      <c r="G39" s="2694">
        <f t="shared" si="13"/>
        <v>156292</v>
      </c>
      <c r="H39" s="2694">
        <f t="shared" si="13"/>
        <v>156292</v>
      </c>
      <c r="I39" s="2694">
        <v>156292</v>
      </c>
      <c r="J39" s="2694">
        <f t="shared" si="13"/>
        <v>156292</v>
      </c>
      <c r="K39" s="2694">
        <f t="shared" si="13"/>
        <v>156292</v>
      </c>
      <c r="L39" s="2694">
        <v>156292</v>
      </c>
      <c r="M39" s="2694">
        <f t="shared" si="13"/>
        <v>156292</v>
      </c>
      <c r="N39" s="2694">
        <f t="shared" ref="N39" si="14">SUM(N36:N38)</f>
        <v>156292</v>
      </c>
    </row>
    <row r="40" spans="1:14" s="163" customFormat="1" ht="21" thickBot="1" x14ac:dyDescent="0.35">
      <c r="A40" s="13"/>
      <c r="B40" s="2700" t="s">
        <v>120</v>
      </c>
      <c r="C40" s="2700"/>
      <c r="D40" s="2700"/>
      <c r="E40" s="2700"/>
      <c r="F40" s="2700"/>
      <c r="G40" s="2700"/>
      <c r="H40" s="2700"/>
      <c r="I40" s="2700"/>
      <c r="J40" s="2700"/>
      <c r="K40" s="2700"/>
      <c r="L40" s="2700"/>
      <c r="M40" s="2700"/>
      <c r="N40" s="2700"/>
    </row>
    <row r="41" spans="1:14" s="163" customFormat="1" ht="21" thickBot="1" x14ac:dyDescent="0.35">
      <c r="A41" s="2249" t="s">
        <v>11</v>
      </c>
      <c r="B41" s="2698" t="s">
        <v>330</v>
      </c>
      <c r="C41" s="2692">
        <v>81470.3</v>
      </c>
      <c r="D41" s="2692">
        <v>159218.15059999999</v>
      </c>
      <c r="E41" s="2692">
        <v>207327</v>
      </c>
      <c r="F41" s="2692">
        <v>159218.15059999999</v>
      </c>
      <c r="G41" s="2692">
        <f>'CNG Table C 2022'!$K40</f>
        <v>188010.6985</v>
      </c>
      <c r="H41" s="2692">
        <v>159218.15059999999</v>
      </c>
      <c r="I41" s="2692">
        <v>188010.6985</v>
      </c>
      <c r="J41" s="2692">
        <f>'CNG Table C 2023'!$K40</f>
        <v>188010.6985</v>
      </c>
      <c r="K41" s="2692">
        <v>159218.15059999999</v>
      </c>
      <c r="L41" s="2692">
        <v>188010.6985</v>
      </c>
      <c r="M41" s="2692">
        <f>'CNG Table C 2024'!$K40</f>
        <v>188010.6985</v>
      </c>
      <c r="N41" s="2692">
        <f>'CNG Table C 2025'!$K40</f>
        <v>188010.6985</v>
      </c>
    </row>
    <row r="42" spans="1:14" s="4" customFormat="1" ht="21" thickBot="1" x14ac:dyDescent="0.35">
      <c r="A42" s="37" t="s">
        <v>580</v>
      </c>
      <c r="B42" s="2698" t="s">
        <v>750</v>
      </c>
      <c r="C42" s="2692">
        <v>10695.800000000003</v>
      </c>
      <c r="D42" s="2692">
        <v>40100</v>
      </c>
      <c r="E42" s="2692">
        <v>72130</v>
      </c>
      <c r="F42" s="2692">
        <v>40100</v>
      </c>
      <c r="G42" s="2692">
        <f>'CNG Table C 2022'!$K41</f>
        <v>40100</v>
      </c>
      <c r="H42" s="2692">
        <v>40100</v>
      </c>
      <c r="I42" s="2692">
        <v>40100</v>
      </c>
      <c r="J42" s="2692">
        <f>'CNG Table C 2023'!$K41</f>
        <v>40100</v>
      </c>
      <c r="K42" s="2692">
        <v>40100</v>
      </c>
      <c r="L42" s="2692">
        <v>40100</v>
      </c>
      <c r="M42" s="2692">
        <f>'CNG Table C 2024'!$K41</f>
        <v>40100</v>
      </c>
      <c r="N42" s="2692">
        <f>'CNG Table C 2025'!$K41</f>
        <v>40100</v>
      </c>
    </row>
    <row r="43" spans="1:14" s="163" customFormat="1" ht="21" thickBot="1" x14ac:dyDescent="0.35">
      <c r="A43" s="15" t="s">
        <v>11</v>
      </c>
      <c r="B43" s="2696" t="s">
        <v>281</v>
      </c>
      <c r="C43" s="2692">
        <v>114343.37999999998</v>
      </c>
      <c r="D43" s="2692">
        <v>102464.90470000001</v>
      </c>
      <c r="E43" s="2692">
        <v>99898.4</v>
      </c>
      <c r="F43" s="2692">
        <v>102464.90470000001</v>
      </c>
      <c r="G43" s="2692">
        <f>'CNG Table C 2022'!$K42</f>
        <v>122147.7415</v>
      </c>
      <c r="H43" s="2692">
        <v>102464.90470000001</v>
      </c>
      <c r="I43" s="2692">
        <v>122147.7415</v>
      </c>
      <c r="J43" s="2692">
        <f>'CNG Table C 2023'!$K42</f>
        <v>122147.7415</v>
      </c>
      <c r="K43" s="2692">
        <v>102464.90470000001</v>
      </c>
      <c r="L43" s="2692">
        <v>122147.7415</v>
      </c>
      <c r="M43" s="2692">
        <f>'CNG Table C 2024'!$K42</f>
        <v>122147.7415</v>
      </c>
      <c r="N43" s="2692">
        <f>'CNG Table C 2025'!$K42</f>
        <v>122147.7415</v>
      </c>
    </row>
    <row r="44" spans="1:14" s="163" customFormat="1" ht="21" thickBot="1" x14ac:dyDescent="0.35">
      <c r="A44" s="15" t="s">
        <v>11</v>
      </c>
      <c r="B44" s="2696" t="s">
        <v>751</v>
      </c>
      <c r="C44" s="2692">
        <v>197792.12000000005</v>
      </c>
      <c r="D44" s="2692">
        <v>200000</v>
      </c>
      <c r="E44" s="2692">
        <v>200000</v>
      </c>
      <c r="F44" s="2692">
        <v>300000</v>
      </c>
      <c r="G44" s="2692">
        <f>'CNG Table C 2022'!$K43</f>
        <v>300000</v>
      </c>
      <c r="H44" s="2692">
        <v>300000</v>
      </c>
      <c r="I44" s="2692">
        <v>300000</v>
      </c>
      <c r="J44" s="2692">
        <f>'CNG Table C 2023'!$K43</f>
        <v>300000</v>
      </c>
      <c r="K44" s="2692">
        <v>300000</v>
      </c>
      <c r="L44" s="2692">
        <v>300000</v>
      </c>
      <c r="M44" s="2692">
        <f>'CNG Table C 2024'!$K43</f>
        <v>300000</v>
      </c>
      <c r="N44" s="2692">
        <f>'CNG Table C 2025'!$K43</f>
        <v>300000</v>
      </c>
    </row>
    <row r="45" spans="1:14" s="163" customFormat="1" ht="21" thickBot="1" x14ac:dyDescent="0.35">
      <c r="A45" s="15" t="s">
        <v>11</v>
      </c>
      <c r="B45" s="2696" t="s">
        <v>752</v>
      </c>
      <c r="C45" s="2692">
        <v>21866</v>
      </c>
      <c r="D45" s="2692">
        <v>21931</v>
      </c>
      <c r="E45" s="2692">
        <v>21931</v>
      </c>
      <c r="F45" s="2692">
        <v>29607</v>
      </c>
      <c r="G45" s="2692">
        <f>'CNG Table C 2022'!$K44</f>
        <v>29607</v>
      </c>
      <c r="H45" s="2692">
        <v>29607</v>
      </c>
      <c r="I45" s="2692">
        <v>29607</v>
      </c>
      <c r="J45" s="2692">
        <f>'CNG Table C 2023'!$K44</f>
        <v>29607</v>
      </c>
      <c r="K45" s="2692">
        <v>29607</v>
      </c>
      <c r="L45" s="2692">
        <v>29607</v>
      </c>
      <c r="M45" s="2692">
        <f>'CNG Table C 2024'!$K44</f>
        <v>29607</v>
      </c>
      <c r="N45" s="2692">
        <f>'CNG Table C 2025'!$K44</f>
        <v>29607</v>
      </c>
    </row>
    <row r="46" spans="1:14" s="163" customFormat="1" ht="21" thickBot="1" x14ac:dyDescent="0.35">
      <c r="A46" s="15" t="s">
        <v>11</v>
      </c>
      <c r="B46" s="2696" t="s">
        <v>273</v>
      </c>
      <c r="C46" s="2692">
        <v>97801.999999999985</v>
      </c>
      <c r="D46" s="2692">
        <v>140588.78899999999</v>
      </c>
      <c r="E46" s="2692">
        <v>339848.49</v>
      </c>
      <c r="F46" s="2692">
        <v>574588.78899999999</v>
      </c>
      <c r="G46" s="2692">
        <f>'CNG Table C 2022'!$K45</f>
        <v>584821.74549999996</v>
      </c>
      <c r="H46" s="2692">
        <v>274588.78899999999</v>
      </c>
      <c r="I46" s="2692">
        <v>284821.74550000002</v>
      </c>
      <c r="J46" s="2692">
        <f>'CNG Table C 2023'!$K45</f>
        <v>284821.74550000002</v>
      </c>
      <c r="K46" s="2692">
        <v>250588.78899999999</v>
      </c>
      <c r="L46" s="2692">
        <v>260821.74549999999</v>
      </c>
      <c r="M46" s="2692">
        <f>'CNG Table C 2024'!$K45</f>
        <v>260821.74549999999</v>
      </c>
      <c r="N46" s="2692">
        <f>'CNG Table C 2025'!$K45</f>
        <v>260821.74549999999</v>
      </c>
    </row>
    <row r="47" spans="1:14" s="163" customFormat="1" ht="21" thickBot="1" x14ac:dyDescent="0.35">
      <c r="A47" s="15" t="s">
        <v>11</v>
      </c>
      <c r="B47" s="2696" t="s">
        <v>753</v>
      </c>
      <c r="C47" s="2692">
        <v>43332.84</v>
      </c>
      <c r="D47" s="2692">
        <v>43333</v>
      </c>
      <c r="E47" s="2692">
        <v>43333</v>
      </c>
      <c r="F47" s="2692">
        <v>53333</v>
      </c>
      <c r="G47" s="2692">
        <f>'CNG Table C 2022'!$K46</f>
        <v>53333</v>
      </c>
      <c r="H47" s="2692">
        <v>53333</v>
      </c>
      <c r="I47" s="2692">
        <v>53333</v>
      </c>
      <c r="J47" s="2692">
        <f>'CNG Table C 2023'!$K46</f>
        <v>53333</v>
      </c>
      <c r="K47" s="2692">
        <v>53333</v>
      </c>
      <c r="L47" s="2692">
        <v>53333</v>
      </c>
      <c r="M47" s="2692">
        <f>'CNG Table C 2024'!$K46</f>
        <v>53333</v>
      </c>
      <c r="N47" s="2692">
        <f>'CNG Table C 2025'!$K46</f>
        <v>53333</v>
      </c>
    </row>
    <row r="48" spans="1:14" s="163" customFormat="1" ht="21" thickBot="1" x14ac:dyDescent="0.35">
      <c r="A48" s="15" t="s">
        <v>11</v>
      </c>
      <c r="B48" s="2696" t="s">
        <v>754</v>
      </c>
      <c r="C48" s="2692">
        <v>1596.9099999999999</v>
      </c>
      <c r="D48" s="2692">
        <v>10000</v>
      </c>
      <c r="E48" s="2692">
        <v>10000</v>
      </c>
      <c r="F48" s="2692">
        <v>10000</v>
      </c>
      <c r="G48" s="2692">
        <f>'CNG Table C 2022'!$K47</f>
        <v>10000</v>
      </c>
      <c r="H48" s="2692">
        <v>10000</v>
      </c>
      <c r="I48" s="2692">
        <v>10000</v>
      </c>
      <c r="J48" s="2692">
        <f>'CNG Table C 2023'!$K47</f>
        <v>10000</v>
      </c>
      <c r="K48" s="2692">
        <v>10000</v>
      </c>
      <c r="L48" s="2692">
        <v>10000</v>
      </c>
      <c r="M48" s="2692">
        <f>'CNG Table C 2024'!$K47</f>
        <v>10000</v>
      </c>
      <c r="N48" s="2692">
        <f>'CNG Table C 2025'!$K47</f>
        <v>10000</v>
      </c>
    </row>
    <row r="49" spans="1:21" ht="21" thickBot="1" x14ac:dyDescent="0.35">
      <c r="A49" s="15" t="s">
        <v>11</v>
      </c>
      <c r="B49" s="2696" t="s">
        <v>755</v>
      </c>
      <c r="C49" s="2692">
        <v>727765.23</v>
      </c>
      <c r="D49" s="2692">
        <v>718115.4071351235</v>
      </c>
      <c r="E49" s="2692">
        <v>459606</v>
      </c>
      <c r="F49" s="2692">
        <v>772835.58570412954</v>
      </c>
      <c r="G49" s="2692">
        <f ca="1">'CNG Table C 2022'!$K48</f>
        <v>701103.85858006671</v>
      </c>
      <c r="H49" s="2692">
        <v>775647.47950104519</v>
      </c>
      <c r="I49" s="2692">
        <v>775647.47950104519</v>
      </c>
      <c r="J49" s="2692">
        <f ca="1">'CNG Table C 2023'!$K48</f>
        <v>775647.47950104519</v>
      </c>
      <c r="K49" s="2692">
        <v>778909.06351248734</v>
      </c>
      <c r="L49" s="2692">
        <v>778909.06351248734</v>
      </c>
      <c r="M49" s="2692">
        <f ca="1">'CNG Table C 2024'!$K48</f>
        <v>778909.06351248734</v>
      </c>
      <c r="N49" s="2692">
        <f ca="1">'CNG Table C 2025'!$K48</f>
        <v>782184.28461638244</v>
      </c>
    </row>
    <row r="50" spans="1:21" s="1" customFormat="1" ht="21" thickBot="1" x14ac:dyDescent="0.35">
      <c r="A50" s="19"/>
      <c r="B50" s="2697" t="s">
        <v>761</v>
      </c>
      <c r="C50" s="2694">
        <f t="shared" ref="C50:M50" si="15">SUM(C41:C49)</f>
        <v>1296664.58</v>
      </c>
      <c r="D50" s="2694">
        <f t="shared" si="15"/>
        <v>1435751.2514351234</v>
      </c>
      <c r="E50" s="2694">
        <f t="shared" si="15"/>
        <v>1454073.8900000001</v>
      </c>
      <c r="F50" s="2694">
        <f t="shared" si="15"/>
        <v>2042147.4300041297</v>
      </c>
      <c r="G50" s="2694">
        <f t="shared" ca="1" si="15"/>
        <v>2029124.0440800665</v>
      </c>
      <c r="H50" s="2694">
        <f t="shared" si="15"/>
        <v>1744959.3238010453</v>
      </c>
      <c r="I50" s="2694">
        <v>1803667.665001045</v>
      </c>
      <c r="J50" s="2694">
        <f t="shared" ca="1" si="15"/>
        <v>1803667.665001045</v>
      </c>
      <c r="K50" s="2694">
        <f t="shared" si="15"/>
        <v>1724220.9078124873</v>
      </c>
      <c r="L50" s="2694">
        <v>1782929.2490124872</v>
      </c>
      <c r="M50" s="2694">
        <f t="shared" ca="1" si="15"/>
        <v>1782929.2490124872</v>
      </c>
      <c r="N50" s="2694">
        <f t="shared" ref="N50" ca="1" si="16">SUM(N41:N49)</f>
        <v>1786204.4701163825</v>
      </c>
    </row>
    <row r="51" spans="1:21" s="1" customFormat="1" ht="21" thickBot="1" x14ac:dyDescent="0.35">
      <c r="A51" s="19"/>
      <c r="B51" s="2699" t="s">
        <v>16</v>
      </c>
      <c r="C51" s="2694">
        <f t="shared" ref="C51:M51" si="17">+C50+C39+C34+C28+C24+C18</f>
        <v>12884689.109999999</v>
      </c>
      <c r="D51" s="2694">
        <f t="shared" si="17"/>
        <v>16751305.093882967</v>
      </c>
      <c r="E51" s="2694">
        <f t="shared" si="17"/>
        <v>17873099.890000001</v>
      </c>
      <c r="F51" s="2694">
        <f t="shared" si="17"/>
        <v>16322487.299786717</v>
      </c>
      <c r="G51" s="2694">
        <f t="shared" ca="1" si="17"/>
        <v>14816121.033924829</v>
      </c>
      <c r="H51" s="2694">
        <f t="shared" si="17"/>
        <v>16381537.069521949</v>
      </c>
      <c r="I51" s="2694">
        <v>16381537.069521947</v>
      </c>
      <c r="J51" s="2694">
        <f t="shared" ca="1" si="17"/>
        <v>16381537.071539542</v>
      </c>
      <c r="K51" s="2694">
        <f t="shared" si="17"/>
        <v>16450030.333762236</v>
      </c>
      <c r="L51" s="2694">
        <v>16450030.333762243</v>
      </c>
      <c r="M51" s="2694">
        <f t="shared" ca="1" si="17"/>
        <v>16450030.335762233</v>
      </c>
      <c r="N51" s="2694">
        <f t="shared" ref="N51" ca="1" si="18">+N50+N39+N34+N28+N24+N18</f>
        <v>16518809.979573121</v>
      </c>
    </row>
    <row r="52" spans="1:21" s="163" customFormat="1" x14ac:dyDescent="0.2">
      <c r="A52" s="13"/>
      <c r="F52" s="1"/>
      <c r="H52" s="1"/>
      <c r="K52" s="1"/>
    </row>
    <row r="53" spans="1:21" s="756" customFormat="1" x14ac:dyDescent="0.2">
      <c r="A53" s="754"/>
      <c r="F53" s="4"/>
      <c r="H53" s="4"/>
      <c r="K53" s="4"/>
    </row>
    <row r="54" spans="1:21" s="756" customFormat="1" x14ac:dyDescent="0.2">
      <c r="A54" s="754"/>
      <c r="F54" s="4"/>
      <c r="H54" s="4"/>
      <c r="K54" s="4"/>
    </row>
    <row r="55" spans="1:21" s="756" customFormat="1" ht="13.5" thickBot="1" x14ac:dyDescent="0.25">
      <c r="A55" s="13"/>
      <c r="F55" s="4"/>
      <c r="H55" s="4"/>
      <c r="K55" s="4"/>
    </row>
    <row r="56" spans="1:21" s="1" customFormat="1" ht="21" thickBot="1" x14ac:dyDescent="0.35">
      <c r="A56" s="13"/>
      <c r="B56" s="2754" t="s">
        <v>123</v>
      </c>
      <c r="C56" s="2753"/>
      <c r="D56" s="2753"/>
      <c r="E56" s="2753"/>
      <c r="F56" s="2753"/>
      <c r="G56" s="2753"/>
      <c r="H56" s="2753"/>
      <c r="I56" s="2753"/>
      <c r="J56" s="2753"/>
      <c r="K56" s="2753"/>
      <c r="L56" s="2753"/>
      <c r="M56" s="2753"/>
      <c r="N56" s="2753"/>
    </row>
    <row r="57" spans="1:21" ht="21" thickBot="1" x14ac:dyDescent="0.35">
      <c r="A57" s="19"/>
      <c r="B57" s="2754" t="s">
        <v>7</v>
      </c>
      <c r="C57" s="2753"/>
      <c r="D57" s="2753"/>
      <c r="E57" s="2753"/>
      <c r="F57" s="2753">
        <f>F18+F30*0.8+F31*0.5+F32*0.5+F33*0.8+F36+F42*0.8+F26</f>
        <v>9853334.6286466569</v>
      </c>
      <c r="G57" s="2753">
        <f>G18+G30*0.8+G31*0.5+G32*0.5+G33*0.8+G36+G42*0.8+G26</f>
        <v>8768745.5448512882</v>
      </c>
      <c r="H57" s="2753">
        <f t="shared" ref="H57" si="19">H18+H30*0.8+H31*0.5+H32*0.5+H33*0.8+H36+H42*0.8+H26</f>
        <v>10115232.124239683</v>
      </c>
      <c r="I57" s="2753">
        <v>10033728.024854649</v>
      </c>
      <c r="J57" s="2753">
        <f t="shared" ref="J57:M57" si="20">J18+J30*0.8+J31*0.5+J32*0.5+J33*0.8+J36+J42*0.8+J26</f>
        <v>10033728.026872244</v>
      </c>
      <c r="K57" s="2753">
        <f t="shared" si="20"/>
        <v>10175735.605171615</v>
      </c>
      <c r="L57" s="2753">
        <v>10006771.59927937</v>
      </c>
      <c r="M57" s="2753">
        <f t="shared" si="20"/>
        <v>10006771.601279359</v>
      </c>
      <c r="N57" s="2753">
        <f t="shared" ref="N57" si="21">N18+N30*0.8+N31*0.5+N32*0.5+N33*0.8+N36+N42*0.8+N26</f>
        <v>10050838.893001124</v>
      </c>
      <c r="S57" s="2685">
        <f>G57/1000000</f>
        <v>8.7687455448512885</v>
      </c>
      <c r="T57" s="2685">
        <f>J57/1000000</f>
        <v>10.033728026872243</v>
      </c>
      <c r="U57" s="2685">
        <f>M57/1000000</f>
        <v>10.006771601279359</v>
      </c>
    </row>
    <row r="58" spans="1:21" ht="21" customHeight="1" thickBot="1" x14ac:dyDescent="0.35">
      <c r="B58" s="2754" t="s">
        <v>8</v>
      </c>
      <c r="C58" s="2753"/>
      <c r="D58" s="2753"/>
      <c r="E58" s="2753"/>
      <c r="F58" s="2753">
        <f>F24+F30*0.2+F31*0.5+F32*0.5+F33*0.2+F37+F42*0.2+F27</f>
        <v>4417105.2411359288</v>
      </c>
      <c r="G58" s="2753">
        <f>G24+G30*0.2+G31*0.5+G32*0.5+G33*0.2+G37+G42*0.2+G27</f>
        <v>4008351.4449934741</v>
      </c>
      <c r="H58" s="2753">
        <f t="shared" ref="H58" si="22">H24+H30*0.2+H31*0.5+H32*0.5+H33*0.2+H37+H42*0.2+H27</f>
        <v>4511445.6214812184</v>
      </c>
      <c r="I58" s="2753">
        <v>4534241.379666253</v>
      </c>
      <c r="J58" s="2753">
        <f t="shared" ref="J58:M58" si="23">J24+J30*0.2+J31*0.5+J32*0.5+J33*0.2+J37+J42*0.2+J27</f>
        <v>4534241.379666253</v>
      </c>
      <c r="K58" s="2753">
        <f t="shared" si="23"/>
        <v>4540173.8207781333</v>
      </c>
      <c r="L58" s="2753">
        <v>4650429.4854703862</v>
      </c>
      <c r="M58" s="2753">
        <f t="shared" si="23"/>
        <v>4650429.4854703862</v>
      </c>
      <c r="N58" s="2753">
        <f t="shared" ref="N58" si="24">N24+N30*0.2+N31*0.5+N32*0.5+N33*0.2+N37+N42*0.2+N27</f>
        <v>4671866.6164556164</v>
      </c>
      <c r="S58" s="2685">
        <f>G58/1000000</f>
        <v>4.0083514449934743</v>
      </c>
      <c r="T58" s="2685">
        <f>J58/1000000</f>
        <v>4.5342413796662528</v>
      </c>
      <c r="U58" s="2685">
        <f>M58/1000000</f>
        <v>4.6504294854703865</v>
      </c>
    </row>
    <row r="59" spans="1:21" ht="21" thickBot="1" x14ac:dyDescent="0.35">
      <c r="B59" s="2754" t="s">
        <v>12</v>
      </c>
      <c r="C59" s="2753"/>
      <c r="D59" s="2753"/>
      <c r="E59" s="2753"/>
      <c r="F59" s="2753">
        <f t="shared" ref="F59:M59" si="25">F38+F41+F46+F43+F44+F45+F47+F48+F49</f>
        <v>2052047.4300041297</v>
      </c>
      <c r="G59" s="2753">
        <f t="shared" ca="1" si="25"/>
        <v>2039024.0440800665</v>
      </c>
      <c r="H59" s="2753">
        <f t="shared" si="25"/>
        <v>1754859.3238010453</v>
      </c>
      <c r="I59" s="2753">
        <v>1813567.6650010452</v>
      </c>
      <c r="J59" s="2753">
        <f t="shared" ca="1" si="25"/>
        <v>1813567.6650010452</v>
      </c>
      <c r="K59" s="2753">
        <f t="shared" si="25"/>
        <v>1734120.9078124873</v>
      </c>
      <c r="L59" s="2753">
        <v>1792829.2490124875</v>
      </c>
      <c r="M59" s="2753">
        <f t="shared" ca="1" si="25"/>
        <v>1792829.2490124875</v>
      </c>
      <c r="N59" s="2753">
        <f t="shared" ref="N59" ca="1" si="26">N38+N41+N46+N43+N44+N45+N47+N48+N49</f>
        <v>1796104.4701163825</v>
      </c>
      <c r="S59" s="2685">
        <f ca="1">G59/1000000</f>
        <v>2.0390240440800667</v>
      </c>
      <c r="T59" s="2685">
        <f ca="1">J59/1000000</f>
        <v>1.8135676650010453</v>
      </c>
      <c r="U59" s="2685">
        <f ca="1">M59/1000000</f>
        <v>1.7928292490124875</v>
      </c>
    </row>
    <row r="60" spans="1:21" ht="21" thickBot="1" x14ac:dyDescent="0.35">
      <c r="B60" s="2695" t="s">
        <v>33</v>
      </c>
      <c r="C60" s="2694"/>
      <c r="D60" s="2694"/>
      <c r="E60" s="2694"/>
      <c r="F60" s="2694">
        <f t="shared" ref="F60:M60" si="27">F18+F24+F34+F39+F50+F28</f>
        <v>16322487.299786717</v>
      </c>
      <c r="G60" s="2694">
        <f t="shared" ca="1" si="27"/>
        <v>14816121.033924829</v>
      </c>
      <c r="H60" s="2694">
        <f t="shared" si="27"/>
        <v>16381537.069521947</v>
      </c>
      <c r="I60" s="2694">
        <v>16381537.069521947</v>
      </c>
      <c r="J60" s="2694">
        <f t="shared" ca="1" si="27"/>
        <v>16381537.071539542</v>
      </c>
      <c r="K60" s="2694">
        <f t="shared" si="27"/>
        <v>16450030.333762236</v>
      </c>
      <c r="L60" s="2694">
        <v>16450030.33376224</v>
      </c>
      <c r="M60" s="2694">
        <f t="shared" ca="1" si="27"/>
        <v>16450030.335762229</v>
      </c>
      <c r="N60" s="2694">
        <f t="shared" ref="N60" ca="1" si="28">N18+N24+N34+N39+N50+N28</f>
        <v>16518809.979573119</v>
      </c>
      <c r="S60" s="2685">
        <f ca="1">G60/1000000</f>
        <v>14.81612103392483</v>
      </c>
      <c r="T60" s="2685">
        <f ca="1">J60/1000000</f>
        <v>16.38153707153954</v>
      </c>
      <c r="U60" s="2685">
        <f ca="1">M60/1000000</f>
        <v>16.450030335762229</v>
      </c>
    </row>
    <row r="62" spans="1:21" x14ac:dyDescent="0.2">
      <c r="B62" s="15"/>
      <c r="C62" s="2487"/>
      <c r="D62" s="2487"/>
      <c r="E62" s="2487"/>
      <c r="F62" s="2487">
        <v>16322487.299786717</v>
      </c>
      <c r="G62" s="2487">
        <f ca="1">'CNG Table C 2022'!K51</f>
        <v>14816121.033924829</v>
      </c>
      <c r="H62" s="2487">
        <v>0</v>
      </c>
      <c r="I62" s="2487">
        <v>16381537.069521945</v>
      </c>
      <c r="J62" s="2487">
        <f ca="1">'CNG Table C 2023'!K51</f>
        <v>16381537.07153954</v>
      </c>
      <c r="K62" s="2487">
        <v>0</v>
      </c>
      <c r="L62" s="2487">
        <v>16450030.333762242</v>
      </c>
      <c r="M62" s="2487">
        <f ca="1">'CNG Table C 2024'!K51</f>
        <v>16450030.335762231</v>
      </c>
      <c r="N62" s="2487">
        <f ca="1">'CNG Table C 2025'!K51</f>
        <v>16518809.979573121</v>
      </c>
    </row>
    <row r="63" spans="1:21" x14ac:dyDescent="0.2">
      <c r="B63" s="15"/>
      <c r="C63" s="14"/>
      <c r="D63" s="14"/>
      <c r="E63" s="14"/>
      <c r="F63" s="14"/>
      <c r="G63" s="14"/>
      <c r="H63" s="14"/>
      <c r="I63" s="14"/>
      <c r="J63" s="14"/>
      <c r="K63" s="14"/>
      <c r="L63" s="14"/>
      <c r="M63" s="14"/>
      <c r="N63" s="14"/>
    </row>
    <row r="64" spans="1:21" x14ac:dyDescent="0.2">
      <c r="B64" s="3"/>
    </row>
    <row r="65" spans="2:14" x14ac:dyDescent="0.2">
      <c r="C65" s="14"/>
      <c r="D65" s="14"/>
      <c r="E65" s="14"/>
      <c r="F65" s="14">
        <f t="shared" ref="F65:M65" si="29">+F62-F60</f>
        <v>0</v>
      </c>
      <c r="G65" s="14">
        <f t="shared" ca="1" si="29"/>
        <v>0</v>
      </c>
      <c r="H65" s="14"/>
      <c r="I65" s="14">
        <v>0</v>
      </c>
      <c r="J65" s="14">
        <f t="shared" ca="1" si="29"/>
        <v>0</v>
      </c>
      <c r="K65" s="14"/>
      <c r="L65" s="14">
        <v>0</v>
      </c>
      <c r="M65" s="14">
        <f t="shared" ca="1" si="29"/>
        <v>0</v>
      </c>
      <c r="N65" s="14">
        <f t="shared" ref="N65" ca="1" si="30">+N62-N60</f>
        <v>0</v>
      </c>
    </row>
    <row r="66" spans="2:14" ht="20.25" x14ac:dyDescent="0.3">
      <c r="B66" s="213"/>
    </row>
    <row r="67" spans="2:14" x14ac:dyDescent="0.2">
      <c r="C67" s="2752"/>
      <c r="D67" s="2752"/>
      <c r="E67" s="2752"/>
      <c r="F67" s="2752">
        <v>0</v>
      </c>
      <c r="G67" s="2752">
        <f ca="1">+G60-'CNG Table A2'!E16</f>
        <v>3.7434305995702744E-3</v>
      </c>
      <c r="H67" s="2752"/>
      <c r="I67" s="2752">
        <v>0</v>
      </c>
      <c r="J67" s="2752">
        <f ca="1">+J60-'CNG Table A2'!F16</f>
        <v>2.0175948739051819E-3</v>
      </c>
      <c r="K67" s="2752"/>
      <c r="L67" s="2752">
        <v>0</v>
      </c>
      <c r="M67" s="2752">
        <f ca="1">+M60-'CNG Table A2'!G16</f>
        <v>1.9999947398900986E-3</v>
      </c>
      <c r="N67" s="2752">
        <f ca="1">+N60-'CNG Table A2'!I16</f>
        <v>16518809.979573119</v>
      </c>
    </row>
  </sheetData>
  <phoneticPr fontId="10" type="noConversion"/>
  <printOptions horizontalCentered="1" verticalCentered="1"/>
  <pageMargins left="0.75" right="0.75" top="0.22" bottom="1" header="0.22" footer="0.5"/>
  <pageSetup scale="27" orientation="portrait" r:id="rId1"/>
  <headerFooter alignWithMargins="0">
    <oddFooter>&amp;C&amp;1#&amp;"Calibri"&amp;12&amp;K008000Internal Use</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39">
    <tabColor indexed="44"/>
    <pageSetUpPr fitToPage="1"/>
  </sheetPr>
  <dimension ref="A1:O17"/>
  <sheetViews>
    <sheetView zoomScaleNormal="100" workbookViewId="0">
      <selection activeCell="W61" sqref="W61"/>
    </sheetView>
  </sheetViews>
  <sheetFormatPr defaultRowHeight="12.75" x14ac:dyDescent="0.2"/>
  <cols>
    <col min="1" max="1" width="41.5703125" style="168" bestFit="1" customWidth="1"/>
    <col min="2" max="6" width="13.28515625" style="168" customWidth="1"/>
    <col min="7"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77</v>
      </c>
      <c r="B1" s="3055"/>
      <c r="C1" s="3055"/>
      <c r="D1" s="3055"/>
      <c r="E1" s="3055"/>
      <c r="F1" s="3055"/>
      <c r="G1" s="1914"/>
      <c r="H1" s="1914"/>
      <c r="I1" s="1914"/>
      <c r="J1" s="1914"/>
      <c r="K1" s="1914"/>
      <c r="L1" s="1914"/>
      <c r="M1" s="1914"/>
      <c r="N1" s="1914"/>
      <c r="O1" s="1914"/>
    </row>
    <row r="2" spans="1:15" x14ac:dyDescent="0.2">
      <c r="A2" s="169"/>
      <c r="B2" s="169"/>
    </row>
    <row r="3" spans="1:15" ht="18.75" x14ac:dyDescent="0.25">
      <c r="A3" s="172" t="s">
        <v>574</v>
      </c>
      <c r="B3" s="172"/>
    </row>
    <row r="4" spans="1:15" x14ac:dyDescent="0.2">
      <c r="A4" s="169"/>
      <c r="B4" s="169"/>
    </row>
    <row r="5" spans="1:15" x14ac:dyDescent="0.2">
      <c r="A5" s="173"/>
      <c r="B5" s="173"/>
      <c r="K5" s="704"/>
      <c r="L5" s="794"/>
      <c r="M5" s="704"/>
      <c r="N5" s="704"/>
    </row>
    <row r="6" spans="1:15" s="245" customFormat="1" x14ac:dyDescent="0.2">
      <c r="A6" s="242"/>
      <c r="B6" s="243">
        <v>2014</v>
      </c>
      <c r="C6" s="243">
        <v>2015</v>
      </c>
      <c r="D6" s="243">
        <v>2016</v>
      </c>
      <c r="E6" s="243">
        <v>2017</v>
      </c>
      <c r="F6" s="243">
        <v>2018</v>
      </c>
    </row>
    <row r="7" spans="1:15" s="245" customFormat="1" x14ac:dyDescent="0.2">
      <c r="A7" s="247" t="s">
        <v>44</v>
      </c>
      <c r="B7" s="248" t="s">
        <v>148</v>
      </c>
      <c r="C7" s="248" t="s">
        <v>1</v>
      </c>
      <c r="D7" s="248" t="s">
        <v>1</v>
      </c>
      <c r="E7" s="248" t="s">
        <v>1</v>
      </c>
      <c r="F7" s="248" t="s">
        <v>1</v>
      </c>
    </row>
    <row r="8" spans="1:15" s="245" customFormat="1" x14ac:dyDescent="0.2">
      <c r="A8" s="244"/>
      <c r="B8" s="244"/>
      <c r="C8" s="575"/>
      <c r="D8" s="575"/>
      <c r="E8" s="575"/>
      <c r="F8" s="575"/>
    </row>
    <row r="9" spans="1:15" s="245" customFormat="1" x14ac:dyDescent="0.2">
      <c r="A9" s="244" t="s">
        <v>53</v>
      </c>
      <c r="B9" s="252">
        <v>6513</v>
      </c>
      <c r="C9" s="252">
        <v>7655</v>
      </c>
      <c r="D9" s="252">
        <f>'SCG Table C 2016'!$C$32</f>
        <v>0</v>
      </c>
      <c r="E9" s="252">
        <f>'SCG Table C 2017'!$C$32</f>
        <v>0</v>
      </c>
      <c r="F9" s="252" t="e">
        <f>'SCG Table C 2019'!#REF!</f>
        <v>#REF!</v>
      </c>
    </row>
    <row r="10" spans="1:15" s="245" customFormat="1" x14ac:dyDescent="0.2">
      <c r="A10" s="244" t="s">
        <v>45</v>
      </c>
      <c r="B10" s="252">
        <f>53325.599022+88</f>
        <v>53413.599022000002</v>
      </c>
      <c r="C10" s="252">
        <v>67845</v>
      </c>
      <c r="D10" s="252">
        <f>'SCG Table C 2016'!$E$32</f>
        <v>0</v>
      </c>
      <c r="E10" s="252">
        <f>'SCG Table C 2017'!$E$32</f>
        <v>0</v>
      </c>
      <c r="F10" s="252" t="e">
        <f>'SCG Table C 2019'!#REF!</f>
        <v>#REF!</v>
      </c>
    </row>
    <row r="11" spans="1:15" s="245" customFormat="1" x14ac:dyDescent="0.2">
      <c r="A11" s="244" t="s">
        <v>202</v>
      </c>
      <c r="B11" s="252">
        <v>3334</v>
      </c>
      <c r="C11" s="252">
        <v>1000</v>
      </c>
      <c r="D11" s="252">
        <f>'SCG Table C 2016'!$D$32</f>
        <v>0</v>
      </c>
      <c r="E11" s="252">
        <f>'SCG Table C 2017'!$D$32</f>
        <v>0</v>
      </c>
      <c r="F11" s="252" t="e">
        <f>'SCG Table C 2019'!#REF!</f>
        <v>#REF!</v>
      </c>
    </row>
    <row r="12" spans="1:15" s="245" customFormat="1" x14ac:dyDescent="0.2">
      <c r="A12" s="244" t="s">
        <v>2</v>
      </c>
      <c r="B12" s="252">
        <v>0</v>
      </c>
      <c r="C12" s="257">
        <v>0</v>
      </c>
      <c r="D12" s="257">
        <f>'SCG Table C 2016'!$F$32</f>
        <v>0</v>
      </c>
      <c r="E12" s="257">
        <f>'SCG Table C 2017'!$F$32</f>
        <v>0</v>
      </c>
      <c r="F12" s="257" t="e">
        <f>'SCG Table C 2019'!#REF!</f>
        <v>#REF!</v>
      </c>
    </row>
    <row r="13" spans="1:15" s="245" customFormat="1" x14ac:dyDescent="0.2">
      <c r="A13" s="244" t="s">
        <v>14</v>
      </c>
      <c r="B13" s="252">
        <v>103690</v>
      </c>
      <c r="C13" s="252">
        <v>5000</v>
      </c>
      <c r="D13" s="252">
        <f>'SCG Table C 2016'!$G$32</f>
        <v>0</v>
      </c>
      <c r="E13" s="252">
        <f>'SCG Table C 2017'!$G$32</f>
        <v>0</v>
      </c>
      <c r="F13" s="252" t="e">
        <f>'SCG Table C 2019'!#REF!</f>
        <v>#REF!</v>
      </c>
    </row>
    <row r="14" spans="1:15" s="245" customFormat="1" ht="15" x14ac:dyDescent="0.35">
      <c r="A14" s="244" t="s">
        <v>46</v>
      </c>
      <c r="B14" s="256">
        <v>0</v>
      </c>
      <c r="C14" s="256">
        <v>500</v>
      </c>
      <c r="D14" s="256">
        <f>'SCG Table C 2016'!$H$32</f>
        <v>0</v>
      </c>
      <c r="E14" s="256">
        <f>'SCG Table C 2017'!$H$32</f>
        <v>0</v>
      </c>
      <c r="F14" s="256" t="e">
        <f>'SCG Table C 2019'!#REF!</f>
        <v>#REF!</v>
      </c>
    </row>
    <row r="15" spans="1:15" s="245" customFormat="1" x14ac:dyDescent="0.2">
      <c r="A15" s="244" t="s">
        <v>86</v>
      </c>
      <c r="B15" s="504">
        <f>SUM(B9:B14)</f>
        <v>166950.59902200001</v>
      </c>
      <c r="C15" s="504">
        <f>SUM(C9:C14)</f>
        <v>82000</v>
      </c>
      <c r="D15" s="504">
        <f>SUM(D9:D14)</f>
        <v>0</v>
      </c>
      <c r="E15" s="504">
        <f>SUM(E9:E14)</f>
        <v>0</v>
      </c>
      <c r="F15" s="504" t="e">
        <f>SUM(F9:F14)</f>
        <v>#REF!</v>
      </c>
    </row>
    <row r="16" spans="1:15" s="245" customFormat="1" x14ac:dyDescent="0.2">
      <c r="A16" s="244"/>
      <c r="B16" s="244"/>
      <c r="C16" s="284"/>
      <c r="D16" s="284"/>
      <c r="E16" s="284"/>
      <c r="F16" s="284"/>
    </row>
    <row r="17" spans="1:6" s="245" customFormat="1" x14ac:dyDescent="0.2">
      <c r="A17" s="262"/>
      <c r="B17" s="262"/>
      <c r="C17" s="294"/>
      <c r="D17" s="294"/>
      <c r="E17" s="294"/>
      <c r="F17" s="294"/>
    </row>
  </sheetData>
  <mergeCells count="1">
    <mergeCell ref="A1:F1"/>
  </mergeCells>
  <pageMargins left="0.98" right="0.75" top="1.1499999999999999" bottom="1" header="0.5" footer="0.5"/>
  <pageSetup fitToHeight="0" orientation="landscape" r:id="rId1"/>
  <headerFooter alignWithMargins="0">
    <oddFooter>&amp;C&amp;1#&amp;"Calibri"&amp;12&amp;K008000Internal Use</oddFooter>
  </headerFooter>
  <rowBreaks count="1" manualBreakCount="1">
    <brk id="17" max="1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40">
    <tabColor indexed="47"/>
    <pageSetUpPr fitToPage="1"/>
  </sheetPr>
  <dimension ref="A1:O17"/>
  <sheetViews>
    <sheetView zoomScaleNormal="100" workbookViewId="0">
      <selection activeCell="B12" sqref="B12"/>
    </sheetView>
  </sheetViews>
  <sheetFormatPr defaultRowHeight="12.75" x14ac:dyDescent="0.2"/>
  <cols>
    <col min="1" max="1" width="41.5703125" style="168" bestFit="1" customWidth="1"/>
    <col min="2" max="6" width="13.28515625" style="168" customWidth="1"/>
    <col min="7"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76</v>
      </c>
      <c r="B1" s="3055"/>
      <c r="C1" s="3055"/>
      <c r="D1" s="3055"/>
      <c r="E1" s="3055"/>
      <c r="F1" s="3055"/>
      <c r="G1" s="1914"/>
      <c r="H1" s="1914"/>
      <c r="I1" s="1914"/>
      <c r="J1" s="1914"/>
      <c r="K1" s="1914"/>
      <c r="L1" s="1914"/>
      <c r="M1" s="1914"/>
      <c r="N1" s="1914"/>
      <c r="O1" s="1914"/>
    </row>
    <row r="2" spans="1:15" x14ac:dyDescent="0.2">
      <c r="A2" s="169"/>
      <c r="B2" s="169"/>
    </row>
    <row r="3" spans="1:15" ht="15.75" x14ac:dyDescent="0.25">
      <c r="A3" s="172" t="s">
        <v>483</v>
      </c>
      <c r="B3" s="172"/>
    </row>
    <row r="4" spans="1:15" x14ac:dyDescent="0.2">
      <c r="A4" s="169"/>
      <c r="B4" s="169"/>
    </row>
    <row r="5" spans="1:15" x14ac:dyDescent="0.2">
      <c r="A5" s="173"/>
      <c r="B5" s="173"/>
      <c r="K5" s="704"/>
      <c r="L5" s="794"/>
      <c r="M5" s="704"/>
      <c r="N5" s="704"/>
    </row>
    <row r="6" spans="1:15" s="245" customFormat="1" x14ac:dyDescent="0.2">
      <c r="A6" s="242"/>
      <c r="B6" s="243">
        <v>2014</v>
      </c>
      <c r="C6" s="243">
        <v>2015</v>
      </c>
      <c r="D6" s="243">
        <v>2016</v>
      </c>
      <c r="E6" s="243">
        <v>2017</v>
      </c>
      <c r="F6" s="243">
        <v>2018</v>
      </c>
    </row>
    <row r="7" spans="1:15" s="245" customFormat="1" x14ac:dyDescent="0.2">
      <c r="A7" s="247" t="s">
        <v>44</v>
      </c>
      <c r="B7" s="248" t="s">
        <v>148</v>
      </c>
      <c r="C7" s="248" t="s">
        <v>1</v>
      </c>
      <c r="D7" s="248" t="s">
        <v>1</v>
      </c>
      <c r="E7" s="248" t="s">
        <v>1</v>
      </c>
      <c r="F7" s="248" t="s">
        <v>1</v>
      </c>
    </row>
    <row r="8" spans="1:15" s="245" customFormat="1" x14ac:dyDescent="0.2">
      <c r="A8" s="244"/>
      <c r="B8" s="244"/>
      <c r="C8" s="575"/>
      <c r="D8" s="575"/>
      <c r="E8" s="575"/>
      <c r="F8" s="575"/>
    </row>
    <row r="9" spans="1:15" s="245" customFormat="1" x14ac:dyDescent="0.2">
      <c r="A9" s="244" t="s">
        <v>53</v>
      </c>
      <c r="B9" s="252">
        <v>6578</v>
      </c>
      <c r="C9" s="252">
        <v>8352</v>
      </c>
      <c r="D9" s="252">
        <f>'CNG Table C 2016'!$C$38</f>
        <v>0</v>
      </c>
      <c r="E9" s="252">
        <f>'CNG Table C 2017'!$C$38</f>
        <v>0</v>
      </c>
      <c r="F9" s="252" t="e">
        <f>'CNG Table C 2019'!#REF!</f>
        <v>#REF!</v>
      </c>
    </row>
    <row r="10" spans="1:15" s="245" customFormat="1" x14ac:dyDescent="0.2">
      <c r="A10" s="244" t="s">
        <v>45</v>
      </c>
      <c r="B10" s="252">
        <v>19212.953814000004</v>
      </c>
      <c r="C10" s="252">
        <v>53015</v>
      </c>
      <c r="D10" s="252">
        <f>'CNG Table C 2016'!$E$38</f>
        <v>0</v>
      </c>
      <c r="E10" s="252">
        <f>'CNG Table C 2017'!$E$38</f>
        <v>0</v>
      </c>
      <c r="F10" s="252" t="e">
        <f>'CNG Table C 2019'!#REF!</f>
        <v>#REF!</v>
      </c>
    </row>
    <row r="11" spans="1:15" s="245" customFormat="1" x14ac:dyDescent="0.2">
      <c r="A11" s="244" t="s">
        <v>202</v>
      </c>
      <c r="B11" s="252">
        <v>0</v>
      </c>
      <c r="C11" s="252">
        <v>1300</v>
      </c>
      <c r="D11" s="252">
        <f>'CNG Table C 2016'!$D$38</f>
        <v>0</v>
      </c>
      <c r="E11" s="252">
        <f>'CNG Table C 2017'!$D$38</f>
        <v>0</v>
      </c>
      <c r="F11" s="252" t="e">
        <f>'CNG Table C 2019'!#REF!</f>
        <v>#REF!</v>
      </c>
    </row>
    <row r="12" spans="1:15" s="245" customFormat="1" x14ac:dyDescent="0.2">
      <c r="A12" s="244" t="s">
        <v>2</v>
      </c>
      <c r="B12" s="252">
        <v>0</v>
      </c>
      <c r="C12" s="257">
        <v>0</v>
      </c>
      <c r="D12" s="257">
        <f>'CNG Table C 2016'!$F$38</f>
        <v>0</v>
      </c>
      <c r="E12" s="257">
        <f>'CNG Table C 2017'!$F$38</f>
        <v>0</v>
      </c>
      <c r="F12" s="257" t="e">
        <f>'CNG Table C 2019'!#REF!</f>
        <v>#REF!</v>
      </c>
    </row>
    <row r="13" spans="1:15" s="245" customFormat="1" x14ac:dyDescent="0.2">
      <c r="A13" s="244" t="s">
        <v>14</v>
      </c>
      <c r="B13" s="252">
        <v>0</v>
      </c>
      <c r="C13" s="252">
        <v>3000</v>
      </c>
      <c r="D13" s="252">
        <f>'CNG Table C 2016'!$G$38</f>
        <v>0</v>
      </c>
      <c r="E13" s="252">
        <f>'CNG Table C 2017'!$G$38</f>
        <v>0</v>
      </c>
      <c r="F13" s="252" t="e">
        <f>'CNG Table C 2019'!#REF!</f>
        <v>#REF!</v>
      </c>
    </row>
    <row r="14" spans="1:15" s="245" customFormat="1" ht="15" x14ac:dyDescent="0.35">
      <c r="A14" s="244" t="s">
        <v>46</v>
      </c>
      <c r="B14" s="256">
        <v>0</v>
      </c>
      <c r="C14" s="256">
        <v>1000</v>
      </c>
      <c r="D14" s="256">
        <f>'CNG Table C 2016'!$H$38</f>
        <v>0</v>
      </c>
      <c r="E14" s="256">
        <f>'CNG Table C 2017'!$H$38</f>
        <v>0</v>
      </c>
      <c r="F14" s="256" t="e">
        <f>'CNG Table C 2019'!#REF!</f>
        <v>#REF!</v>
      </c>
    </row>
    <row r="15" spans="1:15" s="245" customFormat="1" x14ac:dyDescent="0.2">
      <c r="A15" s="244" t="s">
        <v>86</v>
      </c>
      <c r="B15" s="504">
        <f>SUM(B9:B14)</f>
        <v>25790.953814000004</v>
      </c>
      <c r="C15" s="504">
        <f>SUM(C9:C14)</f>
        <v>66667</v>
      </c>
      <c r="D15" s="504">
        <f>SUM(D9:D14)</f>
        <v>0</v>
      </c>
      <c r="E15" s="504">
        <f>SUM(E9:E14)</f>
        <v>0</v>
      </c>
      <c r="F15" s="504" t="e">
        <f>SUM(F9:F14)</f>
        <v>#REF!</v>
      </c>
    </row>
    <row r="16" spans="1:15" s="245" customFormat="1" x14ac:dyDescent="0.2">
      <c r="A16" s="244"/>
      <c r="B16" s="244"/>
      <c r="C16" s="284"/>
      <c r="D16" s="284"/>
      <c r="E16" s="284"/>
      <c r="F16" s="284"/>
    </row>
    <row r="17" spans="1:6" s="245" customFormat="1" x14ac:dyDescent="0.2">
      <c r="A17" s="262"/>
      <c r="B17" s="262"/>
      <c r="C17" s="294"/>
      <c r="D17" s="294"/>
      <c r="E17" s="294"/>
      <c r="F17" s="294"/>
    </row>
  </sheetData>
  <mergeCells count="1">
    <mergeCell ref="A1:F1"/>
  </mergeCells>
  <pageMargins left="0.98" right="0.75" top="1.1499999999999999" bottom="1" header="0.5" footer="0.5"/>
  <pageSetup fitToHeight="0" orientation="landscape" r:id="rId1"/>
  <headerFooter alignWithMargins="0">
    <oddFooter>&amp;C&amp;1#&amp;"Calibri"&amp;12&amp;K008000Internal Use</oddFooter>
  </headerFooter>
  <rowBreaks count="1" manualBreakCount="1">
    <brk id="49" max="13" man="1"/>
  </row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41">
    <tabColor indexed="44"/>
  </sheetPr>
  <dimension ref="A1:O17"/>
  <sheetViews>
    <sheetView zoomScaleNormal="100" workbookViewId="0">
      <selection activeCell="B6" sqref="B6:B15"/>
    </sheetView>
  </sheetViews>
  <sheetFormatPr defaultRowHeight="12.75" x14ac:dyDescent="0.2"/>
  <cols>
    <col min="1" max="1" width="41.5703125" style="168" bestFit="1" customWidth="1"/>
    <col min="2" max="6" width="13.28515625" style="168" customWidth="1"/>
    <col min="7"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77</v>
      </c>
      <c r="B1" s="3055"/>
      <c r="C1" s="3055"/>
      <c r="D1" s="3055"/>
      <c r="E1" s="3055"/>
      <c r="F1" s="3055"/>
      <c r="G1" s="1914"/>
      <c r="H1" s="1914"/>
      <c r="I1" s="1914"/>
      <c r="J1" s="1914"/>
      <c r="K1" s="1914"/>
      <c r="L1" s="1914"/>
      <c r="M1" s="1914"/>
      <c r="N1" s="1914"/>
      <c r="O1" s="1914"/>
    </row>
    <row r="2" spans="1:15" x14ac:dyDescent="0.2">
      <c r="A2" s="169"/>
      <c r="B2" s="169"/>
    </row>
    <row r="3" spans="1:15" ht="15.75" x14ac:dyDescent="0.25">
      <c r="A3" s="172" t="s">
        <v>483</v>
      </c>
      <c r="B3" s="172"/>
    </row>
    <row r="4" spans="1:15" x14ac:dyDescent="0.2">
      <c r="A4" s="169"/>
      <c r="B4" s="169"/>
    </row>
    <row r="5" spans="1:15" x14ac:dyDescent="0.2">
      <c r="A5" s="173"/>
      <c r="B5" s="173"/>
      <c r="K5" s="704"/>
      <c r="L5" s="794"/>
      <c r="M5" s="704"/>
      <c r="N5" s="704"/>
    </row>
    <row r="6" spans="1:15" s="245" customFormat="1" x14ac:dyDescent="0.2">
      <c r="A6" s="242"/>
      <c r="B6" s="243">
        <v>2014</v>
      </c>
      <c r="C6" s="243">
        <v>2015</v>
      </c>
      <c r="D6" s="243">
        <v>2016</v>
      </c>
      <c r="E6" s="243">
        <v>2017</v>
      </c>
      <c r="F6" s="243">
        <v>2018</v>
      </c>
    </row>
    <row r="7" spans="1:15" s="245" customFormat="1" x14ac:dyDescent="0.2">
      <c r="A7" s="247" t="s">
        <v>44</v>
      </c>
      <c r="B7" s="248" t="s">
        <v>148</v>
      </c>
      <c r="C7" s="248" t="s">
        <v>1</v>
      </c>
      <c r="D7" s="248" t="s">
        <v>1</v>
      </c>
      <c r="E7" s="248" t="s">
        <v>1</v>
      </c>
      <c r="F7" s="248" t="s">
        <v>1</v>
      </c>
    </row>
    <row r="8" spans="1:15" s="245" customFormat="1" x14ac:dyDescent="0.2">
      <c r="A8" s="244"/>
      <c r="B8" s="244"/>
      <c r="C8" s="575"/>
      <c r="D8" s="575"/>
      <c r="E8" s="575"/>
      <c r="F8" s="575"/>
    </row>
    <row r="9" spans="1:15" s="245" customFormat="1" x14ac:dyDescent="0.2">
      <c r="A9" s="244" t="s">
        <v>53</v>
      </c>
      <c r="B9" s="252">
        <v>6577</v>
      </c>
      <c r="C9" s="252">
        <v>8352</v>
      </c>
      <c r="D9" s="252">
        <f>'SCG Table C 2016'!$C$38</f>
        <v>0</v>
      </c>
      <c r="E9" s="252">
        <f>'SCG Table C 2017'!$C$38</f>
        <v>0</v>
      </c>
      <c r="F9" s="252" t="e">
        <f>'SCG Table C 2019'!#REF!</f>
        <v>#REF!</v>
      </c>
    </row>
    <row r="10" spans="1:15" s="245" customFormat="1" x14ac:dyDescent="0.2">
      <c r="A10" s="244" t="s">
        <v>45</v>
      </c>
      <c r="B10" s="252">
        <v>19212.953814000004</v>
      </c>
      <c r="C10" s="252">
        <v>53015</v>
      </c>
      <c r="D10" s="252">
        <f>'SCG Table C 2016'!$E$38</f>
        <v>0</v>
      </c>
      <c r="E10" s="252">
        <f>'SCG Table C 2017'!$E$38</f>
        <v>0</v>
      </c>
      <c r="F10" s="252" t="e">
        <f>'SCG Table C 2019'!#REF!</f>
        <v>#REF!</v>
      </c>
    </row>
    <row r="11" spans="1:15" s="245" customFormat="1" x14ac:dyDescent="0.2">
      <c r="A11" s="244" t="s">
        <v>202</v>
      </c>
      <c r="B11" s="252">
        <v>0</v>
      </c>
      <c r="C11" s="252">
        <v>1300</v>
      </c>
      <c r="D11" s="252">
        <f>'SCG Table C 2016'!$D$38</f>
        <v>0</v>
      </c>
      <c r="E11" s="252">
        <f>'SCG Table C 2017'!$D$38</f>
        <v>0</v>
      </c>
      <c r="F11" s="252" t="e">
        <f>'SCG Table C 2019'!#REF!</f>
        <v>#REF!</v>
      </c>
    </row>
    <row r="12" spans="1:15" s="245" customFormat="1" x14ac:dyDescent="0.2">
      <c r="A12" s="244" t="s">
        <v>2</v>
      </c>
      <c r="B12" s="252">
        <v>0</v>
      </c>
      <c r="C12" s="257">
        <v>0</v>
      </c>
      <c r="D12" s="257">
        <f>'SCG Table C 2016'!$F$38</f>
        <v>0</v>
      </c>
      <c r="E12" s="257">
        <f>'SCG Table C 2017'!$F$38</f>
        <v>0</v>
      </c>
      <c r="F12" s="257" t="e">
        <f>'SCG Table C 2019'!#REF!</f>
        <v>#REF!</v>
      </c>
    </row>
    <row r="13" spans="1:15" s="245" customFormat="1" x14ac:dyDescent="0.2">
      <c r="A13" s="244" t="s">
        <v>14</v>
      </c>
      <c r="B13" s="252">
        <v>0</v>
      </c>
      <c r="C13" s="252">
        <v>3000</v>
      </c>
      <c r="D13" s="252">
        <f>'SCG Table C 2016'!$G$38</f>
        <v>0</v>
      </c>
      <c r="E13" s="252">
        <f>'SCG Table C 2017'!$G$38</f>
        <v>0</v>
      </c>
      <c r="F13" s="252" t="e">
        <f>'SCG Table C 2019'!#REF!</f>
        <v>#REF!</v>
      </c>
    </row>
    <row r="14" spans="1:15" s="245" customFormat="1" ht="15" x14ac:dyDescent="0.35">
      <c r="A14" s="244" t="s">
        <v>46</v>
      </c>
      <c r="B14" s="256">
        <v>0</v>
      </c>
      <c r="C14" s="256">
        <v>1000</v>
      </c>
      <c r="D14" s="256">
        <f>'SCG Table C 2016'!$H$38</f>
        <v>0</v>
      </c>
      <c r="E14" s="256">
        <f>'SCG Table C 2017'!$H$38</f>
        <v>0</v>
      </c>
      <c r="F14" s="256" t="e">
        <f>'SCG Table C 2019'!#REF!</f>
        <v>#REF!</v>
      </c>
    </row>
    <row r="15" spans="1:15" s="245" customFormat="1" x14ac:dyDescent="0.2">
      <c r="A15" s="244" t="s">
        <v>86</v>
      </c>
      <c r="B15" s="504">
        <f>SUM(B9:B14)</f>
        <v>25789.953814000004</v>
      </c>
      <c r="C15" s="504">
        <f>SUM(C9:C14)</f>
        <v>66667</v>
      </c>
      <c r="D15" s="504">
        <f>SUM(D9:D14)</f>
        <v>0</v>
      </c>
      <c r="E15" s="504">
        <f>SUM(E9:E14)</f>
        <v>0</v>
      </c>
      <c r="F15" s="504" t="e">
        <f>SUM(F9:F14)</f>
        <v>#REF!</v>
      </c>
    </row>
    <row r="16" spans="1:15" s="245" customFormat="1" x14ac:dyDescent="0.2">
      <c r="A16" s="244"/>
      <c r="B16" s="244"/>
      <c r="C16" s="284"/>
      <c r="D16" s="284"/>
      <c r="E16" s="284"/>
      <c r="F16" s="284"/>
    </row>
    <row r="17" spans="1:6" s="245" customFormat="1" x14ac:dyDescent="0.2">
      <c r="A17" s="262"/>
      <c r="B17" s="262"/>
      <c r="C17" s="294"/>
      <c r="D17" s="294"/>
      <c r="E17" s="294"/>
      <c r="F17" s="294"/>
    </row>
  </sheetData>
  <mergeCells count="1">
    <mergeCell ref="A1:F1"/>
  </mergeCells>
  <pageMargins left="0.98" right="0.75" top="1.1499999999999999" bottom="1" header="0.5" footer="0.5"/>
  <pageSetup scale="56" fitToHeight="2" orientation="landscape" r:id="rId1"/>
  <headerFooter alignWithMargins="0">
    <oddFooter>&amp;C&amp;1#&amp;"Calibri"&amp;12&amp;K008000Internal Use</oddFooter>
  </headerFooter>
  <rowBreaks count="1" manualBreakCount="1">
    <brk id="17" max="13"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42">
    <tabColor indexed="47"/>
  </sheetPr>
  <dimension ref="A1:P17"/>
  <sheetViews>
    <sheetView zoomScaleNormal="100" workbookViewId="0">
      <selection activeCell="B6" sqref="B6:B15"/>
    </sheetView>
  </sheetViews>
  <sheetFormatPr defaultRowHeight="12.75" x14ac:dyDescent="0.2"/>
  <cols>
    <col min="1" max="1" width="41.5703125" style="168" bestFit="1" customWidth="1"/>
    <col min="2" max="6" width="13.28515625" style="168" customWidth="1"/>
    <col min="7" max="7" width="13.5703125" style="168" customWidth="1"/>
    <col min="8" max="10" width="10.140625" style="168" bestFit="1" customWidth="1"/>
    <col min="11" max="12" width="13" style="168" bestFit="1" customWidth="1"/>
    <col min="13" max="13" width="13.28515625" style="245" bestFit="1" customWidth="1"/>
    <col min="14" max="14" width="13" style="168" bestFit="1" customWidth="1"/>
    <col min="15" max="15" width="12.7109375" style="168" bestFit="1" customWidth="1"/>
    <col min="16" max="16" width="7" style="168" bestFit="1" customWidth="1"/>
    <col min="17" max="17" width="4.42578125" style="168" customWidth="1"/>
    <col min="18" max="18" width="18.85546875" style="168" customWidth="1"/>
    <col min="19" max="19" width="2.42578125" style="168" customWidth="1"/>
    <col min="20" max="20" width="11.42578125" style="168" customWidth="1"/>
    <col min="21" max="21" width="10.7109375" style="168" customWidth="1"/>
    <col min="22" max="22" width="12.28515625" style="168" customWidth="1"/>
    <col min="23" max="16384" width="9.140625" style="168"/>
  </cols>
  <sheetData>
    <row r="1" spans="1:16" ht="15.75" x14ac:dyDescent="0.25">
      <c r="A1" s="3055" t="s">
        <v>76</v>
      </c>
      <c r="B1" s="3055"/>
      <c r="C1" s="3055"/>
      <c r="D1" s="3055"/>
      <c r="E1" s="3055"/>
      <c r="F1" s="3055"/>
      <c r="G1" s="3055"/>
      <c r="H1" s="1914"/>
      <c r="I1" s="1914"/>
      <c r="J1" s="1914"/>
      <c r="K1" s="1914"/>
      <c r="L1" s="1914"/>
      <c r="M1" s="1914"/>
      <c r="N1" s="1914"/>
      <c r="O1" s="1914"/>
      <c r="P1" s="1914"/>
    </row>
    <row r="2" spans="1:16" x14ac:dyDescent="0.2">
      <c r="A2" s="169"/>
      <c r="B2" s="169"/>
    </row>
    <row r="3" spans="1:16" ht="15.75" x14ac:dyDescent="0.25">
      <c r="A3" s="172" t="s">
        <v>571</v>
      </c>
      <c r="B3" s="172"/>
    </row>
    <row r="4" spans="1:16" x14ac:dyDescent="0.2">
      <c r="A4" s="169"/>
      <c r="B4" s="169"/>
    </row>
    <row r="5" spans="1:16" x14ac:dyDescent="0.2">
      <c r="A5" s="173"/>
      <c r="B5" s="173"/>
      <c r="L5" s="704"/>
      <c r="M5" s="794"/>
      <c r="N5" s="704"/>
      <c r="O5" s="704"/>
    </row>
    <row r="6" spans="1:16" s="245" customFormat="1" x14ac:dyDescent="0.2">
      <c r="A6" s="242"/>
      <c r="B6" s="243">
        <v>2014</v>
      </c>
      <c r="C6" s="243">
        <v>2015</v>
      </c>
      <c r="D6" s="243">
        <v>2016</v>
      </c>
      <c r="E6" s="243">
        <v>2017</v>
      </c>
      <c r="F6" s="243">
        <v>2018</v>
      </c>
    </row>
    <row r="7" spans="1:16" s="245" customFormat="1" x14ac:dyDescent="0.2">
      <c r="A7" s="247" t="s">
        <v>44</v>
      </c>
      <c r="B7" s="248" t="s">
        <v>148</v>
      </c>
      <c r="C7" s="248" t="s">
        <v>1</v>
      </c>
      <c r="D7" s="248" t="s">
        <v>1</v>
      </c>
      <c r="E7" s="248" t="s">
        <v>1</v>
      </c>
      <c r="F7" s="248" t="s">
        <v>1</v>
      </c>
    </row>
    <row r="8" spans="1:16" s="245" customFormat="1" x14ac:dyDescent="0.2">
      <c r="A8" s="244"/>
      <c r="B8" s="244"/>
      <c r="C8" s="575"/>
      <c r="D8" s="575"/>
      <c r="E8" s="575"/>
      <c r="F8" s="575"/>
    </row>
    <row r="9" spans="1:16" s="245" customFormat="1" x14ac:dyDescent="0.2">
      <c r="A9" s="244" t="s">
        <v>53</v>
      </c>
      <c r="B9" s="252">
        <v>40793</v>
      </c>
      <c r="C9" s="252">
        <v>36905</v>
      </c>
      <c r="D9" s="252">
        <f>'CNG Table C 2016'!$C$37</f>
        <v>0</v>
      </c>
      <c r="E9" s="252">
        <f>'CNG Table C 2017'!$C$37</f>
        <v>0</v>
      </c>
      <c r="F9" s="252" t="e">
        <f>'CNG Table C 2019'!#REF!</f>
        <v>#REF!</v>
      </c>
    </row>
    <row r="10" spans="1:16" s="245" customFormat="1" x14ac:dyDescent="0.2">
      <c r="A10" s="244" t="s">
        <v>45</v>
      </c>
      <c r="B10" s="252">
        <v>0</v>
      </c>
      <c r="C10" s="252">
        <v>106428</v>
      </c>
      <c r="D10" s="252">
        <f>'CNG Table C 2016'!$E$37</f>
        <v>0</v>
      </c>
      <c r="E10" s="252">
        <f>'CNG Table C 2017'!$E$37</f>
        <v>0</v>
      </c>
      <c r="F10" s="252" t="e">
        <f>'CNG Table C 2019'!#REF!</f>
        <v>#REF!</v>
      </c>
    </row>
    <row r="11" spans="1:16" s="245" customFormat="1" x14ac:dyDescent="0.2">
      <c r="A11" s="244" t="s">
        <v>202</v>
      </c>
      <c r="B11" s="252">
        <v>0</v>
      </c>
      <c r="C11" s="252">
        <v>0</v>
      </c>
      <c r="D11" s="252">
        <f>'CNG Table C 2016'!$D$37</f>
        <v>0</v>
      </c>
      <c r="E11" s="252">
        <f>'CNG Table C 2017'!$D$37</f>
        <v>0</v>
      </c>
      <c r="F11" s="252" t="e">
        <f>'CNG Table C 2019'!#REF!</f>
        <v>#REF!</v>
      </c>
    </row>
    <row r="12" spans="1:16" s="245" customFormat="1" ht="14.25" x14ac:dyDescent="0.2">
      <c r="A12" s="244" t="s">
        <v>2</v>
      </c>
      <c r="B12" s="252">
        <v>0</v>
      </c>
      <c r="C12" s="252">
        <v>0</v>
      </c>
      <c r="D12" s="252">
        <f>'CNG Table C 2016'!$F$37</f>
        <v>0</v>
      </c>
      <c r="E12" s="252">
        <f>'CNG Table C 2017'!$F$37</f>
        <v>0</v>
      </c>
      <c r="F12" s="252" t="e">
        <f>'CNG Table C 2019'!#REF!</f>
        <v>#REF!</v>
      </c>
      <c r="G12" s="947" t="s">
        <v>326</v>
      </c>
    </row>
    <row r="13" spans="1:16" s="245" customFormat="1" ht="14.25" x14ac:dyDescent="0.2">
      <c r="A13" s="244" t="s">
        <v>14</v>
      </c>
      <c r="B13" s="252">
        <v>0</v>
      </c>
      <c r="C13" s="252">
        <v>0</v>
      </c>
      <c r="D13" s="252">
        <f>'CNG Table C 2016'!$G$37</f>
        <v>0</v>
      </c>
      <c r="E13" s="252">
        <f>'CNG Table C 2017'!$G$37</f>
        <v>0</v>
      </c>
      <c r="F13" s="252" t="e">
        <f>'CNG Table C 2019'!#REF!</f>
        <v>#REF!</v>
      </c>
      <c r="G13" s="947" t="s">
        <v>327</v>
      </c>
    </row>
    <row r="14" spans="1:16" s="245" customFormat="1" ht="15" x14ac:dyDescent="0.35">
      <c r="A14" s="244" t="s">
        <v>46</v>
      </c>
      <c r="B14" s="256">
        <v>0</v>
      </c>
      <c r="C14" s="256">
        <v>0</v>
      </c>
      <c r="D14" s="256">
        <f>'CNG Table C 2016'!$H$37</f>
        <v>0</v>
      </c>
      <c r="E14" s="256">
        <f>'CNG Table C 2017'!$H$37</f>
        <v>0</v>
      </c>
      <c r="F14" s="256" t="e">
        <f>'CNG Table C 2019'!#REF!</f>
        <v>#REF!</v>
      </c>
    </row>
    <row r="15" spans="1:16" s="245" customFormat="1" x14ac:dyDescent="0.2">
      <c r="A15" s="244" t="s">
        <v>86</v>
      </c>
      <c r="B15" s="504">
        <f>SUM(B9:B14)</f>
        <v>40793</v>
      </c>
      <c r="C15" s="504">
        <f>SUM(C9:C14)</f>
        <v>143333</v>
      </c>
      <c r="D15" s="504">
        <f>SUM(D9:D14)</f>
        <v>0</v>
      </c>
      <c r="E15" s="504">
        <f>SUM(E9:E14)</f>
        <v>0</v>
      </c>
      <c r="F15" s="504" t="e">
        <f>SUM(F9:F14)</f>
        <v>#REF!</v>
      </c>
      <c r="G15" s="246" t="s">
        <v>201</v>
      </c>
    </row>
    <row r="16" spans="1:16" s="245" customFormat="1" x14ac:dyDescent="0.2">
      <c r="A16" s="244"/>
      <c r="B16" s="244"/>
      <c r="C16" s="284"/>
      <c r="D16" s="284"/>
      <c r="E16" s="284"/>
      <c r="F16" s="284"/>
    </row>
    <row r="17" spans="1:7" s="245" customFormat="1" ht="15" x14ac:dyDescent="0.35">
      <c r="A17" s="262"/>
      <c r="B17" s="262"/>
      <c r="C17" s="294"/>
      <c r="D17" s="294"/>
      <c r="E17" s="294"/>
      <c r="F17" s="294"/>
      <c r="G17" s="263"/>
    </row>
  </sheetData>
  <mergeCells count="1">
    <mergeCell ref="A1:G1"/>
  </mergeCells>
  <pageMargins left="0.98" right="0.75" top="1.1499999999999999" bottom="1" header="0.5" footer="0.5"/>
  <pageSetup scale="61" fitToHeight="2" orientation="landscape" r:id="rId1"/>
  <headerFooter alignWithMargins="0">
    <oddFooter>&amp;C&amp;1#&amp;"Calibri"&amp;12&amp;K008000Internal Use</oddFooter>
  </headerFooter>
  <rowBreaks count="1" manualBreakCount="1">
    <brk id="44" max="13"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43">
    <tabColor indexed="44"/>
    <pageSetUpPr fitToPage="1"/>
  </sheetPr>
  <dimension ref="A1:O17"/>
  <sheetViews>
    <sheetView zoomScaleNormal="100" workbookViewId="0">
      <selection sqref="A1:F1"/>
    </sheetView>
  </sheetViews>
  <sheetFormatPr defaultRowHeight="12.75" x14ac:dyDescent="0.2"/>
  <cols>
    <col min="1" max="1" width="41.5703125" style="168" bestFit="1" customWidth="1"/>
    <col min="2" max="6" width="13.28515625" style="168" customWidth="1"/>
    <col min="7" max="9" width="10.140625" style="168" bestFit="1" customWidth="1"/>
    <col min="10" max="11" width="13" style="168" bestFit="1" customWidth="1"/>
    <col min="12" max="12" width="13.28515625" style="245" bestFit="1" customWidth="1"/>
    <col min="13" max="13" width="13" style="168" bestFit="1" customWidth="1"/>
    <col min="14" max="14" width="12.7109375" style="168" bestFit="1" customWidth="1"/>
    <col min="15" max="15" width="7" style="168" bestFit="1" customWidth="1"/>
    <col min="16" max="16" width="4.42578125" style="168" customWidth="1"/>
    <col min="17" max="17" width="18.85546875" style="168" customWidth="1"/>
    <col min="18" max="18" width="2.42578125" style="168" customWidth="1"/>
    <col min="19" max="19" width="11.42578125" style="168" customWidth="1"/>
    <col min="20" max="20" width="10.7109375" style="168" customWidth="1"/>
    <col min="21" max="21" width="12.28515625" style="168" customWidth="1"/>
    <col min="22" max="16384" width="9.140625" style="168"/>
  </cols>
  <sheetData>
    <row r="1" spans="1:15" ht="15.75" x14ac:dyDescent="0.25">
      <c r="A1" s="3055" t="s">
        <v>77</v>
      </c>
      <c r="B1" s="3055"/>
      <c r="C1" s="3055"/>
      <c r="D1" s="3055"/>
      <c r="E1" s="3055"/>
      <c r="F1" s="3055"/>
      <c r="G1" s="1914"/>
      <c r="H1" s="1914"/>
      <c r="I1" s="1914"/>
      <c r="J1" s="1914"/>
      <c r="K1" s="1914"/>
      <c r="L1" s="1914"/>
      <c r="M1" s="1914"/>
      <c r="N1" s="1914"/>
      <c r="O1" s="1914"/>
    </row>
    <row r="2" spans="1:15" x14ac:dyDescent="0.2">
      <c r="A2" s="169"/>
      <c r="B2" s="169"/>
    </row>
    <row r="3" spans="1:15" ht="15.75" x14ac:dyDescent="0.25">
      <c r="A3" s="172" t="s">
        <v>571</v>
      </c>
      <c r="B3" s="172"/>
    </row>
    <row r="4" spans="1:15" x14ac:dyDescent="0.2">
      <c r="A4" s="169"/>
      <c r="B4" s="169"/>
    </row>
    <row r="5" spans="1:15" x14ac:dyDescent="0.2">
      <c r="A5" s="173"/>
      <c r="B5" s="173"/>
      <c r="K5" s="704"/>
      <c r="L5" s="794"/>
      <c r="M5" s="704"/>
      <c r="N5" s="704"/>
    </row>
    <row r="6" spans="1:15" s="245" customFormat="1" x14ac:dyDescent="0.2">
      <c r="A6" s="242"/>
      <c r="B6" s="243">
        <v>2014</v>
      </c>
      <c r="C6" s="243">
        <v>2015</v>
      </c>
      <c r="D6" s="243">
        <v>2016</v>
      </c>
      <c r="E6" s="243">
        <v>2017</v>
      </c>
      <c r="F6" s="243">
        <v>2018</v>
      </c>
    </row>
    <row r="7" spans="1:15" s="245" customFormat="1" x14ac:dyDescent="0.2">
      <c r="A7" s="247" t="s">
        <v>44</v>
      </c>
      <c r="B7" s="248" t="s">
        <v>148</v>
      </c>
      <c r="C7" s="248" t="s">
        <v>1</v>
      </c>
      <c r="D7" s="248" t="s">
        <v>1</v>
      </c>
      <c r="E7" s="248" t="s">
        <v>1</v>
      </c>
      <c r="F7" s="248" t="s">
        <v>1</v>
      </c>
    </row>
    <row r="8" spans="1:15" s="245" customFormat="1" x14ac:dyDescent="0.2">
      <c r="A8" s="244"/>
      <c r="B8" s="244"/>
      <c r="C8" s="575"/>
      <c r="D8" s="575"/>
      <c r="E8" s="575"/>
      <c r="F8" s="575"/>
    </row>
    <row r="9" spans="1:15" s="245" customFormat="1" x14ac:dyDescent="0.2">
      <c r="A9" s="244" t="s">
        <v>53</v>
      </c>
      <c r="B9" s="252">
        <v>43899</v>
      </c>
      <c r="C9" s="252">
        <v>36905</v>
      </c>
      <c r="D9" s="252">
        <f>'SCG Table C 2016'!$C$37</f>
        <v>0</v>
      </c>
      <c r="E9" s="252">
        <f>'SCG Table C 2017'!$C$37</f>
        <v>0</v>
      </c>
      <c r="F9" s="252" t="e">
        <f>'SCG Table C 2019'!#REF!</f>
        <v>#REF!</v>
      </c>
    </row>
    <row r="10" spans="1:15" s="245" customFormat="1" x14ac:dyDescent="0.2">
      <c r="A10" s="244" t="s">
        <v>45</v>
      </c>
      <c r="B10" s="252">
        <v>0</v>
      </c>
      <c r="C10" s="252">
        <v>106428</v>
      </c>
      <c r="D10" s="252">
        <f>'SCG Table C 2016'!$E$37</f>
        <v>0</v>
      </c>
      <c r="E10" s="252">
        <f>'SCG Table C 2017'!$E$37</f>
        <v>0</v>
      </c>
      <c r="F10" s="252" t="e">
        <f>'SCG Table C 2019'!#REF!</f>
        <v>#REF!</v>
      </c>
    </row>
    <row r="11" spans="1:15" s="245" customFormat="1" x14ac:dyDescent="0.2">
      <c r="A11" s="244" t="s">
        <v>202</v>
      </c>
      <c r="B11" s="252">
        <v>0</v>
      </c>
      <c r="C11" s="252">
        <v>0</v>
      </c>
      <c r="D11" s="252">
        <f>'SCG Table C 2016'!$D$37</f>
        <v>0</v>
      </c>
      <c r="E11" s="252">
        <f>'SCG Table C 2017'!$D$37</f>
        <v>0</v>
      </c>
      <c r="F11" s="252" t="e">
        <f>'SCG Table C 2019'!#REF!</f>
        <v>#REF!</v>
      </c>
    </row>
    <row r="12" spans="1:15" s="245" customFormat="1" x14ac:dyDescent="0.2">
      <c r="A12" s="244" t="s">
        <v>2</v>
      </c>
      <c r="B12" s="252">
        <v>0</v>
      </c>
      <c r="C12" s="252">
        <v>0</v>
      </c>
      <c r="D12" s="252">
        <f>'SCG Table C 2016'!$F$37</f>
        <v>0</v>
      </c>
      <c r="E12" s="252">
        <f>'SCG Table C 2017'!$F$37</f>
        <v>0</v>
      </c>
      <c r="F12" s="252" t="e">
        <f>'SCG Table C 2019'!#REF!</f>
        <v>#REF!</v>
      </c>
    </row>
    <row r="13" spans="1:15" s="245" customFormat="1" x14ac:dyDescent="0.2">
      <c r="A13" s="244" t="s">
        <v>14</v>
      </c>
      <c r="B13" s="252">
        <v>0</v>
      </c>
      <c r="C13" s="252">
        <v>0</v>
      </c>
      <c r="D13" s="252">
        <f>'SCG Table C 2016'!$G$37</f>
        <v>0</v>
      </c>
      <c r="E13" s="252">
        <f>'SCG Table C 2017'!$G$37</f>
        <v>0</v>
      </c>
      <c r="F13" s="252" t="e">
        <f>'SCG Table C 2019'!#REF!</f>
        <v>#REF!</v>
      </c>
    </row>
    <row r="14" spans="1:15" s="245" customFormat="1" ht="15" x14ac:dyDescent="0.35">
      <c r="A14" s="244" t="s">
        <v>46</v>
      </c>
      <c r="B14" s="256">
        <v>3230</v>
      </c>
      <c r="C14" s="256">
        <v>0</v>
      </c>
      <c r="D14" s="256">
        <f>'SCG Table C 2016'!$H$37</f>
        <v>0</v>
      </c>
      <c r="E14" s="256">
        <f>'SCG Table C 2017'!$H$37</f>
        <v>0</v>
      </c>
      <c r="F14" s="256" t="e">
        <f>'SCG Table C 2019'!#REF!</f>
        <v>#REF!</v>
      </c>
    </row>
    <row r="15" spans="1:15" s="245" customFormat="1" x14ac:dyDescent="0.2">
      <c r="A15" s="244" t="s">
        <v>86</v>
      </c>
      <c r="B15" s="504">
        <f>SUM(B9:B14)</f>
        <v>47129</v>
      </c>
      <c r="C15" s="504">
        <f>SUM(C9:C14)</f>
        <v>143333</v>
      </c>
      <c r="D15" s="504">
        <f>SUM(D9:D14)</f>
        <v>0</v>
      </c>
      <c r="E15" s="504">
        <f>SUM(E9:E14)</f>
        <v>0</v>
      </c>
      <c r="F15" s="504" t="e">
        <f>SUM(F9:F14)</f>
        <v>#REF!</v>
      </c>
    </row>
    <row r="16" spans="1:15" s="245" customFormat="1" x14ac:dyDescent="0.2">
      <c r="A16" s="244"/>
      <c r="B16" s="244"/>
      <c r="C16" s="284"/>
      <c r="D16" s="284"/>
      <c r="E16" s="284"/>
      <c r="F16" s="284"/>
    </row>
    <row r="17" spans="1:6" s="245" customFormat="1" x14ac:dyDescent="0.2">
      <c r="A17" s="262"/>
      <c r="B17" s="262"/>
      <c r="C17" s="294"/>
      <c r="D17" s="294"/>
      <c r="E17" s="294"/>
      <c r="F17" s="294"/>
    </row>
  </sheetData>
  <mergeCells count="1">
    <mergeCell ref="A1:F1"/>
  </mergeCells>
  <pageMargins left="0.98" right="0.75" top="1.1499999999999999" bottom="1" header="0.5" footer="0.5"/>
  <pageSetup orientation="landscape" r:id="rId1"/>
  <headerFooter alignWithMargins="0">
    <oddFooter>&amp;C&amp;1#&amp;"Calibri"&amp;12&amp;K008000Internal Use</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44">
    <tabColor indexed="11"/>
  </sheetPr>
  <dimension ref="A1:T97"/>
  <sheetViews>
    <sheetView workbookViewId="0">
      <pane xSplit="1" ySplit="7" topLeftCell="H8" activePane="bottomRight" state="frozen"/>
      <selection activeCell="J67" sqref="J67"/>
      <selection pane="topRight" activeCell="J67" sqref="J67"/>
      <selection pane="bottomLeft" activeCell="J67" sqref="J67"/>
      <selection pane="bottomRight" activeCell="J67" sqref="J67"/>
    </sheetView>
  </sheetViews>
  <sheetFormatPr defaultRowHeight="12.75" x14ac:dyDescent="0.2"/>
  <cols>
    <col min="1" max="1" width="43.28515625" style="1635" customWidth="1"/>
    <col min="2" max="2" width="13.5703125" style="1697" customWidth="1"/>
    <col min="3" max="3" width="12.85546875" style="1635" bestFit="1" customWidth="1"/>
    <col min="4" max="4" width="9.7109375" style="1635" customWidth="1"/>
    <col min="5" max="5" width="11.28515625" style="1635" bestFit="1" customWidth="1"/>
    <col min="6" max="6" width="11.28515625" style="1188" customWidth="1"/>
    <col min="7" max="7" width="13.85546875" style="1188" customWidth="1"/>
    <col min="8" max="8" width="14" style="1635" bestFit="1" customWidth="1"/>
    <col min="9" max="10" width="13.42578125" style="1188" customWidth="1"/>
    <col min="11" max="13" width="14" style="1635" bestFit="1" customWidth="1"/>
    <col min="14" max="14" width="5.140625" style="1698" customWidth="1"/>
    <col min="15" max="15" width="21.5703125" style="1635" customWidth="1"/>
    <col min="16" max="16384" width="9.140625" style="1635"/>
  </cols>
  <sheetData>
    <row r="1" spans="1:19" ht="12" x14ac:dyDescent="0.2">
      <c r="A1" s="2975" t="s">
        <v>48</v>
      </c>
      <c r="B1" s="2975"/>
      <c r="C1" s="2975"/>
      <c r="D1" s="2975"/>
      <c r="E1" s="2975"/>
      <c r="F1" s="2975"/>
      <c r="G1" s="2975"/>
      <c r="H1" s="2975"/>
      <c r="I1" s="2975"/>
      <c r="J1" s="2975"/>
      <c r="K1" s="2975"/>
      <c r="L1" s="2975"/>
      <c r="M1" s="2975"/>
      <c r="N1" s="2975"/>
    </row>
    <row r="2" spans="1:19" ht="12" x14ac:dyDescent="0.2">
      <c r="A2" s="1636"/>
      <c r="B2" s="1637"/>
      <c r="C2" s="1638"/>
      <c r="D2" s="1638"/>
      <c r="E2" s="1638"/>
      <c r="F2" s="1638"/>
      <c r="G2" s="1638"/>
      <c r="H2" s="1638"/>
      <c r="I2" s="1638"/>
      <c r="J2" s="1638"/>
      <c r="K2" s="1638"/>
      <c r="L2" s="1638"/>
      <c r="M2" s="1638"/>
      <c r="N2" s="1639"/>
    </row>
    <row r="3" spans="1:19" ht="12" x14ac:dyDescent="0.2">
      <c r="A3" s="1640" t="s">
        <v>303</v>
      </c>
      <c r="B3" s="1637"/>
      <c r="C3" s="1638"/>
      <c r="D3" s="1638"/>
      <c r="E3" s="1638"/>
      <c r="F3" s="1638"/>
      <c r="G3" s="1641"/>
      <c r="H3" s="1638"/>
      <c r="I3" s="1638"/>
      <c r="J3" s="1638"/>
      <c r="K3" s="1638"/>
      <c r="L3" s="1638"/>
      <c r="M3" s="1638"/>
      <c r="N3" s="1639"/>
    </row>
    <row r="4" spans="1:19" ht="12" x14ac:dyDescent="0.2">
      <c r="A4" s="1636"/>
      <c r="B4" s="1637"/>
      <c r="C4" s="1638"/>
      <c r="D4" s="1638"/>
      <c r="E4" s="1638"/>
      <c r="F4" s="1638"/>
      <c r="G4" s="1638"/>
      <c r="H4" s="1638"/>
      <c r="I4" s="1638"/>
      <c r="J4" s="1638"/>
      <c r="K4" s="1638"/>
      <c r="L4" s="1638"/>
      <c r="M4" s="1638"/>
      <c r="N4" s="1639"/>
    </row>
    <row r="5" spans="1:19" ht="12" x14ac:dyDescent="0.2">
      <c r="A5" s="1642"/>
      <c r="B5" s="1637"/>
      <c r="C5" s="1638"/>
      <c r="D5" s="1638"/>
      <c r="E5" s="1638"/>
      <c r="F5" s="1643"/>
      <c r="G5" s="1643"/>
      <c r="H5" s="1638"/>
      <c r="I5" s="1643"/>
      <c r="J5" s="1643"/>
      <c r="K5" s="1638"/>
      <c r="L5" s="1638"/>
      <c r="M5" s="1638"/>
      <c r="N5" s="1639"/>
    </row>
    <row r="6" spans="1:19" s="1644" customFormat="1" x14ac:dyDescent="0.2">
      <c r="A6" s="1642"/>
      <c r="B6" s="1634">
        <v>2006</v>
      </c>
      <c r="C6" s="1634">
        <v>2007</v>
      </c>
      <c r="D6" s="1634">
        <v>2008</v>
      </c>
      <c r="E6" s="1634">
        <v>2009</v>
      </c>
      <c r="F6" s="1634">
        <v>2010</v>
      </c>
      <c r="G6" s="1634">
        <v>2011</v>
      </c>
      <c r="H6" s="1634">
        <v>2012</v>
      </c>
      <c r="I6" s="1634">
        <v>2012</v>
      </c>
      <c r="J6" s="1634">
        <v>2012</v>
      </c>
      <c r="K6" s="1634">
        <v>2013</v>
      </c>
      <c r="L6" s="1634">
        <v>2014</v>
      </c>
      <c r="M6" s="1634">
        <v>2015</v>
      </c>
      <c r="N6" s="1639"/>
    </row>
    <row r="7" spans="1:19" s="1644" customFormat="1" x14ac:dyDescent="0.2">
      <c r="A7" s="1640" t="s">
        <v>44</v>
      </c>
      <c r="B7" s="1645" t="s">
        <v>148</v>
      </c>
      <c r="C7" s="1645" t="s">
        <v>148</v>
      </c>
      <c r="D7" s="1645" t="s">
        <v>148</v>
      </c>
      <c r="E7" s="1645" t="s">
        <v>148</v>
      </c>
      <c r="F7" s="1645" t="s">
        <v>148</v>
      </c>
      <c r="G7" s="1645" t="s">
        <v>148</v>
      </c>
      <c r="H7" s="1645" t="s">
        <v>1</v>
      </c>
      <c r="I7" s="1645" t="s">
        <v>442</v>
      </c>
      <c r="J7" s="1645" t="s">
        <v>212</v>
      </c>
      <c r="K7" s="1645" t="s">
        <v>1</v>
      </c>
      <c r="L7" s="1645" t="s">
        <v>1</v>
      </c>
      <c r="M7" s="1645" t="s">
        <v>1</v>
      </c>
      <c r="N7" s="1639"/>
    </row>
    <row r="8" spans="1:19" s="1644" customFormat="1" x14ac:dyDescent="0.2">
      <c r="A8" s="1637"/>
      <c r="B8" s="1638"/>
      <c r="C8" s="1638"/>
      <c r="D8" s="1638"/>
      <c r="E8" s="1638"/>
      <c r="F8" s="1638"/>
      <c r="G8" s="1638"/>
      <c r="H8" s="1638"/>
      <c r="I8" s="1638"/>
      <c r="J8" s="1638"/>
      <c r="K8" s="1638"/>
      <c r="L8" s="1638"/>
      <c r="M8" s="1638"/>
      <c r="N8" s="1639"/>
    </row>
    <row r="9" spans="1:19" s="1644" customFormat="1" x14ac:dyDescent="0.2">
      <c r="A9" s="1637" t="s">
        <v>53</v>
      </c>
      <c r="B9" s="1646">
        <v>39223</v>
      </c>
      <c r="C9" s="1646">
        <v>70812</v>
      </c>
      <c r="D9" s="1646">
        <v>74616</v>
      </c>
      <c r="E9" s="1646">
        <v>85041</v>
      </c>
      <c r="F9" s="1646">
        <v>107390.08</v>
      </c>
      <c r="G9" s="1646">
        <v>171855.92</v>
      </c>
      <c r="H9" s="1646">
        <v>175500</v>
      </c>
      <c r="I9" s="1646">
        <v>91197.11</v>
      </c>
      <c r="J9" s="1646">
        <v>156337.90285714285</v>
      </c>
      <c r="K9" s="1646">
        <v>242900</v>
      </c>
      <c r="L9" s="1646">
        <v>254550</v>
      </c>
      <c r="M9" s="1646">
        <v>266200</v>
      </c>
      <c r="N9" s="1639"/>
    </row>
    <row r="10" spans="1:19" s="1644" customFormat="1" x14ac:dyDescent="0.2">
      <c r="A10" s="1637" t="s">
        <v>4</v>
      </c>
      <c r="B10" s="1646">
        <v>28379</v>
      </c>
      <c r="C10" s="1646">
        <v>32610</v>
      </c>
      <c r="D10" s="1646">
        <v>72802</v>
      </c>
      <c r="E10" s="1646">
        <v>36830</v>
      </c>
      <c r="F10" s="1646">
        <v>45922.04</v>
      </c>
      <c r="G10" s="1647">
        <v>128535.93</v>
      </c>
      <c r="H10" s="1648">
        <v>180000</v>
      </c>
      <c r="I10" s="1646">
        <v>33360.69999999999</v>
      </c>
      <c r="J10" s="1646">
        <v>46925</v>
      </c>
      <c r="K10" s="1646">
        <v>75396</v>
      </c>
      <c r="L10" s="1646">
        <v>70674</v>
      </c>
      <c r="M10" s="1646">
        <v>71756.704220862404</v>
      </c>
      <c r="N10" s="1639"/>
    </row>
    <row r="11" spans="1:19" s="1644" customFormat="1" x14ac:dyDescent="0.2">
      <c r="A11" s="1637" t="s">
        <v>19</v>
      </c>
      <c r="B11" s="1646">
        <v>261</v>
      </c>
      <c r="C11" s="1646">
        <v>0</v>
      </c>
      <c r="D11" s="1646">
        <v>331</v>
      </c>
      <c r="E11" s="1646">
        <v>607</v>
      </c>
      <c r="F11" s="1646">
        <v>677.81</v>
      </c>
      <c r="G11" s="1649">
        <v>76.819999999999993</v>
      </c>
      <c r="H11" s="1646">
        <v>3500</v>
      </c>
      <c r="I11" s="1646">
        <v>0</v>
      </c>
      <c r="J11" s="1646">
        <v>0</v>
      </c>
      <c r="K11" s="1646">
        <v>1590</v>
      </c>
      <c r="L11" s="1646">
        <v>1650.7640788816107</v>
      </c>
      <c r="M11" s="1646">
        <v>1711.9034892105592</v>
      </c>
      <c r="N11" s="1639"/>
    </row>
    <row r="12" spans="1:19" s="1644" customFormat="1" ht="13.5" x14ac:dyDescent="0.2">
      <c r="A12" s="1637" t="s">
        <v>2</v>
      </c>
      <c r="B12" s="1646">
        <v>334759</v>
      </c>
      <c r="C12" s="1646">
        <v>343427</v>
      </c>
      <c r="D12" s="1646">
        <v>560711</v>
      </c>
      <c r="E12" s="1646">
        <v>818189</v>
      </c>
      <c r="F12" s="1646">
        <v>887830.08999999927</v>
      </c>
      <c r="G12" s="1646">
        <v>1553261.6</v>
      </c>
      <c r="H12" s="1646">
        <v>1835000</v>
      </c>
      <c r="I12" s="1646">
        <v>1018983.7599999993</v>
      </c>
      <c r="J12" s="1646">
        <f>3106962-SUM(J9,J10,J11,J13,J14)</f>
        <v>2837611.097142857</v>
      </c>
      <c r="K12" s="1646">
        <v>2057224</v>
      </c>
      <c r="L12" s="1646">
        <v>2159424.9981344002</v>
      </c>
      <c r="M12" s="1646">
        <v>2261625.9239912299</v>
      </c>
      <c r="N12" s="1639" t="s">
        <v>443</v>
      </c>
    </row>
    <row r="13" spans="1:19" s="1644" customFormat="1" ht="13.5" x14ac:dyDescent="0.2">
      <c r="A13" s="1637" t="s">
        <v>14</v>
      </c>
      <c r="B13" s="1646">
        <v>1284</v>
      </c>
      <c r="C13" s="1646">
        <v>26453</v>
      </c>
      <c r="D13" s="1646">
        <v>2944</v>
      </c>
      <c r="E13" s="1646">
        <v>7403</v>
      </c>
      <c r="F13" s="1646">
        <v>8984.9699999999993</v>
      </c>
      <c r="G13" s="1647">
        <v>37460.480000000003</v>
      </c>
      <c r="H13" s="1646">
        <v>20000</v>
      </c>
      <c r="I13" s="1646">
        <v>47124.03</v>
      </c>
      <c r="J13" s="1646">
        <v>64746</v>
      </c>
      <c r="K13" s="1646">
        <v>43900</v>
      </c>
      <c r="L13" s="1646">
        <v>50903.170405949997</v>
      </c>
      <c r="M13" s="1646">
        <v>52100.695235799903</v>
      </c>
      <c r="N13" s="1639" t="s">
        <v>444</v>
      </c>
    </row>
    <row r="14" spans="1:19" s="1644" customFormat="1" ht="15" x14ac:dyDescent="0.35">
      <c r="A14" s="1637" t="s">
        <v>46</v>
      </c>
      <c r="B14" s="1650">
        <v>543</v>
      </c>
      <c r="C14" s="1650">
        <v>196</v>
      </c>
      <c r="D14" s="1650">
        <v>1398</v>
      </c>
      <c r="E14" s="1650">
        <v>3672</v>
      </c>
      <c r="F14" s="1650">
        <v>4147.42</v>
      </c>
      <c r="G14" s="1651">
        <v>3069.91</v>
      </c>
      <c r="H14" s="1650">
        <v>2500</v>
      </c>
      <c r="I14" s="1652">
        <v>1006.78</v>
      </c>
      <c r="J14" s="1650">
        <v>1342</v>
      </c>
      <c r="K14" s="1650">
        <v>7990</v>
      </c>
      <c r="L14" s="1650">
        <v>8297.4597392204269</v>
      </c>
      <c r="M14" s="1650">
        <v>8605</v>
      </c>
      <c r="N14" s="1639"/>
    </row>
    <row r="15" spans="1:19" s="1644" customFormat="1" x14ac:dyDescent="0.2">
      <c r="A15" s="1637" t="s">
        <v>47</v>
      </c>
      <c r="B15" s="1646">
        <f t="shared" ref="B15:G15" si="0">SUM(B9:B14)</f>
        <v>404449</v>
      </c>
      <c r="C15" s="1648">
        <f t="shared" si="0"/>
        <v>473498</v>
      </c>
      <c r="D15" s="1646">
        <f t="shared" si="0"/>
        <v>712802</v>
      </c>
      <c r="E15" s="1646">
        <f t="shared" si="0"/>
        <v>951742</v>
      </c>
      <c r="F15" s="1646">
        <f t="shared" si="0"/>
        <v>1054952.4099999992</v>
      </c>
      <c r="G15" s="1646">
        <f t="shared" si="0"/>
        <v>1894260.66</v>
      </c>
      <c r="H15" s="1646">
        <f t="shared" ref="H15:M15" si="1">SUM(H9:H14)</f>
        <v>2216500</v>
      </c>
      <c r="I15" s="1646">
        <f t="shared" si="1"/>
        <v>1191672.3799999994</v>
      </c>
      <c r="J15" s="1646">
        <f t="shared" si="1"/>
        <v>3106962</v>
      </c>
      <c r="K15" s="1646">
        <f t="shared" si="1"/>
        <v>2429000</v>
      </c>
      <c r="L15" s="1646">
        <f t="shared" si="1"/>
        <v>2545500.3923584521</v>
      </c>
      <c r="M15" s="1646">
        <f t="shared" si="1"/>
        <v>2662000.2269371031</v>
      </c>
      <c r="N15" s="1639" t="s">
        <v>201</v>
      </c>
    </row>
    <row r="16" spans="1:19" s="1644" customFormat="1" x14ac:dyDescent="0.2">
      <c r="A16" s="1637"/>
      <c r="B16" s="1653"/>
      <c r="C16" s="1653"/>
      <c r="D16" s="1654"/>
      <c r="E16" s="1655"/>
      <c r="F16" s="1643"/>
      <c r="G16" s="1647"/>
      <c r="H16" s="1638"/>
      <c r="I16" s="1643"/>
      <c r="J16" s="1643"/>
      <c r="K16" s="1638"/>
      <c r="L16" s="1638"/>
      <c r="M16" s="1638"/>
      <c r="N16" s="1639"/>
      <c r="P16" s="1286"/>
      <c r="Q16" s="1286"/>
      <c r="R16" s="1286"/>
      <c r="S16" s="1286"/>
    </row>
    <row r="17" spans="1:20" s="1644" customFormat="1" x14ac:dyDescent="0.2">
      <c r="A17" s="1637"/>
      <c r="B17" s="1653"/>
      <c r="C17" s="1653"/>
      <c r="D17" s="1653"/>
      <c r="E17" s="1656"/>
      <c r="F17" s="1638"/>
      <c r="G17" s="1638"/>
      <c r="H17" s="1656"/>
      <c r="I17" s="1638"/>
      <c r="J17" s="1638"/>
      <c r="K17" s="1656"/>
      <c r="L17" s="1656"/>
      <c r="M17" s="1656"/>
      <c r="N17" s="1639"/>
      <c r="O17" s="1657"/>
      <c r="P17" s="1286"/>
      <c r="Q17" s="1286"/>
      <c r="R17" s="1286"/>
      <c r="S17" s="1286"/>
    </row>
    <row r="18" spans="1:20" s="1644" customFormat="1" ht="24" x14ac:dyDescent="0.2">
      <c r="A18" s="1640" t="s">
        <v>83</v>
      </c>
      <c r="B18" s="1658" t="s">
        <v>192</v>
      </c>
      <c r="C18" s="1658" t="s">
        <v>176</v>
      </c>
      <c r="D18" s="1658" t="s">
        <v>208</v>
      </c>
      <c r="E18" s="1658" t="s">
        <v>218</v>
      </c>
      <c r="F18" s="1658" t="s">
        <v>257</v>
      </c>
      <c r="G18" s="1658" t="s">
        <v>321</v>
      </c>
      <c r="H18" s="1658" t="s">
        <v>445</v>
      </c>
      <c r="I18" s="1658" t="s">
        <v>317</v>
      </c>
      <c r="J18" s="1658" t="s">
        <v>446</v>
      </c>
      <c r="K18" s="1658" t="s">
        <v>447</v>
      </c>
      <c r="L18" s="1658" t="s">
        <v>448</v>
      </c>
      <c r="M18" s="1658" t="s">
        <v>449</v>
      </c>
      <c r="N18" s="1639"/>
      <c r="P18" s="1286"/>
      <c r="Q18" s="1229"/>
      <c r="R18" s="1286"/>
      <c r="S18" s="1286"/>
    </row>
    <row r="19" spans="1:20" s="1644" customFormat="1" x14ac:dyDescent="0.2">
      <c r="A19" s="1638"/>
      <c r="B19" s="1659"/>
      <c r="C19" s="1638"/>
      <c r="D19" s="1638"/>
      <c r="E19" s="1638"/>
      <c r="F19" s="1638"/>
      <c r="G19" s="1639"/>
      <c r="H19" s="1638"/>
      <c r="I19" s="1660"/>
      <c r="J19" s="1634"/>
      <c r="K19" s="1638"/>
      <c r="L19" s="1638"/>
      <c r="M19" s="1638"/>
      <c r="N19" s="1639"/>
      <c r="P19" s="1286"/>
      <c r="Q19" s="1229"/>
      <c r="R19" s="1286"/>
      <c r="S19" s="1286"/>
    </row>
    <row r="20" spans="1:20" s="1644" customFormat="1" x14ac:dyDescent="0.2">
      <c r="A20" s="1638" t="s">
        <v>49</v>
      </c>
      <c r="B20" s="1661">
        <v>45734</v>
      </c>
      <c r="C20" s="1662">
        <v>101407</v>
      </c>
      <c r="D20" s="1662">
        <v>94054</v>
      </c>
      <c r="E20" s="1663">
        <v>195280</v>
      </c>
      <c r="F20" s="1663">
        <v>194946</v>
      </c>
      <c r="G20" s="1662">
        <v>359607</v>
      </c>
      <c r="H20" s="1664">
        <v>315965</v>
      </c>
      <c r="I20" s="1664">
        <v>144493</v>
      </c>
      <c r="J20" s="1665">
        <f>I20/I15*J15</f>
        <v>376726.24439445365</v>
      </c>
      <c r="K20" s="1664">
        <v>511007.71796961169</v>
      </c>
      <c r="L20" s="1664">
        <v>549292.98202343134</v>
      </c>
      <c r="M20" s="1664">
        <v>560916.84590846358</v>
      </c>
      <c r="N20" s="1639" t="s">
        <v>64</v>
      </c>
      <c r="P20" s="1286"/>
      <c r="Q20" s="1229"/>
      <c r="R20" s="1286"/>
      <c r="S20" s="1286"/>
    </row>
    <row r="21" spans="1:20" s="1644" customFormat="1" x14ac:dyDescent="0.2">
      <c r="A21" s="1638" t="s">
        <v>50</v>
      </c>
      <c r="B21" s="1661">
        <v>941555</v>
      </c>
      <c r="C21" s="1662">
        <v>1396219</v>
      </c>
      <c r="D21" s="1662">
        <v>1617301</v>
      </c>
      <c r="E21" s="1663">
        <v>3534308</v>
      </c>
      <c r="F21" s="1663">
        <v>2616614</v>
      </c>
      <c r="G21" s="1662">
        <v>6081081</v>
      </c>
      <c r="H21" s="1664">
        <v>5920875</v>
      </c>
      <c r="I21" s="1664">
        <v>2962795</v>
      </c>
      <c r="J21" s="1665">
        <f>I21/I15*J15</f>
        <v>7724683.0867977357</v>
      </c>
      <c r="K21" s="1664">
        <v>10221175.610011879</v>
      </c>
      <c r="L21" s="1664">
        <v>10986957.404315496</v>
      </c>
      <c r="M21" s="1664">
        <v>11219457.912346676</v>
      </c>
      <c r="N21" s="1639" t="s">
        <v>10</v>
      </c>
      <c r="P21" s="1286"/>
      <c r="Q21" s="1286"/>
      <c r="R21" s="1286"/>
      <c r="S21" s="1286"/>
    </row>
    <row r="22" spans="1:20" s="1644" customFormat="1" x14ac:dyDescent="0.2">
      <c r="A22" s="1638"/>
      <c r="B22" s="1659"/>
      <c r="C22" s="1666" t="s">
        <v>3</v>
      </c>
      <c r="D22" s="1638"/>
      <c r="E22" s="1638"/>
      <c r="F22" s="1638"/>
      <c r="G22" s="1662"/>
      <c r="H22" s="1638"/>
      <c r="I22" s="1667"/>
      <c r="J22" s="1667"/>
      <c r="K22" s="1638"/>
      <c r="L22" s="1638"/>
      <c r="M22" s="1638"/>
      <c r="N22" s="1639"/>
      <c r="P22" s="1286"/>
      <c r="Q22" s="1286"/>
      <c r="R22" s="1286"/>
      <c r="S22" s="1286"/>
    </row>
    <row r="23" spans="1:20" s="1644" customFormat="1" x14ac:dyDescent="0.2">
      <c r="A23" s="1638" t="s">
        <v>51</v>
      </c>
      <c r="B23" s="1668">
        <f t="shared" ref="B23:G23" si="2">SUM(B15/B20)</f>
        <v>8.8435081121266457</v>
      </c>
      <c r="C23" s="1668">
        <f t="shared" si="2"/>
        <v>4.6692831855789052</v>
      </c>
      <c r="D23" s="1668">
        <f t="shared" si="2"/>
        <v>7.5786463095668442</v>
      </c>
      <c r="E23" s="1668">
        <f t="shared" si="2"/>
        <v>4.8737300286767722</v>
      </c>
      <c r="F23" s="1668">
        <f t="shared" si="2"/>
        <v>5.4115109312322343</v>
      </c>
      <c r="G23" s="1668">
        <f t="shared" si="2"/>
        <v>5.2675856142956059</v>
      </c>
      <c r="H23" s="1669">
        <v>7.6810989683006428</v>
      </c>
      <c r="I23" s="1670">
        <f>SUM(I15/I20)</f>
        <v>8.2472672032555163</v>
      </c>
      <c r="J23" s="1670">
        <f>SUM(J15/J20)</f>
        <v>8.2472672032555163</v>
      </c>
      <c r="K23" s="1668">
        <f>SUM(K15/K20)</f>
        <v>4.7533528645147518</v>
      </c>
      <c r="L23" s="1668">
        <f>SUM(L15/L20)</f>
        <v>4.6341396589149726</v>
      </c>
      <c r="M23" s="1668">
        <f>SUM(M15/M20)</f>
        <v>4.745801889094122</v>
      </c>
      <c r="N23" s="1639" t="s">
        <v>65</v>
      </c>
      <c r="P23" s="1286"/>
      <c r="Q23" s="1286"/>
      <c r="R23" s="1286"/>
      <c r="S23" s="1286"/>
    </row>
    <row r="24" spans="1:20" s="1644" customFormat="1" x14ac:dyDescent="0.2">
      <c r="A24" s="1638" t="s">
        <v>52</v>
      </c>
      <c r="B24" s="1668">
        <f t="shared" ref="B24:G24" si="3">SUM(B15/B21)</f>
        <v>0.42955430112951448</v>
      </c>
      <c r="C24" s="1668">
        <f t="shared" si="3"/>
        <v>0.33912874699456175</v>
      </c>
      <c r="D24" s="1668">
        <f t="shared" si="3"/>
        <v>0.4407355217117902</v>
      </c>
      <c r="E24" s="1668">
        <f t="shared" si="3"/>
        <v>0.26928666092485432</v>
      </c>
      <c r="F24" s="1668">
        <f t="shared" si="3"/>
        <v>0.40317464096729561</v>
      </c>
      <c r="G24" s="1668">
        <f t="shared" si="3"/>
        <v>0.3115006460200086</v>
      </c>
      <c r="H24" s="1669">
        <v>0.40989913931916794</v>
      </c>
      <c r="I24" s="1670">
        <f>SUM(I15/I21)</f>
        <v>0.40221222865571171</v>
      </c>
      <c r="J24" s="1670">
        <f>SUM(J15/J21)</f>
        <v>0.40221222865571171</v>
      </c>
      <c r="K24" s="1668">
        <f>SUM(K15/K21)</f>
        <v>0.23764389661994828</v>
      </c>
      <c r="L24" s="1668">
        <f>SUM(L15/L21)</f>
        <v>0.23168383190041508</v>
      </c>
      <c r="M24" s="1668">
        <f>SUM(M15/M21)</f>
        <v>0.23726638557177099</v>
      </c>
      <c r="N24" s="1639" t="s">
        <v>66</v>
      </c>
    </row>
    <row r="25" spans="1:20" s="1644" customFormat="1" x14ac:dyDescent="0.2">
      <c r="A25" s="1638"/>
      <c r="B25" s="1659"/>
      <c r="C25" s="1666"/>
      <c r="D25" s="1638"/>
      <c r="E25" s="1638"/>
      <c r="F25" s="1638"/>
      <c r="G25" s="1662"/>
      <c r="H25" s="1638"/>
      <c r="I25" s="1667"/>
      <c r="J25" s="1667"/>
      <c r="K25" s="1638"/>
      <c r="L25" s="1638"/>
      <c r="M25" s="1638"/>
      <c r="N25" s="1639"/>
    </row>
    <row r="26" spans="1:20" s="1644" customFormat="1" x14ac:dyDescent="0.2">
      <c r="A26" s="1638" t="s">
        <v>84</v>
      </c>
      <c r="B26" s="1649">
        <v>664294</v>
      </c>
      <c r="C26" s="1648">
        <f>835829/1396219*1396219</f>
        <v>835829.00000000012</v>
      </c>
      <c r="D26" s="1648">
        <v>987487</v>
      </c>
      <c r="E26" s="1648">
        <v>3423552.6165663255</v>
      </c>
      <c r="F26" s="1648">
        <v>2924501.301807431</v>
      </c>
      <c r="G26" s="1646">
        <f>2169027/G21*G21</f>
        <v>2169027</v>
      </c>
      <c r="H26" s="1649">
        <v>2996924</v>
      </c>
      <c r="I26" s="1671">
        <f>H26/H21*I21</f>
        <v>1499655.2777385099</v>
      </c>
      <c r="J26" s="1671">
        <f>H26/H21*J21</f>
        <v>3909943.7389268</v>
      </c>
      <c r="K26" s="1664">
        <v>5422765.8369812034</v>
      </c>
      <c r="L26" s="1664">
        <v>6057182.8974144543</v>
      </c>
      <c r="M26" s="1664">
        <v>6410043.3024173072</v>
      </c>
      <c r="N26" s="1639" t="s">
        <v>67</v>
      </c>
    </row>
    <row r="27" spans="1:20" s="1644" customFormat="1" x14ac:dyDescent="0.2">
      <c r="A27" s="1638" t="s">
        <v>85</v>
      </c>
      <c r="B27" s="1672">
        <f t="shared" ref="B27:G27" si="4">SUM(B26/B15)</f>
        <v>1.6424666645238337</v>
      </c>
      <c r="C27" s="1672">
        <f t="shared" si="4"/>
        <v>1.7652218171988057</v>
      </c>
      <c r="D27" s="1672">
        <f t="shared" si="4"/>
        <v>1.3853594686883595</v>
      </c>
      <c r="E27" s="1672">
        <f t="shared" si="4"/>
        <v>3.5971435710164368</v>
      </c>
      <c r="F27" s="1672">
        <f t="shared" si="4"/>
        <v>2.7721641982005929</v>
      </c>
      <c r="G27" s="1672">
        <f t="shared" si="4"/>
        <v>1.1450520225658913</v>
      </c>
      <c r="H27" s="1672">
        <v>1.2348460401342511</v>
      </c>
      <c r="I27" s="1673">
        <f>SUM(I26/I15)</f>
        <v>1.2584459478187375</v>
      </c>
      <c r="J27" s="1673">
        <f>SUM(J26/J15)</f>
        <v>1.2584459478187373</v>
      </c>
      <c r="K27" s="1672">
        <f>SUM(K26/K15)</f>
        <v>2.2325096076497339</v>
      </c>
      <c r="L27" s="1672">
        <f>SUM(L26/L15)</f>
        <v>2.3795647078264111</v>
      </c>
      <c r="M27" s="1672">
        <f>SUM(M26/M15)</f>
        <v>2.4079799984813306</v>
      </c>
      <c r="N27" s="1639" t="s">
        <v>68</v>
      </c>
      <c r="O27" s="1229"/>
      <c r="P27" s="1674"/>
      <c r="Q27" s="1675"/>
      <c r="R27" s="1675"/>
      <c r="S27" s="1675"/>
      <c r="T27" s="1286"/>
    </row>
    <row r="28" spans="1:20" s="1644" customFormat="1" x14ac:dyDescent="0.2">
      <c r="A28" s="1638" t="s">
        <v>63</v>
      </c>
      <c r="B28" s="1637">
        <v>574</v>
      </c>
      <c r="C28" s="1663">
        <v>1238</v>
      </c>
      <c r="D28" s="1663">
        <v>1350</v>
      </c>
      <c r="E28" s="1663">
        <v>1932</v>
      </c>
      <c r="F28" s="1663">
        <v>2497</v>
      </c>
      <c r="G28" s="1662">
        <v>2347</v>
      </c>
      <c r="H28" s="1676">
        <v>3270</v>
      </c>
      <c r="I28" s="1677">
        <v>733</v>
      </c>
      <c r="J28" s="1665">
        <f>I28/I15*J15</f>
        <v>1911.0983725241674</v>
      </c>
      <c r="K28" s="1676">
        <v>3348.2315506497071</v>
      </c>
      <c r="L28" s="1676">
        <v>3599.0847658208663</v>
      </c>
      <c r="M28" s="1676">
        <v>3675.2468010147008</v>
      </c>
      <c r="N28" s="1639" t="s">
        <v>69</v>
      </c>
      <c r="O28" s="1229"/>
      <c r="P28" s="1674"/>
      <c r="Q28" s="1678"/>
      <c r="R28" s="1678"/>
      <c r="S28" s="1678"/>
      <c r="T28" s="1286"/>
    </row>
    <row r="29" spans="1:20" s="1644" customFormat="1" x14ac:dyDescent="0.2">
      <c r="A29" s="1638" t="s">
        <v>74</v>
      </c>
      <c r="B29" s="1662">
        <f t="shared" ref="B29:G29" si="5">SUM(B21/B28)</f>
        <v>1640.3397212543555</v>
      </c>
      <c r="C29" s="1662">
        <f t="shared" si="5"/>
        <v>1127.8021001615509</v>
      </c>
      <c r="D29" s="1662">
        <f t="shared" si="5"/>
        <v>1198.0007407407406</v>
      </c>
      <c r="E29" s="1662">
        <f t="shared" si="5"/>
        <v>1829.351966873706</v>
      </c>
      <c r="F29" s="1662">
        <f t="shared" si="5"/>
        <v>1047.9030837004404</v>
      </c>
      <c r="G29" s="1662">
        <f t="shared" si="5"/>
        <v>2591.0017043033658</v>
      </c>
      <c r="H29" s="1679">
        <v>1810.6860037754559</v>
      </c>
      <c r="I29" s="1677">
        <f>SUM(I21/I28)</f>
        <v>4042.012278308322</v>
      </c>
      <c r="J29" s="1677">
        <f>SUM(J21/J28)</f>
        <v>4042.0122783083216</v>
      </c>
      <c r="K29" s="1679">
        <f>SUM(K21/K28)</f>
        <v>3052.7087076843636</v>
      </c>
      <c r="L29" s="1679">
        <f>SUM(L21/L28)</f>
        <v>3052.7087076843632</v>
      </c>
      <c r="M29" s="1679">
        <f>SUM(M21/M28)</f>
        <v>3052.7087076843627</v>
      </c>
      <c r="N29" s="1639" t="s">
        <v>70</v>
      </c>
      <c r="O29" s="1229"/>
      <c r="P29" s="1674"/>
      <c r="Q29" s="1678"/>
      <c r="R29" s="1678"/>
      <c r="S29" s="1678"/>
      <c r="T29" s="1286"/>
    </row>
    <row r="30" spans="1:20" s="1644" customFormat="1" x14ac:dyDescent="0.2">
      <c r="A30" s="1638" t="s">
        <v>71</v>
      </c>
      <c r="B30" s="1648">
        <f t="shared" ref="B30:G30" si="6">SUM(B15/B28)</f>
        <v>704.61498257839719</v>
      </c>
      <c r="C30" s="1648">
        <f t="shared" si="6"/>
        <v>382.47011308562196</v>
      </c>
      <c r="D30" s="1648">
        <f t="shared" si="6"/>
        <v>528.00148148148151</v>
      </c>
      <c r="E30" s="1648">
        <f t="shared" si="6"/>
        <v>492.62008281573497</v>
      </c>
      <c r="F30" s="1648">
        <f t="shared" si="6"/>
        <v>422.48794953944702</v>
      </c>
      <c r="G30" s="1648">
        <f t="shared" si="6"/>
        <v>807.09870472944181</v>
      </c>
      <c r="H30" s="1648">
        <v>742.19863452482298</v>
      </c>
      <c r="I30" s="1680">
        <f>SUM(I15/I28)</f>
        <v>1625.7467667121412</v>
      </c>
      <c r="J30" s="1681">
        <f>SUM(J15/J28)</f>
        <v>1625.7467667121409</v>
      </c>
      <c r="K30" s="1648">
        <f>SUM(K15/K28)</f>
        <v>725.45759253975882</v>
      </c>
      <c r="L30" s="1648">
        <f>SUM(L15/L28)</f>
        <v>707.26325107207731</v>
      </c>
      <c r="M30" s="1648">
        <f>SUM(M15/M28)</f>
        <v>724.30516127574072</v>
      </c>
      <c r="N30" s="1639" t="s">
        <v>72</v>
      </c>
      <c r="O30" s="1229"/>
      <c r="P30" s="1674"/>
      <c r="Q30" s="1682"/>
      <c r="R30" s="1682"/>
      <c r="S30" s="1682"/>
      <c r="T30" s="1286"/>
    </row>
    <row r="31" spans="1:20" s="1644" customFormat="1" x14ac:dyDescent="0.2">
      <c r="A31" s="1638" t="s">
        <v>62</v>
      </c>
      <c r="B31" s="1648">
        <f t="shared" ref="B31:G31" si="7">SUM(B26/B28)</f>
        <v>1157.3066202090592</v>
      </c>
      <c r="C31" s="1648">
        <f t="shared" si="7"/>
        <v>675.14458804523429</v>
      </c>
      <c r="D31" s="1648">
        <f t="shared" si="7"/>
        <v>731.47185185185185</v>
      </c>
      <c r="E31" s="1648">
        <f t="shared" si="7"/>
        <v>1772.0251638542059</v>
      </c>
      <c r="F31" s="1648">
        <f t="shared" si="7"/>
        <v>1171.2059678844337</v>
      </c>
      <c r="G31" s="1648">
        <f t="shared" si="7"/>
        <v>924.17000426075845</v>
      </c>
      <c r="H31" s="1648">
        <v>916.50104483602604</v>
      </c>
      <c r="I31" s="1680">
        <f>SUM(I26/I28)</f>
        <v>2045.9144307483082</v>
      </c>
      <c r="J31" s="1680">
        <f>SUM(J26/J28)</f>
        <v>2045.9144307483082</v>
      </c>
      <c r="K31" s="1648">
        <f>SUM(K26/K28)</f>
        <v>1619.5910452874573</v>
      </c>
      <c r="L31" s="1648">
        <f>SUM(L26/L28)</f>
        <v>1682.9786713936853</v>
      </c>
      <c r="M31" s="1648">
        <f>SUM(M26/M28)</f>
        <v>1744.1123411487781</v>
      </c>
      <c r="N31" s="1639" t="s">
        <v>73</v>
      </c>
      <c r="O31" s="1229"/>
      <c r="P31" s="1674"/>
      <c r="Q31" s="1675"/>
      <c r="R31" s="1675"/>
      <c r="S31" s="1675"/>
      <c r="T31" s="1286"/>
    </row>
    <row r="32" spans="1:20" s="1644" customFormat="1" ht="13.5" x14ac:dyDescent="0.2">
      <c r="A32" s="1638" t="s">
        <v>450</v>
      </c>
      <c r="B32" s="1683">
        <f t="shared" ref="B32:K32" si="8">B12/B21</f>
        <v>0.35553844438190013</v>
      </c>
      <c r="C32" s="1683">
        <f t="shared" si="8"/>
        <v>0.24596929278286572</v>
      </c>
      <c r="D32" s="1683">
        <f t="shared" si="8"/>
        <v>0.34669551308012547</v>
      </c>
      <c r="E32" s="1683">
        <f t="shared" si="8"/>
        <v>0.23149906572941578</v>
      </c>
      <c r="F32" s="1683">
        <f t="shared" si="8"/>
        <v>0.33930495288949736</v>
      </c>
      <c r="G32" s="1683">
        <f t="shared" si="8"/>
        <v>0.25542524429455882</v>
      </c>
      <c r="H32" s="1683">
        <f t="shared" si="8"/>
        <v>0.30992040872337279</v>
      </c>
      <c r="I32" s="1683">
        <f t="shared" si="8"/>
        <v>0.34392651533433777</v>
      </c>
      <c r="J32" s="1683">
        <f t="shared" si="8"/>
        <v>0.36734336739232981</v>
      </c>
      <c r="K32" s="1683">
        <f t="shared" si="8"/>
        <v>0.20127078121863998</v>
      </c>
      <c r="L32" s="1683">
        <f>L12/L21</f>
        <v>0.19654440430307063</v>
      </c>
      <c r="M32" s="1683">
        <f>M12/M21</f>
        <v>0.20158067721813713</v>
      </c>
      <c r="N32" s="1639" t="s">
        <v>451</v>
      </c>
      <c r="O32" s="1229"/>
      <c r="P32" s="1674"/>
      <c r="Q32" s="1674"/>
      <c r="R32" s="1674"/>
      <c r="S32" s="1674"/>
      <c r="T32" s="1286"/>
    </row>
    <row r="33" spans="1:20" s="1644" customFormat="1" ht="13.5" x14ac:dyDescent="0.2">
      <c r="A33" s="1638" t="s">
        <v>452</v>
      </c>
      <c r="B33" s="1683">
        <f t="shared" ref="B33:K33" si="9">B13/B21</f>
        <v>1.3637015362883741E-3</v>
      </c>
      <c r="C33" s="1683">
        <f t="shared" si="9"/>
        <v>1.8946168187082398E-2</v>
      </c>
      <c r="D33" s="1683">
        <f t="shared" si="9"/>
        <v>1.8203166881118605E-3</v>
      </c>
      <c r="E33" s="1683">
        <f t="shared" si="9"/>
        <v>2.0946108828093081E-3</v>
      </c>
      <c r="F33" s="1683">
        <f t="shared" si="9"/>
        <v>3.4338156105562377E-3</v>
      </c>
      <c r="G33" s="1683">
        <f t="shared" si="9"/>
        <v>6.1601679043577946E-3</v>
      </c>
      <c r="H33" s="1683">
        <f t="shared" si="9"/>
        <v>3.3778791141512022E-3</v>
      </c>
      <c r="I33" s="1683">
        <f t="shared" si="9"/>
        <v>1.590526175452571E-2</v>
      </c>
      <c r="J33" s="1683">
        <f t="shared" si="9"/>
        <v>8.3817030773285003E-3</v>
      </c>
      <c r="K33" s="1683">
        <f t="shared" si="9"/>
        <v>4.2950049656713587E-3</v>
      </c>
      <c r="L33" s="1683">
        <f>L13/L21</f>
        <v>4.6330543145599225E-3</v>
      </c>
      <c r="M33" s="1683">
        <f>M13/M21</f>
        <v>4.6437800865997865E-3</v>
      </c>
      <c r="N33" s="1639" t="s">
        <v>453</v>
      </c>
      <c r="O33" s="1229"/>
      <c r="P33" s="1674"/>
      <c r="Q33" s="1674"/>
      <c r="R33" s="1674"/>
      <c r="S33" s="1674"/>
      <c r="T33" s="1286"/>
    </row>
    <row r="34" spans="1:20" s="1644" customFormat="1" x14ac:dyDescent="0.2">
      <c r="A34" s="1638"/>
      <c r="B34" s="1659"/>
      <c r="C34" s="1666"/>
      <c r="D34" s="1638"/>
      <c r="E34" s="1638"/>
      <c r="F34" s="1638"/>
      <c r="G34" s="1638"/>
      <c r="H34" s="1638"/>
      <c r="I34" s="1638"/>
      <c r="J34" s="1638"/>
      <c r="K34" s="1638"/>
      <c r="L34" s="1638"/>
      <c r="M34" s="1638"/>
      <c r="N34" s="1639"/>
      <c r="O34" s="1229"/>
      <c r="P34" s="1674"/>
      <c r="Q34" s="1678"/>
      <c r="R34" s="1678"/>
      <c r="S34" s="1678"/>
      <c r="T34" s="1286"/>
    </row>
    <row r="35" spans="1:20" s="1644" customFormat="1" x14ac:dyDescent="0.2">
      <c r="A35" s="1640"/>
      <c r="B35" s="1684"/>
      <c r="C35" s="1684"/>
      <c r="D35" s="1684"/>
      <c r="E35" s="1684"/>
      <c r="F35" s="1638"/>
      <c r="G35" s="1638"/>
      <c r="H35" s="1638"/>
      <c r="I35" s="1638"/>
      <c r="J35" s="1638"/>
      <c r="K35" s="1638"/>
      <c r="L35" s="1638"/>
      <c r="M35" s="1638"/>
      <c r="N35" s="1639"/>
      <c r="O35" s="1229"/>
      <c r="P35" s="1674"/>
      <c r="Q35" s="1675"/>
      <c r="R35" s="1675"/>
      <c r="S35" s="1675"/>
      <c r="T35" s="1286"/>
    </row>
    <row r="36" spans="1:20" s="1644" customFormat="1" x14ac:dyDescent="0.2">
      <c r="A36" s="1645" t="s">
        <v>194</v>
      </c>
      <c r="B36" s="1685"/>
      <c r="C36" s="1686"/>
      <c r="D36" s="1638"/>
      <c r="E36" s="1638"/>
      <c r="F36" s="1638"/>
      <c r="G36" s="1638"/>
      <c r="H36" s="1638"/>
      <c r="I36" s="1638"/>
      <c r="J36" s="1638"/>
      <c r="K36" s="1638"/>
      <c r="L36" s="1638"/>
      <c r="M36" s="1638"/>
      <c r="N36" s="1639"/>
      <c r="O36" s="1229"/>
      <c r="P36" s="1674"/>
      <c r="Q36" s="1675"/>
      <c r="R36" s="1675"/>
      <c r="S36" s="1675"/>
      <c r="T36" s="1286"/>
    </row>
    <row r="37" spans="1:20" s="1644" customFormat="1" x14ac:dyDescent="0.2">
      <c r="A37" s="1687" t="s">
        <v>185</v>
      </c>
      <c r="B37" s="1688" t="s">
        <v>1</v>
      </c>
      <c r="C37" s="1688" t="s">
        <v>186</v>
      </c>
      <c r="D37" s="1688" t="s">
        <v>18</v>
      </c>
      <c r="E37" s="1638"/>
      <c r="F37" s="1638"/>
      <c r="G37" s="1638"/>
      <c r="H37" s="1638"/>
      <c r="I37" s="1638"/>
      <c r="J37" s="1638"/>
      <c r="K37" s="1638"/>
      <c r="L37" s="1638"/>
      <c r="M37" s="1638"/>
      <c r="N37" s="1639"/>
    </row>
    <row r="38" spans="1:20" s="1644" customFormat="1" x14ac:dyDescent="0.2">
      <c r="A38" s="1687">
        <v>2006</v>
      </c>
      <c r="B38" s="1689">
        <v>243933</v>
      </c>
      <c r="C38" s="1689">
        <f>B15</f>
        <v>404449</v>
      </c>
      <c r="D38" s="1690">
        <f t="shared" ref="D38:D48" si="10">IF(ISERROR(C38/B38),"-",(C38/B38))</f>
        <v>1.6580331484464996</v>
      </c>
      <c r="E38" s="1638"/>
      <c r="F38" s="1638"/>
      <c r="G38" s="1638"/>
      <c r="H38" s="1638"/>
      <c r="I38" s="1638"/>
      <c r="J38" s="1638"/>
      <c r="K38" s="1638"/>
      <c r="L38" s="1638"/>
      <c r="M38" s="1638"/>
      <c r="N38" s="1639"/>
    </row>
    <row r="39" spans="1:20" s="1644" customFormat="1" x14ac:dyDescent="0.2">
      <c r="A39" s="1687">
        <v>2007</v>
      </c>
      <c r="B39" s="1689">
        <v>400000</v>
      </c>
      <c r="C39" s="1689">
        <f>C15</f>
        <v>473498</v>
      </c>
      <c r="D39" s="1690">
        <f t="shared" si="10"/>
        <v>1.183745</v>
      </c>
      <c r="E39" s="1638"/>
      <c r="F39" s="1638"/>
      <c r="G39" s="1638"/>
      <c r="H39" s="1638"/>
      <c r="I39" s="1638"/>
      <c r="J39" s="1638"/>
      <c r="K39" s="1638"/>
      <c r="L39" s="1638"/>
      <c r="M39" s="1638"/>
      <c r="N39" s="1639"/>
    </row>
    <row r="40" spans="1:20" s="1644" customFormat="1" x14ac:dyDescent="0.2">
      <c r="A40" s="1687">
        <v>2008</v>
      </c>
      <c r="B40" s="1689">
        <v>400000</v>
      </c>
      <c r="C40" s="1689">
        <f>D15</f>
        <v>712802</v>
      </c>
      <c r="D40" s="1690">
        <f t="shared" si="10"/>
        <v>1.7820050000000001</v>
      </c>
      <c r="E40" s="1638"/>
      <c r="F40" s="1638"/>
      <c r="G40" s="1638"/>
      <c r="H40" s="1638"/>
      <c r="I40" s="1638"/>
      <c r="J40" s="1638"/>
      <c r="K40" s="1638"/>
      <c r="L40" s="1638"/>
      <c r="M40" s="1638"/>
      <c r="N40" s="1639"/>
    </row>
    <row r="41" spans="1:20" s="1644" customFormat="1" x14ac:dyDescent="0.2">
      <c r="A41" s="1687">
        <v>2009</v>
      </c>
      <c r="B41" s="1689">
        <v>925000</v>
      </c>
      <c r="C41" s="1689">
        <f>E15</f>
        <v>951742</v>
      </c>
      <c r="D41" s="1690">
        <f t="shared" si="10"/>
        <v>1.0289102702702704</v>
      </c>
      <c r="E41" s="1638"/>
      <c r="F41" s="1638"/>
      <c r="G41" s="1638"/>
      <c r="H41" s="1638"/>
      <c r="I41" s="1638"/>
      <c r="J41" s="1638"/>
      <c r="K41" s="1638"/>
      <c r="L41" s="1638"/>
      <c r="M41" s="1638"/>
      <c r="N41" s="1639"/>
    </row>
    <row r="42" spans="1:20" s="1644" customFormat="1" x14ac:dyDescent="0.2">
      <c r="A42" s="1687">
        <v>2010</v>
      </c>
      <c r="B42" s="1689">
        <v>925000</v>
      </c>
      <c r="C42" s="1689">
        <f>F15</f>
        <v>1054952.4099999992</v>
      </c>
      <c r="D42" s="1690">
        <f t="shared" si="10"/>
        <v>1.1404890918918911</v>
      </c>
      <c r="E42" s="1638"/>
      <c r="F42" s="1638"/>
      <c r="G42" s="1638"/>
      <c r="H42" s="1638"/>
      <c r="I42" s="1638"/>
      <c r="J42" s="1638"/>
      <c r="K42" s="1638"/>
      <c r="L42" s="1638"/>
      <c r="M42" s="1638"/>
      <c r="N42" s="1639"/>
    </row>
    <row r="43" spans="1:20" s="1644" customFormat="1" x14ac:dyDescent="0.2">
      <c r="A43" s="1687">
        <v>2011</v>
      </c>
      <c r="B43" s="1689">
        <v>1900000</v>
      </c>
      <c r="C43" s="1689">
        <f>G15</f>
        <v>1894260.66</v>
      </c>
      <c r="D43" s="1690">
        <f t="shared" si="10"/>
        <v>0.9969792947368421</v>
      </c>
      <c r="E43" s="1638"/>
      <c r="F43" s="1638"/>
      <c r="G43" s="1638"/>
      <c r="H43" s="1638"/>
      <c r="I43" s="1638"/>
      <c r="J43" s="1638"/>
      <c r="K43" s="1638"/>
      <c r="L43" s="1638"/>
      <c r="M43" s="1638"/>
      <c r="N43" s="1639"/>
    </row>
    <row r="44" spans="1:20" s="1644" customFormat="1" x14ac:dyDescent="0.2">
      <c r="A44" s="1687" t="s">
        <v>319</v>
      </c>
      <c r="B44" s="1689">
        <f>H15</f>
        <v>2216500</v>
      </c>
      <c r="C44" s="1689">
        <f>I15</f>
        <v>1191672.3799999994</v>
      </c>
      <c r="D44" s="1690">
        <f t="shared" si="10"/>
        <v>0.53763698623956657</v>
      </c>
      <c r="E44" s="1638"/>
      <c r="F44" s="1638"/>
      <c r="G44" s="1638"/>
      <c r="H44" s="1638"/>
      <c r="I44" s="1638"/>
      <c r="J44" s="1638"/>
      <c r="K44" s="1638"/>
      <c r="L44" s="1638"/>
      <c r="M44" s="1638"/>
      <c r="N44" s="1639"/>
    </row>
    <row r="45" spans="1:20" s="1644" customFormat="1" x14ac:dyDescent="0.2">
      <c r="A45" s="1687" t="s">
        <v>318</v>
      </c>
      <c r="B45" s="1689">
        <f>H15</f>
        <v>2216500</v>
      </c>
      <c r="C45" s="1689">
        <f>J15</f>
        <v>3106962</v>
      </c>
      <c r="D45" s="1690">
        <f t="shared" si="10"/>
        <v>1.4017423866456125</v>
      </c>
      <c r="E45" s="1638"/>
      <c r="F45" s="1638"/>
      <c r="G45" s="1638"/>
      <c r="H45" s="1638"/>
      <c r="I45" s="1638"/>
      <c r="J45" s="1638"/>
      <c r="K45" s="1638"/>
      <c r="L45" s="1638"/>
      <c r="M45" s="1638"/>
      <c r="N45" s="1639"/>
    </row>
    <row r="46" spans="1:20" s="1644" customFormat="1" x14ac:dyDescent="0.2">
      <c r="A46" s="1687">
        <v>2013</v>
      </c>
      <c r="B46" s="1689">
        <f>K15</f>
        <v>2429000</v>
      </c>
      <c r="C46" s="1689" t="s">
        <v>195</v>
      </c>
      <c r="D46" s="1690" t="str">
        <f t="shared" si="10"/>
        <v>-</v>
      </c>
      <c r="E46" s="1638"/>
      <c r="F46" s="1638"/>
      <c r="G46" s="1638"/>
      <c r="H46" s="1638"/>
      <c r="I46" s="1638"/>
      <c r="J46" s="1638"/>
      <c r="K46" s="1638"/>
      <c r="L46" s="1638"/>
      <c r="M46" s="1638"/>
      <c r="N46" s="1639"/>
    </row>
    <row r="47" spans="1:20" s="1644" customFormat="1" x14ac:dyDescent="0.2">
      <c r="A47" s="1687">
        <v>2014</v>
      </c>
      <c r="B47" s="1689">
        <f>L15</f>
        <v>2545500.3923584521</v>
      </c>
      <c r="C47" s="1689" t="s">
        <v>195</v>
      </c>
      <c r="D47" s="1690" t="str">
        <f t="shared" si="10"/>
        <v>-</v>
      </c>
      <c r="E47" s="1638"/>
      <c r="F47" s="1638"/>
      <c r="G47" s="1638"/>
      <c r="H47" s="1638"/>
      <c r="I47" s="1638"/>
      <c r="J47" s="1638"/>
      <c r="K47" s="1638"/>
      <c r="L47" s="1638"/>
      <c r="M47" s="1638"/>
      <c r="N47" s="1639"/>
    </row>
    <row r="48" spans="1:20" s="1644" customFormat="1" x14ac:dyDescent="0.2">
      <c r="A48" s="1687">
        <v>2015</v>
      </c>
      <c r="B48" s="1689">
        <f>M15</f>
        <v>2662000.2269371031</v>
      </c>
      <c r="C48" s="1689" t="s">
        <v>195</v>
      </c>
      <c r="D48" s="1690" t="str">
        <f t="shared" si="10"/>
        <v>-</v>
      </c>
      <c r="E48" s="1638"/>
      <c r="F48" s="1638"/>
      <c r="G48" s="1638"/>
      <c r="H48" s="1638"/>
      <c r="I48" s="1638"/>
      <c r="J48" s="1638"/>
      <c r="K48" s="1638"/>
      <c r="L48" s="1638"/>
      <c r="M48" s="1638"/>
      <c r="N48" s="1639"/>
    </row>
    <row r="49" spans="1:14" s="1644" customFormat="1" x14ac:dyDescent="0.2">
      <c r="A49" s="1687"/>
      <c r="B49" s="1689"/>
      <c r="C49" s="1689"/>
      <c r="D49" s="1690"/>
      <c r="E49" s="1638"/>
      <c r="F49" s="1638"/>
      <c r="G49" s="1638"/>
      <c r="H49" s="1638"/>
      <c r="I49" s="1638"/>
      <c r="J49" s="1638"/>
      <c r="K49" s="1638"/>
      <c r="L49" s="1638"/>
      <c r="M49" s="1638"/>
      <c r="N49" s="1639"/>
    </row>
    <row r="50" spans="1:14" s="1644" customFormat="1" x14ac:dyDescent="0.2">
      <c r="A50" s="1691" t="s">
        <v>193</v>
      </c>
      <c r="B50" s="1692"/>
      <c r="C50" s="1692"/>
      <c r="D50" s="1637"/>
      <c r="E50" s="1638"/>
      <c r="F50" s="1638"/>
      <c r="G50" s="1638"/>
      <c r="H50" s="1638"/>
      <c r="I50" s="1638"/>
      <c r="J50" s="1638"/>
      <c r="K50" s="1638"/>
      <c r="L50" s="1638"/>
      <c r="M50" s="1638"/>
      <c r="N50" s="1639"/>
    </row>
    <row r="51" spans="1:14" s="1644" customFormat="1" x14ac:dyDescent="0.2">
      <c r="A51" s="1687" t="s">
        <v>185</v>
      </c>
      <c r="B51" s="1688" t="s">
        <v>188</v>
      </c>
      <c r="C51" s="1688" t="s">
        <v>186</v>
      </c>
      <c r="D51" s="1688" t="s">
        <v>189</v>
      </c>
      <c r="E51" s="1638"/>
      <c r="F51" s="1638"/>
      <c r="G51" s="1638"/>
      <c r="H51" s="1638"/>
      <c r="I51" s="1638"/>
      <c r="J51" s="1638"/>
      <c r="K51" s="1638"/>
      <c r="L51" s="1638"/>
      <c r="M51" s="1638"/>
      <c r="N51" s="1639"/>
    </row>
    <row r="52" spans="1:14" s="1644" customFormat="1" x14ac:dyDescent="0.2">
      <c r="A52" s="1687">
        <v>2006</v>
      </c>
      <c r="B52" s="1693">
        <v>301</v>
      </c>
      <c r="C52" s="1693">
        <v>574</v>
      </c>
      <c r="D52" s="1690">
        <f t="shared" ref="D52:D60" si="11">IF(ISERROR(C52/B52),"-",(C52/B52))</f>
        <v>1.9069767441860466</v>
      </c>
      <c r="E52" s="1638"/>
      <c r="F52" s="1638"/>
      <c r="G52" s="1638"/>
      <c r="H52" s="1638"/>
      <c r="I52" s="1638"/>
      <c r="J52" s="1638"/>
      <c r="K52" s="1638"/>
      <c r="L52" s="1638"/>
      <c r="M52" s="1638"/>
      <c r="N52" s="1639"/>
    </row>
    <row r="53" spans="1:14" s="1644" customFormat="1" x14ac:dyDescent="0.2">
      <c r="A53" s="1687">
        <v>2007</v>
      </c>
      <c r="B53" s="1693">
        <v>660</v>
      </c>
      <c r="C53" s="1693">
        <v>1238</v>
      </c>
      <c r="D53" s="1690">
        <f t="shared" si="11"/>
        <v>1.8757575757575757</v>
      </c>
      <c r="E53" s="1638"/>
      <c r="F53" s="1638"/>
      <c r="G53" s="1638"/>
      <c r="H53" s="1638"/>
      <c r="I53" s="1638"/>
      <c r="J53" s="1638"/>
      <c r="K53" s="1638"/>
      <c r="L53" s="1638"/>
      <c r="M53" s="1638"/>
      <c r="N53" s="1639"/>
    </row>
    <row r="54" spans="1:14" s="1644" customFormat="1" x14ac:dyDescent="0.2">
      <c r="A54" s="1687">
        <v>2008</v>
      </c>
      <c r="B54" s="1693">
        <v>1225</v>
      </c>
      <c r="C54" s="1693">
        <v>1350</v>
      </c>
      <c r="D54" s="1690">
        <f t="shared" si="11"/>
        <v>1.1020408163265305</v>
      </c>
      <c r="E54" s="1638"/>
      <c r="F54" s="1638"/>
      <c r="G54" s="1638"/>
      <c r="H54" s="1638"/>
      <c r="I54" s="1638"/>
      <c r="J54" s="1638"/>
      <c r="K54" s="1638"/>
      <c r="L54" s="1638"/>
      <c r="M54" s="1638"/>
      <c r="N54" s="1639"/>
    </row>
    <row r="55" spans="1:14" s="1644" customFormat="1" x14ac:dyDescent="0.2">
      <c r="A55" s="1687">
        <v>2009</v>
      </c>
      <c r="B55" s="1693">
        <v>1659.399868591009</v>
      </c>
      <c r="C55" s="1693">
        <v>1932</v>
      </c>
      <c r="D55" s="1690">
        <f t="shared" si="11"/>
        <v>1.1642763366255144</v>
      </c>
      <c r="E55" s="1638"/>
      <c r="F55" s="1638"/>
      <c r="G55" s="1638"/>
      <c r="H55" s="1638"/>
      <c r="I55" s="1638"/>
      <c r="J55" s="1638"/>
      <c r="K55" s="1638"/>
      <c r="L55" s="1638"/>
      <c r="M55" s="1638"/>
      <c r="N55" s="1639"/>
    </row>
    <row r="56" spans="1:14" s="1644" customFormat="1" x14ac:dyDescent="0.2">
      <c r="A56" s="1687">
        <v>2010</v>
      </c>
      <c r="B56" s="1693">
        <v>1147</v>
      </c>
      <c r="C56" s="1693">
        <v>2497</v>
      </c>
      <c r="D56" s="1690">
        <f t="shared" si="11"/>
        <v>2.1769834350479513</v>
      </c>
      <c r="E56" s="1638"/>
      <c r="F56" s="1638"/>
      <c r="G56" s="1638"/>
      <c r="H56" s="1638"/>
      <c r="I56" s="1638"/>
      <c r="J56" s="1638"/>
      <c r="K56" s="1638"/>
      <c r="L56" s="1638"/>
      <c r="M56" s="1638"/>
      <c r="N56" s="1639"/>
    </row>
    <row r="57" spans="1:14" s="1644" customFormat="1" x14ac:dyDescent="0.2">
      <c r="A57" s="1687">
        <v>2011</v>
      </c>
      <c r="B57" s="1693">
        <f>1179</f>
        <v>1179</v>
      </c>
      <c r="C57" s="1694">
        <f>G28</f>
        <v>2347</v>
      </c>
      <c r="D57" s="1690">
        <f t="shared" si="11"/>
        <v>1.9906700593723494</v>
      </c>
      <c r="E57" s="1638"/>
      <c r="F57" s="1638"/>
      <c r="G57" s="1638"/>
      <c r="H57" s="1638"/>
      <c r="I57" s="1638"/>
      <c r="J57" s="1638"/>
      <c r="K57" s="1638"/>
      <c r="L57" s="1638"/>
      <c r="M57" s="1638"/>
      <c r="N57" s="1639"/>
    </row>
    <row r="58" spans="1:14" s="1644" customFormat="1" x14ac:dyDescent="0.2">
      <c r="A58" s="1687" t="s">
        <v>319</v>
      </c>
      <c r="B58" s="1693">
        <f>H28</f>
        <v>3270</v>
      </c>
      <c r="C58" s="1693">
        <f>I28</f>
        <v>733</v>
      </c>
      <c r="D58" s="1690">
        <f t="shared" si="11"/>
        <v>0.22415902140672783</v>
      </c>
      <c r="E58" s="1638"/>
      <c r="F58" s="1638"/>
      <c r="G58" s="1638"/>
      <c r="H58" s="1638"/>
      <c r="I58" s="1638"/>
      <c r="J58" s="1638"/>
      <c r="K58" s="1638"/>
      <c r="L58" s="1638"/>
      <c r="M58" s="1638"/>
      <c r="N58" s="1639"/>
    </row>
    <row r="59" spans="1:14" s="1644" customFormat="1" x14ac:dyDescent="0.2">
      <c r="A59" s="1687" t="s">
        <v>318</v>
      </c>
      <c r="B59" s="1693">
        <f>H28</f>
        <v>3270</v>
      </c>
      <c r="C59" s="1693">
        <f>K28</f>
        <v>3348.2315506497071</v>
      </c>
      <c r="D59" s="1690">
        <f t="shared" si="11"/>
        <v>1.0239240216054151</v>
      </c>
      <c r="E59" s="1638"/>
      <c r="F59" s="1638"/>
      <c r="G59" s="1638"/>
      <c r="H59" s="1638"/>
      <c r="I59" s="1638"/>
      <c r="J59" s="1638"/>
      <c r="K59" s="1638"/>
      <c r="L59" s="1638"/>
      <c r="M59" s="1638"/>
      <c r="N59" s="1639"/>
    </row>
    <row r="60" spans="1:14" s="1644" customFormat="1" x14ac:dyDescent="0.2">
      <c r="A60" s="1687">
        <v>2013</v>
      </c>
      <c r="B60" s="1693">
        <f>K28</f>
        <v>3348.2315506497071</v>
      </c>
      <c r="C60" s="1689" t="s">
        <v>195</v>
      </c>
      <c r="D60" s="1690" t="str">
        <f t="shared" si="11"/>
        <v>-</v>
      </c>
      <c r="E60" s="1638"/>
      <c r="F60" s="1638"/>
      <c r="G60" s="1638"/>
      <c r="H60" s="1638"/>
      <c r="I60" s="1638"/>
      <c r="J60" s="1638"/>
      <c r="K60" s="1638"/>
      <c r="L60" s="1638"/>
      <c r="M60" s="1638"/>
      <c r="N60" s="1639"/>
    </row>
    <row r="61" spans="1:14" s="1644" customFormat="1" x14ac:dyDescent="0.2">
      <c r="A61" s="1687">
        <v>2014</v>
      </c>
      <c r="B61" s="1693">
        <f>L28</f>
        <v>3599.0847658208663</v>
      </c>
      <c r="C61" s="1689" t="s">
        <v>195</v>
      </c>
      <c r="D61" s="1690" t="str">
        <f>IF(ISERROR(C61/B61),"-",(C61/B61))</f>
        <v>-</v>
      </c>
      <c r="E61" s="1638"/>
      <c r="F61" s="1638"/>
      <c r="G61" s="1638"/>
      <c r="H61" s="1638"/>
      <c r="I61" s="1638"/>
      <c r="J61" s="1638"/>
      <c r="K61" s="1638"/>
      <c r="L61" s="1638"/>
      <c r="M61" s="1638"/>
      <c r="N61" s="1639"/>
    </row>
    <row r="62" spans="1:14" s="1644" customFormat="1" x14ac:dyDescent="0.2">
      <c r="A62" s="1687">
        <v>2015</v>
      </c>
      <c r="B62" s="1693">
        <f>M28</f>
        <v>3675.2468010147008</v>
      </c>
      <c r="C62" s="1689" t="s">
        <v>195</v>
      </c>
      <c r="D62" s="1690" t="str">
        <f>IF(ISERROR(C62/B62),"-",(C62/B62))</f>
        <v>-</v>
      </c>
      <c r="E62" s="1638"/>
      <c r="F62" s="1638"/>
      <c r="G62" s="1638"/>
      <c r="H62" s="1638"/>
      <c r="I62" s="1638"/>
      <c r="J62" s="1638"/>
      <c r="K62" s="1638"/>
      <c r="L62" s="1638"/>
      <c r="M62" s="1638"/>
      <c r="N62" s="1639"/>
    </row>
    <row r="63" spans="1:14" s="1644" customFormat="1" x14ac:dyDescent="0.2">
      <c r="A63" s="1687"/>
      <c r="B63" s="1689"/>
      <c r="C63" s="1689"/>
      <c r="D63" s="1689"/>
      <c r="E63" s="1638"/>
      <c r="F63" s="1638"/>
      <c r="G63" s="1638"/>
      <c r="H63" s="1638"/>
      <c r="I63" s="1638"/>
      <c r="J63" s="1638"/>
      <c r="K63" s="1638"/>
      <c r="L63" s="1638"/>
      <c r="M63" s="1638"/>
      <c r="N63" s="1639"/>
    </row>
    <row r="64" spans="1:14" s="1644" customFormat="1" x14ac:dyDescent="0.2">
      <c r="A64" s="1691" t="s">
        <v>191</v>
      </c>
      <c r="B64" s="1691"/>
      <c r="C64" s="1691"/>
      <c r="D64" s="1638"/>
      <c r="E64" s="1638"/>
      <c r="F64" s="1638"/>
      <c r="G64" s="1638"/>
      <c r="H64" s="1638"/>
      <c r="I64" s="1638"/>
      <c r="J64" s="1638"/>
      <c r="K64" s="1638"/>
      <c r="L64" s="1638"/>
      <c r="M64" s="1638"/>
      <c r="N64" s="1639"/>
    </row>
    <row r="65" spans="1:14" s="1644" customFormat="1" x14ac:dyDescent="0.2">
      <c r="A65" s="1687" t="s">
        <v>185</v>
      </c>
      <c r="B65" s="1688" t="s">
        <v>188</v>
      </c>
      <c r="C65" s="1688" t="s">
        <v>186</v>
      </c>
      <c r="D65" s="1688" t="s">
        <v>189</v>
      </c>
      <c r="E65" s="1638"/>
      <c r="F65" s="1638"/>
      <c r="G65" s="1638"/>
      <c r="H65" s="1638"/>
      <c r="I65" s="1638"/>
      <c r="J65" s="1638"/>
      <c r="K65" s="1638"/>
      <c r="L65" s="1638"/>
      <c r="M65" s="1638"/>
      <c r="N65" s="1639"/>
    </row>
    <row r="66" spans="1:14" s="1644" customFormat="1" x14ac:dyDescent="0.2">
      <c r="A66" s="1687">
        <v>2006</v>
      </c>
      <c r="B66" s="1693">
        <v>35150</v>
      </c>
      <c r="C66" s="1693">
        <v>45734</v>
      </c>
      <c r="D66" s="1690">
        <f t="shared" ref="D66:D74" si="12">IF(ISERROR(C66/B66),"-",(C66/B66))</f>
        <v>1.3011095305832148</v>
      </c>
      <c r="E66" s="1638"/>
      <c r="F66" s="1638"/>
      <c r="G66" s="1638"/>
      <c r="H66" s="1638"/>
      <c r="I66" s="1638"/>
      <c r="J66" s="1638"/>
      <c r="K66" s="1638"/>
      <c r="L66" s="1638"/>
      <c r="M66" s="1638"/>
      <c r="N66" s="1639"/>
    </row>
    <row r="67" spans="1:14" s="1644" customFormat="1" x14ac:dyDescent="0.2">
      <c r="A67" s="1687">
        <v>2007</v>
      </c>
      <c r="B67" s="1693">
        <v>56432</v>
      </c>
      <c r="C67" s="1693">
        <v>101407</v>
      </c>
      <c r="D67" s="1690">
        <f t="shared" si="12"/>
        <v>1.7969768925432379</v>
      </c>
      <c r="E67" s="1638"/>
      <c r="F67" s="1638"/>
      <c r="G67" s="1638"/>
      <c r="H67" s="1638"/>
      <c r="I67" s="1638"/>
      <c r="J67" s="1638"/>
      <c r="K67" s="1638"/>
      <c r="L67" s="1638"/>
      <c r="M67" s="1638"/>
      <c r="N67" s="1639"/>
    </row>
    <row r="68" spans="1:14" s="1644" customFormat="1" x14ac:dyDescent="0.2">
      <c r="A68" s="1687">
        <v>2008</v>
      </c>
      <c r="B68" s="1693">
        <v>74675</v>
      </c>
      <c r="C68" s="1693">
        <f>D20</f>
        <v>94054</v>
      </c>
      <c r="D68" s="1690">
        <f t="shared" si="12"/>
        <v>1.2595112152661534</v>
      </c>
      <c r="E68" s="1638"/>
      <c r="F68" s="1638"/>
      <c r="G68" s="1638"/>
      <c r="H68" s="1638"/>
      <c r="I68" s="1638"/>
      <c r="J68" s="1638"/>
      <c r="K68" s="1638"/>
      <c r="L68" s="1638"/>
      <c r="M68" s="1638"/>
      <c r="N68" s="1639"/>
    </row>
    <row r="69" spans="1:14" s="1644" customFormat="1" x14ac:dyDescent="0.2">
      <c r="A69" s="1687">
        <v>2009</v>
      </c>
      <c r="B69" s="1693">
        <v>104319.87311167864</v>
      </c>
      <c r="C69" s="1693">
        <v>195280</v>
      </c>
      <c r="D69" s="1690">
        <f t="shared" si="12"/>
        <v>1.8719347922417895</v>
      </c>
      <c r="E69" s="1638"/>
      <c r="F69" s="1638"/>
      <c r="G69" s="1638"/>
      <c r="H69" s="1638"/>
      <c r="I69" s="1638"/>
      <c r="J69" s="1638"/>
      <c r="K69" s="1638"/>
      <c r="L69" s="1638"/>
      <c r="M69" s="1638"/>
      <c r="N69" s="1639"/>
    </row>
    <row r="70" spans="1:14" s="1644" customFormat="1" x14ac:dyDescent="0.2">
      <c r="A70" s="1687">
        <v>2010</v>
      </c>
      <c r="B70" s="1693">
        <v>142173</v>
      </c>
      <c r="C70" s="1693">
        <v>194946</v>
      </c>
      <c r="D70" s="1690">
        <f t="shared" si="12"/>
        <v>1.3711886223122534</v>
      </c>
      <c r="E70" s="1638"/>
      <c r="F70" s="1638"/>
      <c r="G70" s="1638"/>
      <c r="H70" s="1638"/>
      <c r="I70" s="1638"/>
      <c r="J70" s="1638"/>
      <c r="K70" s="1638"/>
      <c r="L70" s="1638"/>
      <c r="M70" s="1638"/>
      <c r="N70" s="1639"/>
    </row>
    <row r="71" spans="1:14" s="1644" customFormat="1" x14ac:dyDescent="0.2">
      <c r="A71" s="1687">
        <v>2011</v>
      </c>
      <c r="B71" s="1693">
        <v>156774</v>
      </c>
      <c r="C71" s="1695">
        <f>G20</f>
        <v>359607</v>
      </c>
      <c r="D71" s="1690">
        <f t="shared" si="12"/>
        <v>2.2937923380152321</v>
      </c>
      <c r="E71" s="1638"/>
      <c r="F71" s="1638"/>
      <c r="G71" s="1638"/>
      <c r="H71" s="1638"/>
      <c r="I71" s="1638"/>
      <c r="J71" s="1638"/>
      <c r="K71" s="1638"/>
      <c r="L71" s="1638"/>
      <c r="M71" s="1638"/>
      <c r="N71" s="1639"/>
    </row>
    <row r="72" spans="1:14" s="1644" customFormat="1" x14ac:dyDescent="0.2">
      <c r="A72" s="1687" t="s">
        <v>319</v>
      </c>
      <c r="B72" s="1693">
        <v>315965</v>
      </c>
      <c r="C72" s="1695">
        <f>I20</f>
        <v>144493</v>
      </c>
      <c r="D72" s="1690">
        <f t="shared" si="12"/>
        <v>0.45730698020350358</v>
      </c>
      <c r="E72" s="1638"/>
      <c r="F72" s="1638"/>
      <c r="G72" s="1638"/>
      <c r="H72" s="1638"/>
      <c r="I72" s="1638"/>
      <c r="J72" s="1638"/>
      <c r="K72" s="1638"/>
      <c r="L72" s="1638"/>
      <c r="M72" s="1638"/>
      <c r="N72" s="1639"/>
    </row>
    <row r="73" spans="1:14" s="1644" customFormat="1" x14ac:dyDescent="0.2">
      <c r="A73" s="1687" t="s">
        <v>318</v>
      </c>
      <c r="B73" s="1694">
        <v>315965</v>
      </c>
      <c r="C73" s="1695">
        <f>J20</f>
        <v>376726.24439445365</v>
      </c>
      <c r="D73" s="1690">
        <f t="shared" si="12"/>
        <v>1.1923037184322747</v>
      </c>
      <c r="E73" s="1638"/>
      <c r="F73" s="1638"/>
      <c r="G73" s="1638"/>
      <c r="H73" s="1638"/>
      <c r="I73" s="1638"/>
      <c r="J73" s="1638"/>
      <c r="K73" s="1638"/>
      <c r="L73" s="1638"/>
      <c r="M73" s="1638"/>
      <c r="N73" s="1639"/>
    </row>
    <row r="74" spans="1:14" s="1644" customFormat="1" x14ac:dyDescent="0.2">
      <c r="A74" s="1687">
        <v>2013</v>
      </c>
      <c r="B74" s="1694">
        <f>K20</f>
        <v>511007.71796961169</v>
      </c>
      <c r="C74" s="1689" t="s">
        <v>195</v>
      </c>
      <c r="D74" s="1690" t="str">
        <f t="shared" si="12"/>
        <v>-</v>
      </c>
      <c r="E74" s="1638"/>
      <c r="F74" s="1638"/>
      <c r="G74" s="1638"/>
      <c r="H74" s="1638"/>
      <c r="I74" s="1638"/>
      <c r="J74" s="1638"/>
      <c r="K74" s="1638"/>
      <c r="L74" s="1638"/>
      <c r="M74" s="1638"/>
      <c r="N74" s="1639"/>
    </row>
    <row r="75" spans="1:14" s="1644" customFormat="1" x14ac:dyDescent="0.2">
      <c r="A75" s="1687">
        <v>2014</v>
      </c>
      <c r="B75" s="1694">
        <f>L20</f>
        <v>549292.98202343134</v>
      </c>
      <c r="C75" s="1689" t="s">
        <v>195</v>
      </c>
      <c r="D75" s="1690" t="str">
        <f>IF(ISERROR(C75/B75),"-",(C75/B75))</f>
        <v>-</v>
      </c>
      <c r="E75" s="1638"/>
      <c r="F75" s="1638"/>
      <c r="G75" s="1638"/>
      <c r="H75" s="1638"/>
      <c r="I75" s="1638"/>
      <c r="J75" s="1638"/>
      <c r="K75" s="1638"/>
      <c r="L75" s="1638"/>
      <c r="M75" s="1638"/>
      <c r="N75" s="1639"/>
    </row>
    <row r="76" spans="1:14" s="1644" customFormat="1" x14ac:dyDescent="0.2">
      <c r="A76" s="1687">
        <v>2015</v>
      </c>
      <c r="B76" s="1694">
        <f>M20</f>
        <v>560916.84590846358</v>
      </c>
      <c r="C76" s="1689" t="s">
        <v>195</v>
      </c>
      <c r="D76" s="1690" t="str">
        <f>IF(ISERROR(C76/B76),"-",(C76/B76))</f>
        <v>-</v>
      </c>
      <c r="E76" s="1638"/>
      <c r="F76" s="1638"/>
      <c r="G76" s="1638"/>
      <c r="H76" s="1638"/>
      <c r="I76" s="1638"/>
      <c r="J76" s="1638"/>
      <c r="K76" s="1638"/>
      <c r="L76" s="1638"/>
      <c r="M76" s="1638"/>
      <c r="N76" s="1639"/>
    </row>
    <row r="77" spans="1:14" s="1644" customFormat="1" x14ac:dyDescent="0.2">
      <c r="A77" s="1687"/>
      <c r="B77" s="1696"/>
      <c r="C77" s="1696"/>
      <c r="D77" s="1696"/>
      <c r="E77" s="1638"/>
      <c r="F77" s="1638"/>
      <c r="G77" s="1638"/>
      <c r="H77" s="1638"/>
      <c r="I77" s="1638"/>
      <c r="J77" s="1638"/>
      <c r="K77" s="1638"/>
      <c r="L77" s="1638"/>
      <c r="M77" s="1638"/>
      <c r="N77" s="1639"/>
    </row>
    <row r="78" spans="1:14" s="1644" customFormat="1" x14ac:dyDescent="0.2">
      <c r="A78" s="1691" t="s">
        <v>190</v>
      </c>
      <c r="B78" s="1691"/>
      <c r="C78" s="1691"/>
      <c r="D78" s="1691"/>
      <c r="E78" s="1638"/>
      <c r="F78" s="1638"/>
      <c r="G78" s="1638"/>
      <c r="H78" s="1638"/>
      <c r="I78" s="1638"/>
      <c r="J78" s="1638"/>
      <c r="K78" s="1638"/>
      <c r="L78" s="1638"/>
      <c r="M78" s="1638"/>
      <c r="N78" s="1639"/>
    </row>
    <row r="79" spans="1:14" s="1644" customFormat="1" x14ac:dyDescent="0.2">
      <c r="A79" s="1687" t="s">
        <v>185</v>
      </c>
      <c r="B79" s="1688" t="s">
        <v>188</v>
      </c>
      <c r="C79" s="1688" t="s">
        <v>186</v>
      </c>
      <c r="D79" s="1688" t="s">
        <v>189</v>
      </c>
      <c r="E79" s="1638"/>
      <c r="F79" s="1638"/>
      <c r="G79" s="1638"/>
      <c r="H79" s="1638"/>
      <c r="I79" s="1638"/>
      <c r="J79" s="1638"/>
      <c r="K79" s="1638"/>
      <c r="L79" s="1638"/>
      <c r="M79" s="1638"/>
      <c r="N79" s="1639"/>
    </row>
    <row r="80" spans="1:14" s="1644" customFormat="1" x14ac:dyDescent="0.2">
      <c r="A80" s="1687">
        <v>2006</v>
      </c>
      <c r="B80" s="1693">
        <v>572388</v>
      </c>
      <c r="C80" s="1693">
        <v>941555</v>
      </c>
      <c r="D80" s="1690">
        <f t="shared" ref="D80:D90" si="13">IF(ISERROR(C80/B80),"-",(C80/B80))</f>
        <v>1.6449593632291384</v>
      </c>
      <c r="E80" s="1638"/>
      <c r="F80" s="1638"/>
      <c r="G80" s="1638"/>
      <c r="H80" s="1638"/>
      <c r="I80" s="1638"/>
      <c r="J80" s="1638"/>
      <c r="K80" s="1638"/>
      <c r="L80" s="1638"/>
      <c r="M80" s="1638"/>
      <c r="N80" s="1639"/>
    </row>
    <row r="81" spans="1:14" s="1644" customFormat="1" x14ac:dyDescent="0.2">
      <c r="A81" s="1687">
        <v>2007</v>
      </c>
      <c r="B81" s="1693">
        <v>1172876</v>
      </c>
      <c r="C81" s="1693">
        <v>1396219</v>
      </c>
      <c r="D81" s="1690">
        <f t="shared" si="13"/>
        <v>1.1904233695633639</v>
      </c>
      <c r="E81" s="1638"/>
      <c r="F81" s="1638"/>
      <c r="G81" s="1638"/>
      <c r="H81" s="1638"/>
      <c r="I81" s="1638"/>
      <c r="J81" s="1638"/>
      <c r="K81" s="1638"/>
      <c r="L81" s="1638"/>
      <c r="M81" s="1638"/>
      <c r="N81" s="1639"/>
    </row>
    <row r="82" spans="1:14" s="1644" customFormat="1" x14ac:dyDescent="0.2">
      <c r="A82" s="1687">
        <v>2008</v>
      </c>
      <c r="B82" s="1693">
        <v>970771</v>
      </c>
      <c r="C82" s="1693">
        <f>D21</f>
        <v>1617301</v>
      </c>
      <c r="D82" s="1690">
        <f t="shared" si="13"/>
        <v>1.6659964090398252</v>
      </c>
      <c r="E82" s="1638"/>
      <c r="F82" s="1638"/>
      <c r="G82" s="1638"/>
      <c r="H82" s="1638"/>
      <c r="I82" s="1638"/>
      <c r="J82" s="1638"/>
      <c r="K82" s="1638"/>
      <c r="L82" s="1638"/>
      <c r="M82" s="1638"/>
      <c r="N82" s="1639"/>
    </row>
    <row r="83" spans="1:14" s="1644" customFormat="1" x14ac:dyDescent="0.2">
      <c r="A83" s="1687">
        <v>2009</v>
      </c>
      <c r="B83" s="1693">
        <v>1599520.3014143936</v>
      </c>
      <c r="C83" s="1693">
        <f>E21</f>
        <v>3534308</v>
      </c>
      <c r="D83" s="1690">
        <f t="shared" si="13"/>
        <v>2.2096049652353575</v>
      </c>
      <c r="E83" s="1638"/>
      <c r="F83" s="1638"/>
      <c r="G83" s="1638"/>
      <c r="H83" s="1638"/>
      <c r="I83" s="1638"/>
      <c r="J83" s="1638"/>
      <c r="K83" s="1638"/>
      <c r="L83" s="1638"/>
      <c r="M83" s="1638"/>
      <c r="N83" s="1639"/>
    </row>
    <row r="84" spans="1:14" s="1644" customFormat="1" x14ac:dyDescent="0.2">
      <c r="A84" s="1687">
        <v>2010</v>
      </c>
      <c r="B84" s="1693">
        <v>2536750</v>
      </c>
      <c r="C84" s="1663">
        <v>2616614</v>
      </c>
      <c r="D84" s="1690">
        <f t="shared" si="13"/>
        <v>1.0314828027988567</v>
      </c>
      <c r="E84" s="1638"/>
      <c r="F84" s="1638"/>
      <c r="G84" s="1638"/>
      <c r="H84" s="1638"/>
      <c r="I84" s="1638"/>
      <c r="J84" s="1638"/>
      <c r="K84" s="1638"/>
      <c r="L84" s="1638"/>
      <c r="M84" s="1638"/>
      <c r="N84" s="1639"/>
    </row>
    <row r="85" spans="1:14" s="1644" customFormat="1" x14ac:dyDescent="0.2">
      <c r="A85" s="1687">
        <v>2011</v>
      </c>
      <c r="B85" s="1694">
        <v>2394163</v>
      </c>
      <c r="C85" s="1694">
        <f>G21</f>
        <v>6081081</v>
      </c>
      <c r="D85" s="1690">
        <f t="shared" si="13"/>
        <v>2.5399611471733547</v>
      </c>
      <c r="E85" s="1638"/>
      <c r="F85" s="1638"/>
      <c r="G85" s="1638"/>
      <c r="H85" s="1638"/>
      <c r="I85" s="1638"/>
      <c r="J85" s="1638"/>
      <c r="K85" s="1638"/>
      <c r="L85" s="1638"/>
      <c r="M85" s="1638"/>
      <c r="N85" s="1639"/>
    </row>
    <row r="86" spans="1:14" s="1644" customFormat="1" x14ac:dyDescent="0.2">
      <c r="A86" s="1687" t="s">
        <v>319</v>
      </c>
      <c r="B86" s="1694">
        <v>5920875</v>
      </c>
      <c r="C86" s="1694">
        <f>I21</f>
        <v>2962795</v>
      </c>
      <c r="D86" s="1690">
        <f t="shared" si="13"/>
        <v>0.50039816750058053</v>
      </c>
      <c r="E86" s="1638"/>
      <c r="F86" s="1638"/>
      <c r="G86" s="1638"/>
      <c r="H86" s="1638"/>
      <c r="I86" s="1638"/>
      <c r="J86" s="1638"/>
      <c r="K86" s="1638"/>
      <c r="L86" s="1638"/>
      <c r="M86" s="1638"/>
      <c r="N86" s="1639"/>
    </row>
    <row r="87" spans="1:14" s="1644" customFormat="1" x14ac:dyDescent="0.2">
      <c r="A87" s="1687" t="s">
        <v>318</v>
      </c>
      <c r="B87" s="1694">
        <v>5920875</v>
      </c>
      <c r="C87" s="1695">
        <f>J21</f>
        <v>7724683.0867977357</v>
      </c>
      <c r="D87" s="1690">
        <f t="shared" si="13"/>
        <v>1.3046522831165555</v>
      </c>
      <c r="E87" s="1638"/>
      <c r="F87" s="1638"/>
      <c r="G87" s="1638"/>
      <c r="H87" s="1638"/>
      <c r="I87" s="1638"/>
      <c r="J87" s="1638"/>
      <c r="K87" s="1638"/>
      <c r="L87" s="1638"/>
      <c r="M87" s="1638"/>
      <c r="N87" s="1639"/>
    </row>
    <row r="88" spans="1:14" ht="12" x14ac:dyDescent="0.2">
      <c r="A88" s="1687">
        <v>2013</v>
      </c>
      <c r="B88" s="1694">
        <f>K21</f>
        <v>10221175.610011879</v>
      </c>
      <c r="C88" s="1689" t="s">
        <v>195</v>
      </c>
      <c r="D88" s="1690" t="str">
        <f t="shared" si="13"/>
        <v>-</v>
      </c>
      <c r="E88" s="1638"/>
      <c r="F88" s="1638"/>
      <c r="G88" s="1638"/>
      <c r="H88" s="1638"/>
      <c r="I88" s="1638"/>
      <c r="J88" s="1638"/>
      <c r="K88" s="1638"/>
      <c r="L88" s="1638"/>
      <c r="M88" s="1638"/>
      <c r="N88" s="1639"/>
    </row>
    <row r="89" spans="1:14" ht="12" x14ac:dyDescent="0.2">
      <c r="A89" s="1687">
        <v>2014</v>
      </c>
      <c r="B89" s="1694">
        <f>L21</f>
        <v>10986957.404315496</v>
      </c>
      <c r="C89" s="1689" t="s">
        <v>195</v>
      </c>
      <c r="D89" s="1690" t="str">
        <f t="shared" si="13"/>
        <v>-</v>
      </c>
      <c r="E89" s="1638"/>
      <c r="F89" s="1638"/>
      <c r="G89" s="1638"/>
      <c r="H89" s="1638"/>
      <c r="I89" s="1638"/>
      <c r="J89" s="1638"/>
      <c r="K89" s="1638"/>
      <c r="L89" s="1638"/>
      <c r="M89" s="1638"/>
      <c r="N89" s="1639"/>
    </row>
    <row r="90" spans="1:14" ht="12" x14ac:dyDescent="0.2">
      <c r="A90" s="1687">
        <v>2015</v>
      </c>
      <c r="B90" s="1694">
        <f>M21</f>
        <v>11219457.912346676</v>
      </c>
      <c r="C90" s="1689" t="s">
        <v>195</v>
      </c>
      <c r="D90" s="1690" t="str">
        <f t="shared" si="13"/>
        <v>-</v>
      </c>
      <c r="E90" s="1638"/>
      <c r="F90" s="1638"/>
      <c r="G90" s="1638"/>
      <c r="H90" s="1638"/>
      <c r="I90" s="1638"/>
      <c r="J90" s="1638"/>
      <c r="K90" s="1638"/>
      <c r="L90" s="1638"/>
      <c r="M90" s="1638"/>
      <c r="N90" s="1639"/>
    </row>
    <row r="91" spans="1:14" ht="12" x14ac:dyDescent="0.2">
      <c r="A91" s="1638"/>
      <c r="B91" s="1637"/>
      <c r="C91" s="1638"/>
      <c r="D91" s="1638"/>
      <c r="E91" s="1638"/>
      <c r="F91" s="1638"/>
      <c r="G91" s="1638"/>
      <c r="H91" s="1638"/>
      <c r="I91" s="1638"/>
      <c r="J91" s="1638"/>
      <c r="K91" s="1638"/>
      <c r="L91" s="1638"/>
      <c r="M91" s="1638"/>
      <c r="N91" s="1639"/>
    </row>
    <row r="92" spans="1:14" ht="12" x14ac:dyDescent="0.2">
      <c r="A92" s="1638"/>
      <c r="B92" s="1637"/>
      <c r="C92" s="1638"/>
      <c r="D92" s="1638"/>
      <c r="E92" s="1638"/>
      <c r="F92" s="1638"/>
      <c r="G92" s="1638"/>
      <c r="H92" s="1638"/>
      <c r="I92" s="1638"/>
      <c r="J92" s="1638"/>
      <c r="K92" s="1638"/>
      <c r="L92" s="1638"/>
      <c r="M92" s="1638"/>
      <c r="N92" s="1639"/>
    </row>
    <row r="93" spans="1:14" ht="12" x14ac:dyDescent="0.2">
      <c r="A93" s="1638"/>
      <c r="B93" s="1637"/>
      <c r="C93" s="1638"/>
      <c r="D93" s="1638"/>
      <c r="E93" s="1638"/>
      <c r="F93" s="1638"/>
      <c r="G93" s="1638"/>
      <c r="H93" s="1638"/>
      <c r="I93" s="1638"/>
      <c r="J93" s="1638"/>
      <c r="K93" s="1638"/>
      <c r="L93" s="1638"/>
      <c r="M93" s="1638"/>
      <c r="N93" s="1639"/>
    </row>
    <row r="94" spans="1:14" ht="12" x14ac:dyDescent="0.2">
      <c r="A94" s="1638"/>
      <c r="B94" s="1637"/>
      <c r="C94" s="1638"/>
      <c r="D94" s="1638"/>
      <c r="E94" s="1638"/>
      <c r="F94" s="1638"/>
      <c r="G94" s="1638"/>
      <c r="H94" s="1638"/>
      <c r="I94" s="1638"/>
      <c r="J94" s="1638"/>
      <c r="K94" s="1638"/>
      <c r="L94" s="1638"/>
      <c r="M94" s="1638"/>
      <c r="N94" s="1639"/>
    </row>
    <row r="95" spans="1:14" ht="12" x14ac:dyDescent="0.2">
      <c r="A95" s="1638"/>
      <c r="B95" s="1637"/>
      <c r="C95" s="1638"/>
      <c r="D95" s="1638"/>
      <c r="E95" s="1638"/>
      <c r="F95" s="1638"/>
      <c r="G95" s="1638"/>
      <c r="H95" s="1638"/>
      <c r="I95" s="1638"/>
      <c r="J95" s="1638"/>
      <c r="K95" s="1638"/>
      <c r="L95" s="1638"/>
      <c r="M95" s="1638"/>
      <c r="N95" s="1639"/>
    </row>
    <row r="96" spans="1:14" ht="12" x14ac:dyDescent="0.2">
      <c r="A96" s="1638"/>
      <c r="B96" s="1637"/>
      <c r="C96" s="1638"/>
      <c r="D96" s="1638"/>
      <c r="E96" s="1638"/>
      <c r="F96" s="1638"/>
      <c r="G96" s="1638"/>
      <c r="H96" s="1638"/>
      <c r="I96" s="1638"/>
      <c r="J96" s="1638"/>
      <c r="K96" s="1638"/>
      <c r="L96" s="1638"/>
      <c r="M96" s="1638"/>
      <c r="N96" s="1639"/>
    </row>
    <row r="97" spans="1:14" ht="12" x14ac:dyDescent="0.2">
      <c r="A97" s="1638"/>
      <c r="B97" s="1637"/>
      <c r="C97" s="1638"/>
      <c r="D97" s="1638"/>
      <c r="E97" s="1638"/>
      <c r="F97" s="1638"/>
      <c r="G97" s="1638"/>
      <c r="H97" s="1638"/>
      <c r="I97" s="1638"/>
      <c r="J97" s="1638"/>
      <c r="K97" s="1638"/>
      <c r="L97" s="1638"/>
      <c r="M97" s="1638"/>
      <c r="N97" s="1639"/>
    </row>
  </sheetData>
  <mergeCells count="1">
    <mergeCell ref="A1:N1"/>
  </mergeCells>
  <pageMargins left="0" right="0" top="0.4" bottom="1" header="0.5" footer="0.5"/>
  <pageSetup scale="60" orientation="landscape" r:id="rId1"/>
  <headerFooter alignWithMargins="0">
    <oddFooter>&amp;C&amp;1#&amp;"Calibri"&amp;12&amp;K008000Internal Use</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45">
    <tabColor indexed="11"/>
    <pageSetUpPr fitToPage="1"/>
  </sheetPr>
  <dimension ref="A1:U118"/>
  <sheetViews>
    <sheetView topLeftCell="G1" workbookViewId="0">
      <selection activeCell="J67" sqref="J67"/>
    </sheetView>
  </sheetViews>
  <sheetFormatPr defaultRowHeight="12.75" x14ac:dyDescent="0.2"/>
  <cols>
    <col min="1" max="1" width="39.140625" style="1635" customWidth="1"/>
    <col min="2" max="2" width="11.42578125" style="1635" bestFit="1" customWidth="1"/>
    <col min="3" max="3" width="12.140625" style="1635" bestFit="1" customWidth="1"/>
    <col min="4" max="4" width="11.7109375" style="1635" bestFit="1" customWidth="1"/>
    <col min="5" max="5" width="11.28515625" style="1635" bestFit="1" customWidth="1"/>
    <col min="6" max="6" width="11.28515625" style="1635" customWidth="1"/>
    <col min="7" max="7" width="12.85546875" style="1635" customWidth="1"/>
    <col min="8" max="8" width="12" style="1188" customWidth="1"/>
    <col min="9" max="9" width="13.140625" style="1188" customWidth="1"/>
    <col min="10" max="13" width="12.42578125" style="1635" customWidth="1"/>
    <col min="14" max="14" width="6" style="1635" customWidth="1"/>
    <col min="15" max="15" width="18.85546875" style="1635" customWidth="1"/>
    <col min="16" max="16" width="5.85546875" style="1635" customWidth="1"/>
    <col min="17" max="17" width="11.42578125" style="1635" customWidth="1"/>
    <col min="18" max="18" width="10.7109375" style="1635" customWidth="1"/>
    <col min="19" max="19" width="12.28515625" style="1635" customWidth="1"/>
    <col min="20" max="16384" width="9.140625" style="1635"/>
  </cols>
  <sheetData>
    <row r="1" spans="1:17" ht="15.75" x14ac:dyDescent="0.25">
      <c r="A1" s="2976" t="s">
        <v>48</v>
      </c>
      <c r="B1" s="2976"/>
      <c r="C1" s="2976"/>
      <c r="D1" s="2976"/>
      <c r="E1" s="2976"/>
      <c r="F1" s="2976"/>
      <c r="G1" s="2976"/>
      <c r="H1" s="2976"/>
      <c r="I1" s="2976"/>
      <c r="J1" s="2976"/>
      <c r="K1" s="2976"/>
      <c r="L1" s="2976"/>
      <c r="M1" s="2976"/>
      <c r="N1" s="2976"/>
    </row>
    <row r="2" spans="1:17" x14ac:dyDescent="0.2">
      <c r="A2" s="1699"/>
    </row>
    <row r="3" spans="1:17" ht="15.75" x14ac:dyDescent="0.25">
      <c r="A3" s="1700" t="s">
        <v>160</v>
      </c>
    </row>
    <row r="4" spans="1:17" x14ac:dyDescent="0.2">
      <c r="A4" s="1699"/>
    </row>
    <row r="5" spans="1:17" s="1644" customFormat="1" x14ac:dyDescent="0.2">
      <c r="A5" s="1701"/>
      <c r="H5" s="1702"/>
      <c r="I5" s="1702"/>
    </row>
    <row r="6" spans="1:17"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c r="O6" s="1703"/>
    </row>
    <row r="7" spans="1:17"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row>
    <row r="8" spans="1:17" s="1644" customFormat="1" x14ac:dyDescent="0.2">
      <c r="A8" s="1286"/>
      <c r="H8" s="1705"/>
      <c r="I8" s="1705"/>
    </row>
    <row r="9" spans="1:17" s="1644" customFormat="1" x14ac:dyDescent="0.2">
      <c r="A9" s="1286" t="s">
        <v>53</v>
      </c>
      <c r="B9" s="1706">
        <v>22989</v>
      </c>
      <c r="C9" s="1707">
        <v>47180</v>
      </c>
      <c r="D9" s="1707">
        <v>68131</v>
      </c>
      <c r="E9" s="1707">
        <v>105026.84</v>
      </c>
      <c r="F9" s="1707">
        <v>118080.37</v>
      </c>
      <c r="G9" s="1707">
        <v>145539</v>
      </c>
      <c r="H9" s="1708">
        <v>300000</v>
      </c>
      <c r="I9" s="1708">
        <v>72877</v>
      </c>
      <c r="J9" s="1707">
        <v>128642</v>
      </c>
      <c r="K9" s="1707">
        <v>327150</v>
      </c>
      <c r="L9" s="1707">
        <v>345270</v>
      </c>
      <c r="M9" s="1707">
        <v>367360</v>
      </c>
      <c r="O9" s="1709"/>
      <c r="P9" s="1709"/>
    </row>
    <row r="10" spans="1:17" s="1644" customFormat="1" x14ac:dyDescent="0.2">
      <c r="A10" s="1286" t="s">
        <v>45</v>
      </c>
      <c r="B10" s="1706">
        <v>30474</v>
      </c>
      <c r="C10" s="1707">
        <v>158176</v>
      </c>
      <c r="D10" s="1707">
        <v>276457</v>
      </c>
      <c r="E10" s="1707">
        <v>90936.13</v>
      </c>
      <c r="F10" s="1707">
        <v>252965.29</v>
      </c>
      <c r="G10" s="1707">
        <v>213729</v>
      </c>
      <c r="H10" s="1708">
        <v>156874</v>
      </c>
      <c r="I10" s="1708">
        <v>37411</v>
      </c>
      <c r="J10" s="1707">
        <v>50408</v>
      </c>
      <c r="K10" s="1707">
        <v>145400</v>
      </c>
      <c r="L10" s="1707">
        <v>142170</v>
      </c>
      <c r="M10" s="1707">
        <v>160720.00000000003</v>
      </c>
      <c r="N10" s="1709"/>
      <c r="O10" s="1709"/>
      <c r="P10" s="1709"/>
    </row>
    <row r="11" spans="1:17" s="1644" customFormat="1" x14ac:dyDescent="0.2">
      <c r="A11" s="1286" t="s">
        <v>19</v>
      </c>
      <c r="B11" s="1706">
        <v>424</v>
      </c>
      <c r="C11" s="1707">
        <v>0</v>
      </c>
      <c r="D11" s="1707">
        <v>2137</v>
      </c>
      <c r="E11" s="1707">
        <v>651.27</v>
      </c>
      <c r="F11" s="1707">
        <v>286.06</v>
      </c>
      <c r="G11" s="1707">
        <v>0</v>
      </c>
      <c r="H11" s="1708">
        <v>5000</v>
      </c>
      <c r="I11" s="1708">
        <v>0</v>
      </c>
      <c r="J11" s="1707">
        <v>0</v>
      </c>
      <c r="K11" s="1707">
        <v>1857.2275319413191</v>
      </c>
      <c r="L11" s="1707">
        <v>2118.5244532391584</v>
      </c>
      <c r="M11" s="1707">
        <v>2442.8508426720741</v>
      </c>
    </row>
    <row r="12" spans="1:17" s="1644" customFormat="1" x14ac:dyDescent="0.2">
      <c r="A12" s="1286" t="s">
        <v>2</v>
      </c>
      <c r="B12" s="1706">
        <v>37466</v>
      </c>
      <c r="C12" s="1707">
        <v>293384</v>
      </c>
      <c r="D12" s="1707">
        <v>438638</v>
      </c>
      <c r="E12" s="1707">
        <v>268685.64</v>
      </c>
      <c r="F12" s="1707">
        <v>908397.86</v>
      </c>
      <c r="G12" s="1707">
        <v>793505</v>
      </c>
      <c r="H12" s="1708">
        <v>2611825</v>
      </c>
      <c r="I12" s="1708">
        <v>602008</v>
      </c>
      <c r="J12" s="1707">
        <f>1492130-SUM(,J9,J10,J11,J13,J14)</f>
        <v>1236706</v>
      </c>
      <c r="K12" s="1707">
        <v>3089750</v>
      </c>
      <c r="L12" s="1707">
        <v>3493320</v>
      </c>
      <c r="M12" s="1707">
        <v>3949120</v>
      </c>
      <c r="O12" s="1710"/>
      <c r="P12" s="1709"/>
      <c r="Q12" s="1710"/>
    </row>
    <row r="13" spans="1:17" s="1644" customFormat="1" x14ac:dyDescent="0.2">
      <c r="A13" s="1286" t="s">
        <v>14</v>
      </c>
      <c r="B13" s="1706">
        <v>3173</v>
      </c>
      <c r="C13" s="1707">
        <v>11560</v>
      </c>
      <c r="D13" s="1707">
        <v>9650</v>
      </c>
      <c r="E13" s="1707">
        <v>49382.98</v>
      </c>
      <c r="F13" s="1707">
        <v>25058.3</v>
      </c>
      <c r="G13" s="1707">
        <v>41085</v>
      </c>
      <c r="H13" s="1708">
        <v>20000</v>
      </c>
      <c r="I13" s="1708">
        <v>50084</v>
      </c>
      <c r="J13" s="1707">
        <v>72304</v>
      </c>
      <c r="K13" s="1707">
        <v>62859</v>
      </c>
      <c r="L13" s="1707">
        <v>70014.317812956404</v>
      </c>
      <c r="M13" s="1707">
        <v>101855</v>
      </c>
    </row>
    <row r="14" spans="1:17" s="1644" customFormat="1" ht="15" x14ac:dyDescent="0.35">
      <c r="A14" s="1286" t="s">
        <v>46</v>
      </c>
      <c r="B14" s="1711">
        <v>290</v>
      </c>
      <c r="C14" s="1712">
        <v>101</v>
      </c>
      <c r="D14" s="1712">
        <v>1033</v>
      </c>
      <c r="E14" s="1712">
        <v>1032.8399999999999</v>
      </c>
      <c r="F14" s="1712">
        <v>6678.62</v>
      </c>
      <c r="G14" s="1712">
        <v>3287</v>
      </c>
      <c r="H14" s="1713">
        <v>8160</v>
      </c>
      <c r="I14" s="1713">
        <v>3053</v>
      </c>
      <c r="J14" s="1712">
        <v>4070</v>
      </c>
      <c r="K14" s="1712">
        <v>7984.1153321282491</v>
      </c>
      <c r="L14" s="1712">
        <v>9107.4159076863252</v>
      </c>
      <c r="M14" s="1712">
        <v>10501.676575240848</v>
      </c>
    </row>
    <row r="15" spans="1:17" s="1644" customFormat="1" x14ac:dyDescent="0.2">
      <c r="A15" s="1286" t="s">
        <v>86</v>
      </c>
      <c r="B15" s="1707">
        <f t="shared" ref="B15:M15" si="0">SUM(B9:B14)</f>
        <v>94816</v>
      </c>
      <c r="C15" s="1714">
        <f t="shared" si="0"/>
        <v>510401</v>
      </c>
      <c r="D15" s="1707">
        <f t="shared" si="0"/>
        <v>796046</v>
      </c>
      <c r="E15" s="1707">
        <f t="shared" si="0"/>
        <v>515715.7</v>
      </c>
      <c r="F15" s="1707">
        <f t="shared" si="0"/>
        <v>1311466.5000000002</v>
      </c>
      <c r="G15" s="1707">
        <f t="shared" si="0"/>
        <v>1197145</v>
      </c>
      <c r="H15" s="1715">
        <f t="shared" si="0"/>
        <v>3101859</v>
      </c>
      <c r="I15" s="1716">
        <f t="shared" si="0"/>
        <v>765433</v>
      </c>
      <c r="J15" s="1717">
        <f t="shared" si="0"/>
        <v>1492130</v>
      </c>
      <c r="K15" s="1717">
        <f t="shared" si="0"/>
        <v>3635000.3428640696</v>
      </c>
      <c r="L15" s="1717">
        <f t="shared" si="0"/>
        <v>4062000.2581738816</v>
      </c>
      <c r="M15" s="1717">
        <f t="shared" si="0"/>
        <v>4591999.5274179131</v>
      </c>
      <c r="N15" s="1703" t="s">
        <v>201</v>
      </c>
    </row>
    <row r="16" spans="1:17" s="1644" customFormat="1" x14ac:dyDescent="0.2">
      <c r="A16" s="1286"/>
      <c r="B16" s="1718"/>
      <c r="C16" s="1719"/>
      <c r="D16" s="1720"/>
      <c r="H16" s="1721"/>
      <c r="I16" s="1721"/>
    </row>
    <row r="17" spans="1:21" s="1644" customFormat="1" ht="15" x14ac:dyDescent="0.35">
      <c r="A17" s="1722"/>
      <c r="C17" s="1723"/>
      <c r="D17" s="1723"/>
      <c r="N17" s="1724"/>
    </row>
    <row r="18" spans="1:21" s="1644" customFormat="1" ht="24" x14ac:dyDescent="0.2">
      <c r="A18" s="1704" t="s">
        <v>83</v>
      </c>
      <c r="B18" s="1658" t="s">
        <v>192</v>
      </c>
      <c r="C18" s="1658" t="s">
        <v>176</v>
      </c>
      <c r="D18" s="1658" t="s">
        <v>208</v>
      </c>
      <c r="E18" s="1658" t="s">
        <v>218</v>
      </c>
      <c r="F18" s="1658" t="s">
        <v>257</v>
      </c>
      <c r="G18" s="1658" t="s">
        <v>321</v>
      </c>
      <c r="H18" s="1658" t="s">
        <v>445</v>
      </c>
      <c r="I18" s="1658" t="s">
        <v>317</v>
      </c>
      <c r="J18" s="1658" t="s">
        <v>323</v>
      </c>
      <c r="K18" s="1658" t="s">
        <v>447</v>
      </c>
      <c r="L18" s="1658" t="s">
        <v>448</v>
      </c>
      <c r="M18" s="1658" t="s">
        <v>449</v>
      </c>
      <c r="N18" s="1703"/>
      <c r="O18" s="1286"/>
      <c r="P18" s="1286"/>
      <c r="Q18" s="1286"/>
      <c r="R18" s="1286"/>
      <c r="S18" s="1286"/>
      <c r="T18" s="1286"/>
      <c r="U18" s="1286"/>
    </row>
    <row r="19" spans="1:21" s="1644" customFormat="1" x14ac:dyDescent="0.2">
      <c r="H19" s="1709"/>
      <c r="N19" s="1703"/>
      <c r="O19" s="1725"/>
      <c r="P19" s="1725"/>
      <c r="Q19" s="1229"/>
      <c r="R19" s="1229"/>
      <c r="S19" s="1229"/>
      <c r="T19" s="1286"/>
      <c r="U19" s="1286"/>
    </row>
    <row r="20" spans="1:21" s="1644" customFormat="1" x14ac:dyDescent="0.2">
      <c r="A20" s="1644" t="s">
        <v>49</v>
      </c>
      <c r="B20" s="1726">
        <v>11295</v>
      </c>
      <c r="C20" s="1726">
        <v>86333</v>
      </c>
      <c r="D20" s="1727">
        <v>98698</v>
      </c>
      <c r="E20" s="1727">
        <v>55728</v>
      </c>
      <c r="F20" s="1727">
        <v>222581</v>
      </c>
      <c r="G20" s="1727">
        <v>172026</v>
      </c>
      <c r="H20" s="1726">
        <v>490733</v>
      </c>
      <c r="I20" s="1726">
        <v>137248</v>
      </c>
      <c r="J20" s="1665">
        <f>I20/I15*J15</f>
        <v>267550.33848814986</v>
      </c>
      <c r="K20" s="1727">
        <v>537602.68820395495</v>
      </c>
      <c r="L20" s="1727">
        <v>613332.99121519877</v>
      </c>
      <c r="M20" s="1727">
        <v>714166.28874890122</v>
      </c>
      <c r="N20" s="1703" t="s">
        <v>64</v>
      </c>
      <c r="O20" s="1725"/>
      <c r="P20" s="1725"/>
      <c r="Q20" s="1728"/>
      <c r="R20" s="1728"/>
      <c r="S20" s="1728"/>
      <c r="T20" s="1286"/>
      <c r="U20" s="1286"/>
    </row>
    <row r="21" spans="1:21" s="1644" customFormat="1" x14ac:dyDescent="0.2">
      <c r="A21" s="1644" t="s">
        <v>50</v>
      </c>
      <c r="B21" s="1726">
        <v>213599</v>
      </c>
      <c r="C21" s="1726">
        <v>1324880</v>
      </c>
      <c r="D21" s="1727">
        <v>1770065</v>
      </c>
      <c r="E21" s="1727">
        <v>1172933</v>
      </c>
      <c r="F21" s="1727">
        <v>4768051</v>
      </c>
      <c r="G21" s="1727">
        <v>3118836</v>
      </c>
      <c r="H21" s="1726">
        <v>8975876</v>
      </c>
      <c r="I21" s="1726">
        <v>2325369</v>
      </c>
      <c r="J21" s="1665">
        <f>I21/I15*J15</f>
        <v>4533058.8646818204</v>
      </c>
      <c r="K21" s="1727">
        <v>10763827.541621631</v>
      </c>
      <c r="L21" s="1727">
        <v>12408233.530521275</v>
      </c>
      <c r="M21" s="1727">
        <v>14602820.149593182</v>
      </c>
      <c r="N21" s="1703" t="s">
        <v>10</v>
      </c>
      <c r="O21" s="1229"/>
      <c r="P21" s="1674"/>
      <c r="Q21" s="1675"/>
      <c r="R21" s="1675"/>
      <c r="S21" s="1675"/>
      <c r="T21" s="1286"/>
      <c r="U21" s="1286"/>
    </row>
    <row r="22" spans="1:21" s="1644" customFormat="1" x14ac:dyDescent="0.2">
      <c r="C22" s="1729" t="s">
        <v>3</v>
      </c>
      <c r="I22" s="1730"/>
      <c r="N22" s="1703"/>
      <c r="O22" s="1229"/>
      <c r="P22" s="1674"/>
      <c r="Q22" s="1678"/>
      <c r="R22" s="1678"/>
      <c r="S22" s="1678"/>
      <c r="T22" s="1286"/>
      <c r="U22" s="1286"/>
    </row>
    <row r="23" spans="1:21" s="1644" customFormat="1" x14ac:dyDescent="0.2">
      <c r="A23" s="1644" t="s">
        <v>51</v>
      </c>
      <c r="B23" s="1731">
        <f t="shared" ref="B23:J23" si="1">SUM(B15/B20)</f>
        <v>8.3945108455068613</v>
      </c>
      <c r="C23" s="1731">
        <f t="shared" si="1"/>
        <v>5.9120035212491171</v>
      </c>
      <c r="D23" s="1731">
        <f t="shared" si="1"/>
        <v>8.0654724513161362</v>
      </c>
      <c r="E23" s="1731">
        <f t="shared" si="1"/>
        <v>9.2541576945162216</v>
      </c>
      <c r="F23" s="1731">
        <f t="shared" si="1"/>
        <v>5.8920864763838789</v>
      </c>
      <c r="G23" s="1731">
        <f t="shared" si="1"/>
        <v>6.9590933928592191</v>
      </c>
      <c r="H23" s="1731">
        <f t="shared" si="1"/>
        <v>6.3208689857824929</v>
      </c>
      <c r="I23" s="1731">
        <f t="shared" si="1"/>
        <v>5.5770065866169274</v>
      </c>
      <c r="J23" s="1731">
        <f t="shared" si="1"/>
        <v>5.5770065866169265</v>
      </c>
      <c r="K23" s="1731">
        <f>SUM(K15/K20)</f>
        <v>6.7614995658002144</v>
      </c>
      <c r="L23" s="1731">
        <f>SUM(L15/L20)</f>
        <v>6.6228302021155363</v>
      </c>
      <c r="M23" s="1731">
        <f>SUM(M15/M20)</f>
        <v>6.4298743860653529</v>
      </c>
      <c r="N23" s="1703" t="s">
        <v>65</v>
      </c>
      <c r="O23" s="1229"/>
      <c r="P23" s="1674"/>
      <c r="Q23" s="1678"/>
      <c r="R23" s="1678"/>
      <c r="S23" s="1678"/>
      <c r="T23" s="1286"/>
      <c r="U23" s="1286"/>
    </row>
    <row r="24" spans="1:21" s="1644" customFormat="1" x14ac:dyDescent="0.2">
      <c r="A24" s="1644" t="s">
        <v>52</v>
      </c>
      <c r="B24" s="1731">
        <f t="shared" ref="B24:J24" si="2">SUM(B15/B21)</f>
        <v>0.44389720925659765</v>
      </c>
      <c r="C24" s="1731">
        <f t="shared" si="2"/>
        <v>0.38524319183624178</v>
      </c>
      <c r="D24" s="1731">
        <f t="shared" si="2"/>
        <v>0.44972698742701539</v>
      </c>
      <c r="E24" s="1731">
        <f t="shared" si="2"/>
        <v>0.43968044210538881</v>
      </c>
      <c r="F24" s="1731">
        <f t="shared" si="2"/>
        <v>0.27505295140509201</v>
      </c>
      <c r="G24" s="1731">
        <f t="shared" si="2"/>
        <v>0.38384352367357566</v>
      </c>
      <c r="H24" s="1731">
        <f t="shared" si="2"/>
        <v>0.34557730075593734</v>
      </c>
      <c r="I24" s="1731">
        <f t="shared" si="2"/>
        <v>0.32916625275386402</v>
      </c>
      <c r="J24" s="1731">
        <f t="shared" si="2"/>
        <v>0.32916625275386402</v>
      </c>
      <c r="K24" s="1731">
        <f>SUM(K15/K21)</f>
        <v>0.3377051823627078</v>
      </c>
      <c r="L24" s="1731">
        <f>SUM(L15/L21)</f>
        <v>0.32736329858576052</v>
      </c>
      <c r="M24" s="1731">
        <f>SUM(M15/M21)</f>
        <v>0.31445977423380378</v>
      </c>
      <c r="N24" s="1703" t="s">
        <v>66</v>
      </c>
      <c r="O24" s="1229"/>
      <c r="P24" s="1674"/>
      <c r="Q24" s="1682"/>
      <c r="R24" s="1682"/>
      <c r="S24" s="1682"/>
      <c r="T24" s="1286"/>
      <c r="U24" s="1286"/>
    </row>
    <row r="25" spans="1:21" s="1644" customFormat="1" x14ac:dyDescent="0.2">
      <c r="C25" s="1729"/>
      <c r="N25" s="1703"/>
      <c r="O25" s="1229"/>
      <c r="P25" s="1674"/>
      <c r="Q25" s="1675"/>
      <c r="R25" s="1675"/>
      <c r="S25" s="1675"/>
      <c r="T25" s="1286"/>
      <c r="U25" s="1286"/>
    </row>
    <row r="26" spans="1:21" s="1644" customFormat="1" x14ac:dyDescent="0.2">
      <c r="A26" s="1644" t="s">
        <v>84</v>
      </c>
      <c r="B26" s="1707">
        <v>157867</v>
      </c>
      <c r="C26" s="1714">
        <f>1136365/1551974*1324880</f>
        <v>970085.36302798893</v>
      </c>
      <c r="D26" s="1714">
        <v>1448317</v>
      </c>
      <c r="E26" s="1714">
        <v>1054774.7151900113</v>
      </c>
      <c r="F26" s="1714">
        <v>5126127.1638686769</v>
      </c>
      <c r="G26" s="1714">
        <v>3890819</v>
      </c>
      <c r="H26" s="1714">
        <v>4579972</v>
      </c>
      <c r="I26" s="1714">
        <f>H26/H21*I21</f>
        <v>1186527.6335889669</v>
      </c>
      <c r="J26" s="1714">
        <f>H26*H21/J21</f>
        <v>9068768.3488437328</v>
      </c>
      <c r="K26" s="1714">
        <v>5770938.1833849354</v>
      </c>
      <c r="L26" s="1714">
        <v>6905459.0893813018</v>
      </c>
      <c r="M26" s="1714">
        <v>8408768.5837615672</v>
      </c>
      <c r="N26" s="1703" t="s">
        <v>67</v>
      </c>
      <c r="O26" s="1229"/>
      <c r="P26" s="1674"/>
      <c r="Q26" s="1674"/>
      <c r="R26" s="1674"/>
      <c r="S26" s="1674"/>
      <c r="T26" s="1286"/>
      <c r="U26" s="1286"/>
    </row>
    <row r="27" spans="1:21" s="1644" customFormat="1" x14ac:dyDescent="0.2">
      <c r="A27" s="1644" t="s">
        <v>85</v>
      </c>
      <c r="B27" s="1732">
        <f t="shared" ref="B27:J27" si="3">SUM(B26/B15)</f>
        <v>1.6649827033412081</v>
      </c>
      <c r="C27" s="1732">
        <f t="shared" si="3"/>
        <v>1.900633742935435</v>
      </c>
      <c r="D27" s="1732">
        <f t="shared" si="3"/>
        <v>1.8193885780469974</v>
      </c>
      <c r="E27" s="1732">
        <f t="shared" si="3"/>
        <v>2.0452639219438371</v>
      </c>
      <c r="F27" s="1732">
        <f t="shared" si="3"/>
        <v>3.9086985171704165</v>
      </c>
      <c r="G27" s="1732">
        <f t="shared" si="3"/>
        <v>3.2500816525984737</v>
      </c>
      <c r="H27" s="1732">
        <f t="shared" si="3"/>
        <v>1.4765248839486256</v>
      </c>
      <c r="I27" s="1732">
        <f t="shared" si="3"/>
        <v>1.5501391154927562</v>
      </c>
      <c r="J27" s="1732">
        <f t="shared" si="3"/>
        <v>6.0777334071721185</v>
      </c>
      <c r="K27" s="1732">
        <f>SUM(K26/K15)</f>
        <v>1.5876032019402588</v>
      </c>
      <c r="L27" s="1732">
        <f>SUM(L26/L15)</f>
        <v>1.7000144388188023</v>
      </c>
      <c r="M27" s="1732">
        <f>SUM(M26/M15)</f>
        <v>1.8311780159284616</v>
      </c>
      <c r="N27" s="1703" t="s">
        <v>68</v>
      </c>
      <c r="O27" s="1229"/>
      <c r="P27" s="1674"/>
      <c r="Q27" s="1678"/>
      <c r="R27" s="1674"/>
      <c r="S27" s="1678"/>
      <c r="T27" s="1286"/>
      <c r="U27" s="1286"/>
    </row>
    <row r="28" spans="1:21" s="1644" customFormat="1" x14ac:dyDescent="0.2">
      <c r="A28" s="1644" t="s">
        <v>63</v>
      </c>
      <c r="B28" s="1644">
        <v>393</v>
      </c>
      <c r="C28" s="1727">
        <v>1351</v>
      </c>
      <c r="D28" s="1727">
        <v>1824</v>
      </c>
      <c r="E28" s="1733">
        <v>798</v>
      </c>
      <c r="F28" s="1733">
        <v>2768</v>
      </c>
      <c r="G28" s="1733">
        <v>1811</v>
      </c>
      <c r="H28" s="1733">
        <v>4682</v>
      </c>
      <c r="I28" s="1726">
        <v>1993</v>
      </c>
      <c r="J28" s="1665">
        <f>I28/I15*J15</f>
        <v>3885.1409463663053</v>
      </c>
      <c r="K28" s="1727">
        <v>4986</v>
      </c>
      <c r="L28" s="1727">
        <v>5333</v>
      </c>
      <c r="M28" s="1727">
        <v>5816</v>
      </c>
      <c r="N28" s="1703" t="s">
        <v>69</v>
      </c>
      <c r="O28" s="1229"/>
      <c r="P28" s="1674"/>
      <c r="Q28" s="1678"/>
      <c r="R28" s="1678"/>
      <c r="S28" s="1678"/>
      <c r="T28" s="1286"/>
      <c r="U28" s="1286"/>
    </row>
    <row r="29" spans="1:21" s="1644" customFormat="1" x14ac:dyDescent="0.2">
      <c r="A29" s="1644" t="s">
        <v>74</v>
      </c>
      <c r="B29" s="1726">
        <f t="shared" ref="B29:J29" si="4">SUM(B21/B28)</f>
        <v>543.50890585241734</v>
      </c>
      <c r="C29" s="1726">
        <f t="shared" si="4"/>
        <v>980.66617320503326</v>
      </c>
      <c r="D29" s="1726">
        <f t="shared" si="4"/>
        <v>970.43037280701753</v>
      </c>
      <c r="E29" s="1734">
        <f t="shared" si="4"/>
        <v>1469.8408521303259</v>
      </c>
      <c r="F29" s="1734">
        <f t="shared" si="4"/>
        <v>1722.5617774566474</v>
      </c>
      <c r="G29" s="1734">
        <f t="shared" si="4"/>
        <v>1722.1623412479294</v>
      </c>
      <c r="H29" s="1734">
        <f t="shared" si="4"/>
        <v>1917.1029474583511</v>
      </c>
      <c r="I29" s="1734">
        <v>1993</v>
      </c>
      <c r="J29" s="1734">
        <f t="shared" si="4"/>
        <v>1166.7681886603109</v>
      </c>
      <c r="K29" s="1734">
        <f>SUM(K21/K28)</f>
        <v>2158.8101768194206</v>
      </c>
      <c r="L29" s="1734">
        <f>SUM(L21/L28)</f>
        <v>2326.6892050480546</v>
      </c>
      <c r="M29" s="1734">
        <f>SUM(M21/M28)</f>
        <v>2510.80126368521</v>
      </c>
      <c r="N29" s="1703" t="s">
        <v>70</v>
      </c>
      <c r="O29" s="1229"/>
      <c r="P29" s="1674"/>
      <c r="Q29" s="1675"/>
      <c r="R29" s="1675"/>
      <c r="S29" s="1675"/>
      <c r="T29" s="1286"/>
      <c r="U29" s="1286"/>
    </row>
    <row r="30" spans="1:21" s="1644" customFormat="1" x14ac:dyDescent="0.2">
      <c r="A30" s="1644" t="s">
        <v>71</v>
      </c>
      <c r="B30" s="1714">
        <f t="shared" ref="B30:J30" si="5">SUM(B15/B28)</f>
        <v>241.26208651399492</v>
      </c>
      <c r="C30" s="1714">
        <f t="shared" si="5"/>
        <v>377.79496669133977</v>
      </c>
      <c r="D30" s="1714">
        <f t="shared" si="5"/>
        <v>436.42872807017545</v>
      </c>
      <c r="E30" s="1714">
        <f t="shared" si="5"/>
        <v>646.26027568922302</v>
      </c>
      <c r="F30" s="1714">
        <f t="shared" si="5"/>
        <v>473.79570086705212</v>
      </c>
      <c r="G30" s="1714">
        <f t="shared" si="5"/>
        <v>661.04086140254003</v>
      </c>
      <c r="H30" s="1714">
        <f t="shared" si="5"/>
        <v>662.50726185390863</v>
      </c>
      <c r="I30" s="1714">
        <f t="shared" si="5"/>
        <v>384.06071249372803</v>
      </c>
      <c r="J30" s="1714">
        <f t="shared" si="5"/>
        <v>384.06071249372803</v>
      </c>
      <c r="K30" s="1714">
        <f>SUM(K15/K28)</f>
        <v>729.04138444927185</v>
      </c>
      <c r="L30" s="1714">
        <f>SUM(L15/L28)</f>
        <v>761.67265294841206</v>
      </c>
      <c r="M30" s="1714">
        <f>SUM(M15/M28)</f>
        <v>789.54599852440049</v>
      </c>
      <c r="N30" s="1703" t="s">
        <v>72</v>
      </c>
      <c r="O30" s="1229"/>
      <c r="P30" s="1674"/>
      <c r="Q30" s="1675"/>
      <c r="R30" s="1675"/>
      <c r="S30" s="1675"/>
      <c r="T30" s="1286"/>
      <c r="U30" s="1286"/>
    </row>
    <row r="31" spans="1:21" s="1644" customFormat="1" x14ac:dyDescent="0.2">
      <c r="A31" s="1644" t="s">
        <v>62</v>
      </c>
      <c r="B31" s="1714">
        <f t="shared" ref="B31:J31" si="6">SUM(B26/B28)</f>
        <v>401.69720101781172</v>
      </c>
      <c r="C31" s="1714">
        <f t="shared" si="6"/>
        <v>718.04986160472902</v>
      </c>
      <c r="D31" s="1714">
        <f t="shared" si="6"/>
        <v>794.03344298245611</v>
      </c>
      <c r="E31" s="1714">
        <f t="shared" si="6"/>
        <v>1321.7728260526458</v>
      </c>
      <c r="F31" s="1714">
        <f t="shared" si="6"/>
        <v>1851.9245534207648</v>
      </c>
      <c r="G31" s="1714">
        <f t="shared" si="6"/>
        <v>2148.4367752622861</v>
      </c>
      <c r="H31" s="1714">
        <f t="shared" si="6"/>
        <v>978.20845792396415</v>
      </c>
      <c r="I31" s="1714">
        <f t="shared" si="6"/>
        <v>595.34753316054537</v>
      </c>
      <c r="J31" s="1714">
        <f t="shared" si="6"/>
        <v>2334.2186227054572</v>
      </c>
      <c r="K31" s="1714">
        <f>SUM(K26/K28)</f>
        <v>1157.4284362986232</v>
      </c>
      <c r="L31" s="1714">
        <f>SUM(L26/L28)</f>
        <v>1294.8545076657233</v>
      </c>
      <c r="M31" s="1714">
        <f>SUM(M26/M28)</f>
        <v>1445.7992750621677</v>
      </c>
      <c r="N31" s="1703" t="s">
        <v>73</v>
      </c>
      <c r="O31" s="1286"/>
      <c r="P31" s="1286"/>
      <c r="Q31" s="1286"/>
      <c r="R31" s="1286"/>
      <c r="S31" s="1286"/>
      <c r="T31" s="1286"/>
      <c r="U31" s="1286"/>
    </row>
    <row r="32" spans="1:21" s="1644" customFormat="1" ht="13.5" x14ac:dyDescent="0.2">
      <c r="A32" s="1638" t="s">
        <v>450</v>
      </c>
      <c r="B32" s="1683">
        <f t="shared" ref="B32:K32" si="7">B12/B21</f>
        <v>0.17540344290001358</v>
      </c>
      <c r="C32" s="1683">
        <f t="shared" si="7"/>
        <v>0.22144194191172031</v>
      </c>
      <c r="D32" s="1683">
        <f t="shared" si="7"/>
        <v>0.2478089787663165</v>
      </c>
      <c r="E32" s="1683">
        <f t="shared" si="7"/>
        <v>0.22907160085017644</v>
      </c>
      <c r="F32" s="1683">
        <f t="shared" si="7"/>
        <v>0.19051764756710865</v>
      </c>
      <c r="G32" s="1683">
        <f t="shared" si="7"/>
        <v>0.25442344515710347</v>
      </c>
      <c r="H32" s="1683">
        <f t="shared" si="7"/>
        <v>0.29098274084891546</v>
      </c>
      <c r="I32" s="1683">
        <f t="shared" si="7"/>
        <v>0.25888708415739609</v>
      </c>
      <c r="J32" s="1683">
        <f t="shared" si="7"/>
        <v>0.27281931184160907</v>
      </c>
      <c r="K32" s="1683">
        <f t="shared" si="7"/>
        <v>0.28704937793294594</v>
      </c>
      <c r="L32" s="1683">
        <f>L12/L21</f>
        <v>0.28153241889002745</v>
      </c>
      <c r="M32" s="1683">
        <f>M12/M21</f>
        <v>0.27043543367272233</v>
      </c>
      <c r="N32" s="1639" t="s">
        <v>451</v>
      </c>
      <c r="O32" s="1229"/>
      <c r="P32" s="1674"/>
      <c r="Q32" s="1674"/>
      <c r="R32" s="1674"/>
      <c r="S32" s="1674"/>
      <c r="T32" s="1286"/>
    </row>
    <row r="33" spans="1:20" s="1644" customFormat="1" ht="13.5" x14ac:dyDescent="0.2">
      <c r="A33" s="1638" t="s">
        <v>452</v>
      </c>
      <c r="B33" s="1683">
        <f t="shared" ref="B33:K33" si="8">B13/B21</f>
        <v>1.4854938459449716E-2</v>
      </c>
      <c r="C33" s="1683">
        <f t="shared" si="8"/>
        <v>8.7253185194130795E-3</v>
      </c>
      <c r="D33" s="1683">
        <f t="shared" si="8"/>
        <v>5.4517771946227967E-3</v>
      </c>
      <c r="E33" s="1683">
        <f t="shared" si="8"/>
        <v>4.2102132005834951E-2</v>
      </c>
      <c r="F33" s="1683">
        <f t="shared" si="8"/>
        <v>5.2554597255775994E-3</v>
      </c>
      <c r="G33" s="1683">
        <f t="shared" si="8"/>
        <v>1.3173183841664006E-2</v>
      </c>
      <c r="H33" s="1683">
        <f t="shared" si="8"/>
        <v>2.2281947745267424E-3</v>
      </c>
      <c r="I33" s="1683">
        <f t="shared" si="8"/>
        <v>2.1538087073492421E-2</v>
      </c>
      <c r="J33" s="1683">
        <f t="shared" si="8"/>
        <v>1.595037747321975E-2</v>
      </c>
      <c r="K33" s="1683">
        <f t="shared" si="8"/>
        <v>5.8398371542963184E-3</v>
      </c>
      <c r="L33" s="1683">
        <f>L13/L21</f>
        <v>5.6425693182464683E-3</v>
      </c>
      <c r="M33" s="1683">
        <f>M13/M21</f>
        <v>6.9750225611617603E-3</v>
      </c>
      <c r="N33" s="1639" t="s">
        <v>453</v>
      </c>
      <c r="O33" s="1229"/>
      <c r="P33" s="1674"/>
      <c r="Q33" s="1674"/>
      <c r="R33" s="1674"/>
      <c r="S33" s="1674"/>
      <c r="T33" s="1286"/>
    </row>
    <row r="34" spans="1:20" s="1644" customFormat="1" x14ac:dyDescent="0.2">
      <c r="A34" s="1704"/>
      <c r="B34" s="1735"/>
      <c r="C34" s="1736"/>
      <c r="D34" s="1736"/>
      <c r="H34" s="1737"/>
      <c r="I34" s="1737"/>
      <c r="J34" s="1703"/>
      <c r="K34" s="1703"/>
      <c r="L34" s="1703"/>
      <c r="M34" s="1703"/>
      <c r="N34" s="1229"/>
      <c r="O34" s="1674"/>
      <c r="P34" s="1675"/>
      <c r="Q34" s="1675"/>
      <c r="R34" s="1675"/>
      <c r="S34" s="1286"/>
    </row>
    <row r="35" spans="1:20" s="1644" customFormat="1" x14ac:dyDescent="0.2">
      <c r="A35" s="1738" t="s">
        <v>194</v>
      </c>
      <c r="B35" s="1739"/>
      <c r="C35" s="1286"/>
      <c r="J35" s="1703"/>
      <c r="K35" s="1703"/>
      <c r="L35" s="1703"/>
      <c r="M35" s="1703"/>
      <c r="N35" s="1229"/>
      <c r="O35" s="1674"/>
      <c r="P35" s="1675"/>
      <c r="Q35" s="1675"/>
      <c r="R35" s="1675"/>
      <c r="S35" s="1286"/>
    </row>
    <row r="36" spans="1:20" s="1644" customFormat="1" x14ac:dyDescent="0.2">
      <c r="A36" s="1687" t="s">
        <v>185</v>
      </c>
      <c r="B36" s="1736" t="s">
        <v>1</v>
      </c>
      <c r="C36" s="1736" t="s">
        <v>186</v>
      </c>
      <c r="D36" s="1736" t="s">
        <v>18</v>
      </c>
      <c r="J36" s="1703"/>
      <c r="K36" s="1703"/>
      <c r="L36" s="1703"/>
      <c r="M36" s="1703"/>
    </row>
    <row r="37" spans="1:20" s="1644" customFormat="1" x14ac:dyDescent="0.2">
      <c r="A37" s="1687">
        <v>2006</v>
      </c>
      <c r="B37" s="1740">
        <v>599097</v>
      </c>
      <c r="C37" s="1740">
        <f>B15</f>
        <v>94816</v>
      </c>
      <c r="D37" s="1741">
        <f t="shared" ref="D37:D45" si="9">IF(ISERROR(C37/B37),"-",(C37/B37))</f>
        <v>0.15826485527385381</v>
      </c>
      <c r="J37" s="1703"/>
      <c r="K37" s="1703"/>
      <c r="L37" s="1703"/>
      <c r="M37" s="1703"/>
    </row>
    <row r="38" spans="1:20" s="1644" customFormat="1" x14ac:dyDescent="0.2">
      <c r="A38" s="1687">
        <v>2007</v>
      </c>
      <c r="B38" s="1740">
        <v>600000</v>
      </c>
      <c r="C38" s="1740">
        <f>C15</f>
        <v>510401</v>
      </c>
      <c r="D38" s="1741">
        <f t="shared" si="9"/>
        <v>0.85066833333333336</v>
      </c>
      <c r="J38" s="1703"/>
      <c r="K38" s="1703"/>
      <c r="L38" s="1703"/>
      <c r="M38" s="1703"/>
    </row>
    <row r="39" spans="1:20" s="1644" customFormat="1" x14ac:dyDescent="0.2">
      <c r="A39" s="1687">
        <v>2008</v>
      </c>
      <c r="B39" s="1740">
        <v>600000</v>
      </c>
      <c r="C39" s="1740">
        <v>796046</v>
      </c>
      <c r="D39" s="1741">
        <f t="shared" si="9"/>
        <v>1.3267433333333334</v>
      </c>
      <c r="J39" s="1703"/>
      <c r="K39" s="1703"/>
      <c r="L39" s="1703"/>
      <c r="M39" s="1703"/>
    </row>
    <row r="40" spans="1:20" s="1644" customFormat="1" x14ac:dyDescent="0.2">
      <c r="A40" s="1687">
        <v>2009</v>
      </c>
      <c r="B40" s="1740">
        <v>1000000</v>
      </c>
      <c r="C40" s="1740">
        <v>515716</v>
      </c>
      <c r="D40" s="1741">
        <f t="shared" si="9"/>
        <v>0.51571599999999995</v>
      </c>
      <c r="J40" s="1703"/>
      <c r="K40" s="1703"/>
      <c r="L40" s="1703"/>
      <c r="M40" s="1703"/>
    </row>
    <row r="41" spans="1:20" s="1644" customFormat="1" x14ac:dyDescent="0.2">
      <c r="A41" s="1687">
        <v>2010</v>
      </c>
      <c r="B41" s="1740">
        <v>1110652</v>
      </c>
      <c r="C41" s="1740">
        <v>1311466.5</v>
      </c>
      <c r="D41" s="1741">
        <f t="shared" si="9"/>
        <v>1.1808077597663353</v>
      </c>
      <c r="J41" s="1703"/>
      <c r="K41" s="1703"/>
      <c r="L41" s="1703"/>
      <c r="M41" s="1703"/>
    </row>
    <row r="42" spans="1:20" s="1644" customFormat="1" x14ac:dyDescent="0.2">
      <c r="A42" s="1687">
        <v>2011</v>
      </c>
      <c r="B42" s="1740">
        <v>1600000</v>
      </c>
      <c r="C42" s="1740">
        <f>G15</f>
        <v>1197145</v>
      </c>
      <c r="D42" s="1741">
        <f t="shared" si="9"/>
        <v>0.74821562500000005</v>
      </c>
      <c r="J42" s="1703"/>
      <c r="K42" s="1703"/>
      <c r="L42" s="1703"/>
      <c r="M42" s="1703"/>
    </row>
    <row r="43" spans="1:20" s="1644" customFormat="1" x14ac:dyDescent="0.2">
      <c r="A43" s="1687" t="s">
        <v>319</v>
      </c>
      <c r="B43" s="1740">
        <f>H15</f>
        <v>3101859</v>
      </c>
      <c r="C43" s="1740">
        <f>I15</f>
        <v>765433</v>
      </c>
      <c r="D43" s="1741">
        <f t="shared" si="9"/>
        <v>0.24676589103502125</v>
      </c>
      <c r="J43" s="1703"/>
      <c r="K43" s="1703"/>
      <c r="L43" s="1703"/>
      <c r="M43" s="1703"/>
    </row>
    <row r="44" spans="1:20" s="1644" customFormat="1" x14ac:dyDescent="0.2">
      <c r="A44" s="1687" t="s">
        <v>318</v>
      </c>
      <c r="B44" s="1740">
        <f>H15</f>
        <v>3101859</v>
      </c>
      <c r="C44" s="1740">
        <f>J15</f>
        <v>1492130</v>
      </c>
      <c r="D44" s="1741">
        <f t="shared" si="9"/>
        <v>0.48104378696775063</v>
      </c>
      <c r="J44" s="1703"/>
      <c r="K44" s="1703"/>
      <c r="L44" s="1703"/>
      <c r="M44" s="1703"/>
    </row>
    <row r="45" spans="1:20" s="1644" customFormat="1" x14ac:dyDescent="0.2">
      <c r="A45" s="1687">
        <v>2013</v>
      </c>
      <c r="B45" s="1740">
        <f>K15</f>
        <v>3635000.3428640696</v>
      </c>
      <c r="C45" s="1740" t="s">
        <v>187</v>
      </c>
      <c r="D45" s="1741" t="str">
        <f t="shared" si="9"/>
        <v>-</v>
      </c>
      <c r="J45" s="1703"/>
      <c r="K45" s="1703"/>
      <c r="L45" s="1703"/>
      <c r="M45" s="1703"/>
    </row>
    <row r="46" spans="1:20" s="1644" customFormat="1" x14ac:dyDescent="0.2">
      <c r="A46" s="1687">
        <v>2014</v>
      </c>
      <c r="B46" s="1740">
        <f>L15</f>
        <v>4062000.2581738816</v>
      </c>
      <c r="C46" s="1740" t="s">
        <v>187</v>
      </c>
      <c r="D46" s="1741" t="str">
        <f>IF(ISERROR(C46/B46),"-",(C46/B46))</f>
        <v>-</v>
      </c>
      <c r="J46" s="1703"/>
      <c r="K46" s="1703"/>
      <c r="L46" s="1703"/>
      <c r="M46" s="1703"/>
    </row>
    <row r="47" spans="1:20" s="1644" customFormat="1" x14ac:dyDescent="0.2">
      <c r="A47" s="1687">
        <v>2015</v>
      </c>
      <c r="B47" s="1740">
        <f>M15</f>
        <v>4591999.5274179131</v>
      </c>
      <c r="C47" s="1740" t="s">
        <v>187</v>
      </c>
      <c r="D47" s="1741" t="str">
        <f>IF(ISERROR(C47/B47),"-",(C47/B47))</f>
        <v>-</v>
      </c>
      <c r="J47" s="1703"/>
      <c r="K47" s="1703"/>
      <c r="L47" s="1703"/>
      <c r="M47" s="1703"/>
    </row>
    <row r="48" spans="1:20" s="1644" customFormat="1" x14ac:dyDescent="0.2">
      <c r="A48" s="1742"/>
      <c r="B48" s="1740"/>
      <c r="C48" s="1740"/>
      <c r="D48" s="1741"/>
      <c r="J48" s="1703"/>
      <c r="K48" s="1703"/>
      <c r="L48" s="1703"/>
      <c r="M48" s="1703"/>
    </row>
    <row r="49" spans="1:13" s="1644" customFormat="1" x14ac:dyDescent="0.2">
      <c r="A49" s="1743" t="s">
        <v>193</v>
      </c>
      <c r="B49" s="1744"/>
      <c r="C49" s="1744"/>
      <c r="D49" s="1286"/>
      <c r="J49" s="1703"/>
      <c r="K49" s="1703"/>
      <c r="L49" s="1703"/>
      <c r="M49" s="1703"/>
    </row>
    <row r="50" spans="1:13" s="1644" customFormat="1" x14ac:dyDescent="0.2">
      <c r="A50" s="1687" t="s">
        <v>185</v>
      </c>
      <c r="B50" s="1736" t="s">
        <v>188</v>
      </c>
      <c r="C50" s="1736" t="s">
        <v>186</v>
      </c>
      <c r="D50" s="1736" t="s">
        <v>189</v>
      </c>
      <c r="J50" s="1703"/>
      <c r="K50" s="1703"/>
      <c r="L50" s="1703"/>
      <c r="M50" s="1703"/>
    </row>
    <row r="51" spans="1:13" s="1644" customFormat="1" x14ac:dyDescent="0.2">
      <c r="A51" s="1687">
        <v>2006</v>
      </c>
      <c r="B51" s="1745">
        <v>1378</v>
      </c>
      <c r="C51" s="1745">
        <v>393</v>
      </c>
      <c r="D51" s="1741">
        <f t="shared" ref="D51:D61" si="10">IF(ISERROR(C51/B51),"-",(C51/B51))</f>
        <v>0.28519593613933236</v>
      </c>
      <c r="J51" s="1703"/>
      <c r="K51" s="1703"/>
      <c r="L51" s="1703"/>
      <c r="M51" s="1703"/>
    </row>
    <row r="52" spans="1:13" s="1644" customFormat="1" x14ac:dyDescent="0.2">
      <c r="A52" s="1687">
        <v>2007</v>
      </c>
      <c r="B52" s="1745">
        <v>1524</v>
      </c>
      <c r="C52" s="1745">
        <v>988</v>
      </c>
      <c r="D52" s="1741">
        <f t="shared" si="10"/>
        <v>0.64829396325459321</v>
      </c>
      <c r="J52" s="1703"/>
      <c r="K52" s="1703"/>
      <c r="L52" s="1703"/>
      <c r="M52" s="1703"/>
    </row>
    <row r="53" spans="1:13" s="1644" customFormat="1" x14ac:dyDescent="0.2">
      <c r="A53" s="1687">
        <v>2008</v>
      </c>
      <c r="B53" s="1745">
        <v>1554</v>
      </c>
      <c r="C53" s="1745">
        <v>1824</v>
      </c>
      <c r="D53" s="1741">
        <f t="shared" si="10"/>
        <v>1.1737451737451738</v>
      </c>
      <c r="J53" s="1703"/>
      <c r="K53" s="1703"/>
      <c r="L53" s="1703"/>
      <c r="M53" s="1703"/>
    </row>
    <row r="54" spans="1:13" s="1644" customFormat="1" x14ac:dyDescent="0.2">
      <c r="A54" s="1687">
        <v>2009</v>
      </c>
      <c r="B54" s="1745">
        <v>2554</v>
      </c>
      <c r="C54" s="1745">
        <v>798</v>
      </c>
      <c r="D54" s="1741">
        <f t="shared" si="10"/>
        <v>0.31245105716523103</v>
      </c>
      <c r="J54" s="1703"/>
      <c r="K54" s="1703"/>
      <c r="L54" s="1703"/>
      <c r="M54" s="1703"/>
    </row>
    <row r="55" spans="1:13" s="1644" customFormat="1" x14ac:dyDescent="0.2">
      <c r="A55" s="1687">
        <v>2010</v>
      </c>
      <c r="B55" s="1745">
        <v>2799</v>
      </c>
      <c r="C55" s="1745">
        <v>2768</v>
      </c>
      <c r="D55" s="1741">
        <f t="shared" si="10"/>
        <v>0.98892461593426229</v>
      </c>
      <c r="J55" s="1703"/>
      <c r="K55" s="1703"/>
      <c r="L55" s="1703"/>
      <c r="M55" s="1703"/>
    </row>
    <row r="56" spans="1:13" s="1644" customFormat="1" x14ac:dyDescent="0.2">
      <c r="A56" s="1687">
        <v>2011</v>
      </c>
      <c r="B56" s="1745">
        <v>2082</v>
      </c>
      <c r="C56" s="1745">
        <f>G28</f>
        <v>1811</v>
      </c>
      <c r="D56" s="1741">
        <f t="shared" si="10"/>
        <v>0.86983669548511044</v>
      </c>
      <c r="J56" s="1703"/>
      <c r="K56" s="1703"/>
      <c r="L56" s="1703"/>
      <c r="M56" s="1703"/>
    </row>
    <row r="57" spans="1:13" s="1644" customFormat="1" x14ac:dyDescent="0.2">
      <c r="A57" s="1687" t="s">
        <v>319</v>
      </c>
      <c r="B57" s="1746">
        <f>H28</f>
        <v>4682</v>
      </c>
      <c r="C57" s="1745">
        <f>I28</f>
        <v>1993</v>
      </c>
      <c r="D57" s="1741">
        <f t="shared" si="10"/>
        <v>0.42567278940623665</v>
      </c>
      <c r="J57" s="1703"/>
      <c r="K57" s="1703"/>
      <c r="L57" s="1703"/>
      <c r="M57" s="1703"/>
    </row>
    <row r="58" spans="1:13" s="1644" customFormat="1" x14ac:dyDescent="0.2">
      <c r="A58" s="1687" t="s">
        <v>318</v>
      </c>
      <c r="B58" s="1745">
        <f>H28</f>
        <v>4682</v>
      </c>
      <c r="C58" s="1745">
        <f>J28</f>
        <v>3885.1409463663053</v>
      </c>
      <c r="D58" s="1741">
        <f t="shared" si="10"/>
        <v>0.82980370490523392</v>
      </c>
      <c r="J58" s="1703"/>
      <c r="K58" s="1703"/>
      <c r="L58" s="1703"/>
      <c r="M58" s="1703"/>
    </row>
    <row r="59" spans="1:13" s="1644" customFormat="1" x14ac:dyDescent="0.2">
      <c r="A59" s="1687">
        <v>2013</v>
      </c>
      <c r="B59" s="1745">
        <f>K28</f>
        <v>4986</v>
      </c>
      <c r="C59" s="1740" t="s">
        <v>187</v>
      </c>
      <c r="D59" s="1741" t="str">
        <f t="shared" si="10"/>
        <v>-</v>
      </c>
      <c r="J59" s="1703"/>
      <c r="K59" s="1703"/>
      <c r="L59" s="1703"/>
      <c r="M59" s="1703"/>
    </row>
    <row r="60" spans="1:13" s="1644" customFormat="1" x14ac:dyDescent="0.2">
      <c r="A60" s="1687">
        <v>2014</v>
      </c>
      <c r="B60" s="1745">
        <f>L28</f>
        <v>5333</v>
      </c>
      <c r="C60" s="1740" t="s">
        <v>187</v>
      </c>
      <c r="D60" s="1741" t="str">
        <f t="shared" si="10"/>
        <v>-</v>
      </c>
      <c r="J60" s="1703"/>
      <c r="K60" s="1703"/>
      <c r="L60" s="1703"/>
      <c r="M60" s="1703"/>
    </row>
    <row r="61" spans="1:13" s="1644" customFormat="1" x14ac:dyDescent="0.2">
      <c r="A61" s="1687">
        <v>2015</v>
      </c>
      <c r="B61" s="1745">
        <f>M28</f>
        <v>5816</v>
      </c>
      <c r="C61" s="1740" t="s">
        <v>187</v>
      </c>
      <c r="D61" s="1741" t="str">
        <f t="shared" si="10"/>
        <v>-</v>
      </c>
      <c r="J61" s="1703"/>
      <c r="K61" s="1703"/>
      <c r="L61" s="1703"/>
      <c r="M61" s="1703"/>
    </row>
    <row r="62" spans="1:13" s="1644" customFormat="1" x14ac:dyDescent="0.2">
      <c r="B62" s="1286"/>
      <c r="J62" s="1703"/>
      <c r="K62" s="1703"/>
      <c r="L62" s="1703"/>
      <c r="M62" s="1703"/>
    </row>
    <row r="63" spans="1:13" s="1644" customFormat="1" x14ac:dyDescent="0.2">
      <c r="A63" s="1743" t="s">
        <v>191</v>
      </c>
      <c r="B63" s="1743"/>
      <c r="C63" s="1743"/>
      <c r="J63" s="1703"/>
      <c r="K63" s="1703"/>
      <c r="L63" s="1703"/>
      <c r="M63" s="1703"/>
    </row>
    <row r="64" spans="1:13" s="1644" customFormat="1" x14ac:dyDescent="0.2">
      <c r="A64" s="1687" t="s">
        <v>185</v>
      </c>
      <c r="B64" s="1736" t="s">
        <v>188</v>
      </c>
      <c r="C64" s="1736" t="s">
        <v>186</v>
      </c>
      <c r="D64" s="1736" t="s">
        <v>189</v>
      </c>
      <c r="J64" s="1703"/>
      <c r="K64" s="1703"/>
      <c r="L64" s="1703"/>
      <c r="M64" s="1703"/>
    </row>
    <row r="65" spans="1:13" s="1644" customFormat="1" x14ac:dyDescent="0.2">
      <c r="A65" s="1687">
        <v>2006</v>
      </c>
      <c r="B65" s="1745">
        <v>110445</v>
      </c>
      <c r="C65" s="1745">
        <v>11295</v>
      </c>
      <c r="D65" s="1741">
        <f t="shared" ref="D65:D75" si="11">IF(ISERROR(C65/B65),"-",(C65/B65))</f>
        <v>0.10226809724297162</v>
      </c>
      <c r="J65" s="1703"/>
      <c r="K65" s="1703"/>
      <c r="L65" s="1703"/>
      <c r="M65" s="1703"/>
    </row>
    <row r="66" spans="1:13" s="1644" customFormat="1" x14ac:dyDescent="0.2">
      <c r="A66" s="1687">
        <v>2007</v>
      </c>
      <c r="B66" s="1745">
        <v>65898</v>
      </c>
      <c r="C66" s="1745">
        <v>57353</v>
      </c>
      <c r="D66" s="1741">
        <f t="shared" si="11"/>
        <v>0.87032990379070685</v>
      </c>
      <c r="J66" s="1703"/>
      <c r="K66" s="1703"/>
      <c r="L66" s="1703"/>
      <c r="M66" s="1703"/>
    </row>
    <row r="67" spans="1:13" s="1644" customFormat="1" x14ac:dyDescent="0.2">
      <c r="A67" s="1687">
        <v>2008</v>
      </c>
      <c r="B67" s="1745">
        <v>90954</v>
      </c>
      <c r="C67" s="1745">
        <v>98698</v>
      </c>
      <c r="D67" s="1741">
        <f t="shared" si="11"/>
        <v>1.0851419398816984</v>
      </c>
      <c r="J67" s="1703"/>
      <c r="K67" s="1703"/>
      <c r="L67" s="1703"/>
      <c r="M67" s="1703"/>
    </row>
    <row r="68" spans="1:13" s="1644" customFormat="1" x14ac:dyDescent="0.2">
      <c r="A68" s="1687">
        <v>2009</v>
      </c>
      <c r="B68" s="1745">
        <v>176982.25050646317</v>
      </c>
      <c r="C68" s="1745">
        <f>E20</f>
        <v>55728</v>
      </c>
      <c r="D68" s="1741">
        <f t="shared" si="11"/>
        <v>0.31487903357836938</v>
      </c>
      <c r="J68" s="1703"/>
      <c r="K68" s="1703"/>
      <c r="L68" s="1703"/>
      <c r="M68" s="1703"/>
    </row>
    <row r="69" spans="1:13" s="1644" customFormat="1" x14ac:dyDescent="0.2">
      <c r="A69" s="1687">
        <v>2010</v>
      </c>
      <c r="B69" s="1745">
        <v>182022</v>
      </c>
      <c r="C69" s="1745">
        <v>222581</v>
      </c>
      <c r="D69" s="1741">
        <f t="shared" si="11"/>
        <v>1.2228247134961707</v>
      </c>
      <c r="J69" s="1703"/>
      <c r="K69" s="1703"/>
      <c r="L69" s="1703"/>
      <c r="M69" s="1703"/>
    </row>
    <row r="70" spans="1:13" s="1644" customFormat="1" x14ac:dyDescent="0.2">
      <c r="A70" s="1687">
        <v>2011</v>
      </c>
      <c r="B70" s="1746">
        <v>243065</v>
      </c>
      <c r="C70" s="1745">
        <v>172026</v>
      </c>
      <c r="D70" s="1741">
        <f t="shared" si="11"/>
        <v>0.70773661366301199</v>
      </c>
      <c r="J70" s="1703"/>
      <c r="K70" s="1703"/>
      <c r="L70" s="1703"/>
      <c r="M70" s="1703"/>
    </row>
    <row r="71" spans="1:13" s="1644" customFormat="1" x14ac:dyDescent="0.2">
      <c r="A71" s="1687" t="s">
        <v>319</v>
      </c>
      <c r="B71" s="1746">
        <f>H20</f>
        <v>490733</v>
      </c>
      <c r="C71" s="1745">
        <f>I20</f>
        <v>137248</v>
      </c>
      <c r="D71" s="1741">
        <f t="shared" si="11"/>
        <v>0.27967958136094373</v>
      </c>
      <c r="J71" s="1703"/>
      <c r="K71" s="1703"/>
      <c r="L71" s="1703"/>
      <c r="M71" s="1703"/>
    </row>
    <row r="72" spans="1:13" s="1644" customFormat="1" x14ac:dyDescent="0.2">
      <c r="A72" s="1687" t="s">
        <v>318</v>
      </c>
      <c r="B72" s="1745">
        <f>H20</f>
        <v>490733</v>
      </c>
      <c r="C72" s="1745">
        <f>J20</f>
        <v>267550.33848814986</v>
      </c>
      <c r="D72" s="1741">
        <f t="shared" si="11"/>
        <v>0.54520551601002964</v>
      </c>
      <c r="J72" s="1703"/>
      <c r="K72" s="1703"/>
      <c r="L72" s="1703"/>
      <c r="M72" s="1703"/>
    </row>
    <row r="73" spans="1:13" s="1644" customFormat="1" x14ac:dyDescent="0.2">
      <c r="A73" s="1687">
        <v>2013</v>
      </c>
      <c r="B73" s="1745">
        <f>K20</f>
        <v>537602.68820395495</v>
      </c>
      <c r="C73" s="1740" t="s">
        <v>187</v>
      </c>
      <c r="D73" s="1741" t="str">
        <f t="shared" si="11"/>
        <v>-</v>
      </c>
      <c r="J73" s="1703"/>
      <c r="K73" s="1703"/>
      <c r="L73" s="1703"/>
      <c r="M73" s="1703"/>
    </row>
    <row r="74" spans="1:13" s="1644" customFormat="1" x14ac:dyDescent="0.2">
      <c r="A74" s="1687">
        <v>2014</v>
      </c>
      <c r="B74" s="1745">
        <f>L20</f>
        <v>613332.99121519877</v>
      </c>
      <c r="C74" s="1740" t="s">
        <v>187</v>
      </c>
      <c r="D74" s="1741" t="str">
        <f t="shared" si="11"/>
        <v>-</v>
      </c>
      <c r="J74" s="1703"/>
      <c r="K74" s="1703"/>
      <c r="L74" s="1703"/>
      <c r="M74" s="1703"/>
    </row>
    <row r="75" spans="1:13" s="1644" customFormat="1" x14ac:dyDescent="0.2">
      <c r="A75" s="1687">
        <v>2015</v>
      </c>
      <c r="B75" s="1745">
        <f>M20</f>
        <v>714166.28874890122</v>
      </c>
      <c r="C75" s="1740" t="s">
        <v>187</v>
      </c>
      <c r="D75" s="1741" t="str">
        <f t="shared" si="11"/>
        <v>-</v>
      </c>
      <c r="J75" s="1703"/>
      <c r="K75" s="1703"/>
      <c r="L75" s="1703"/>
      <c r="M75" s="1703"/>
    </row>
    <row r="76" spans="1:13" s="1644" customFormat="1" x14ac:dyDescent="0.2">
      <c r="A76" s="1742"/>
      <c r="B76" s="1745"/>
      <c r="C76" s="1745"/>
      <c r="D76" s="1745"/>
      <c r="J76" s="1703"/>
      <c r="K76" s="1703"/>
      <c r="L76" s="1703"/>
      <c r="M76" s="1703"/>
    </row>
    <row r="77" spans="1:13" s="1644" customFormat="1" x14ac:dyDescent="0.2">
      <c r="A77" s="1743" t="s">
        <v>190</v>
      </c>
      <c r="B77" s="1747"/>
      <c r="C77" s="1747"/>
      <c r="D77" s="1743"/>
      <c r="J77" s="1703"/>
      <c r="K77" s="1703"/>
      <c r="L77" s="1703"/>
      <c r="M77" s="1703"/>
    </row>
    <row r="78" spans="1:13" s="1644" customFormat="1" x14ac:dyDescent="0.2">
      <c r="A78" s="1687" t="s">
        <v>185</v>
      </c>
      <c r="B78" s="1748" t="s">
        <v>188</v>
      </c>
      <c r="C78" s="1748" t="s">
        <v>186</v>
      </c>
      <c r="D78" s="1736" t="s">
        <v>189</v>
      </c>
      <c r="J78" s="1703"/>
      <c r="K78" s="1703"/>
      <c r="L78" s="1703"/>
      <c r="M78" s="1703"/>
    </row>
    <row r="79" spans="1:13" s="1644" customFormat="1" x14ac:dyDescent="0.2">
      <c r="A79" s="1687">
        <v>2006</v>
      </c>
      <c r="B79" s="1745">
        <v>1988010</v>
      </c>
      <c r="C79" s="1745">
        <v>213599</v>
      </c>
      <c r="D79" s="1741">
        <f t="shared" ref="D79:D89" si="12">IF(ISERROR(C79/B79),"-",(C79/B79))</f>
        <v>0.10744362452905167</v>
      </c>
      <c r="J79" s="1703"/>
      <c r="K79" s="1703"/>
      <c r="L79" s="1703"/>
      <c r="M79" s="1703"/>
    </row>
    <row r="80" spans="1:13" s="1644" customFormat="1" x14ac:dyDescent="0.2">
      <c r="A80" s="1687">
        <v>2007</v>
      </c>
      <c r="B80" s="1745">
        <v>1551974</v>
      </c>
      <c r="C80" s="1745">
        <v>902646</v>
      </c>
      <c r="D80" s="1741">
        <f t="shared" si="12"/>
        <v>0.58161154761613276</v>
      </c>
      <c r="J80" s="1703"/>
      <c r="K80" s="1703"/>
      <c r="L80" s="1703"/>
      <c r="M80" s="1703"/>
    </row>
    <row r="81" spans="1:13" s="1644" customFormat="1" x14ac:dyDescent="0.2">
      <c r="A81" s="1687">
        <v>2008</v>
      </c>
      <c r="B81" s="1745">
        <v>1524912</v>
      </c>
      <c r="C81" s="1745">
        <v>1770065</v>
      </c>
      <c r="D81" s="1741">
        <f t="shared" si="12"/>
        <v>1.1607653425246833</v>
      </c>
      <c r="J81" s="1703"/>
      <c r="K81" s="1703"/>
      <c r="L81" s="1703"/>
      <c r="M81" s="1703"/>
    </row>
    <row r="82" spans="1:13" s="1644" customFormat="1" x14ac:dyDescent="0.2">
      <c r="A82" s="1687">
        <v>2009</v>
      </c>
      <c r="B82" s="1745">
        <v>3462230</v>
      </c>
      <c r="C82" s="1745">
        <v>1172933</v>
      </c>
      <c r="D82" s="1741">
        <f t="shared" si="12"/>
        <v>0.33877963046937959</v>
      </c>
      <c r="J82" s="1703"/>
      <c r="K82" s="1703"/>
      <c r="L82" s="1703"/>
      <c r="M82" s="1703"/>
    </row>
    <row r="83" spans="1:13" s="1644" customFormat="1" x14ac:dyDescent="0.2">
      <c r="A83" s="1687">
        <v>2010</v>
      </c>
      <c r="B83" s="1745">
        <v>3776878</v>
      </c>
      <c r="C83" s="1745">
        <v>4768051</v>
      </c>
      <c r="D83" s="1741">
        <f t="shared" si="12"/>
        <v>1.2624318286161216</v>
      </c>
      <c r="J83" s="1703"/>
      <c r="K83" s="1703"/>
      <c r="L83" s="1703"/>
      <c r="M83" s="1703"/>
    </row>
    <row r="84" spans="1:13" s="1644" customFormat="1" x14ac:dyDescent="0.2">
      <c r="A84" s="1687">
        <v>2011</v>
      </c>
      <c r="B84" s="1746">
        <v>4532590</v>
      </c>
      <c r="C84" s="1745">
        <v>3118836</v>
      </c>
      <c r="D84" s="1741">
        <f t="shared" si="12"/>
        <v>0.68809135615619321</v>
      </c>
      <c r="J84" s="1703"/>
      <c r="K84" s="1703"/>
      <c r="L84" s="1703"/>
      <c r="M84" s="1703"/>
    </row>
    <row r="85" spans="1:13" s="1644" customFormat="1" x14ac:dyDescent="0.2">
      <c r="A85" s="1687" t="s">
        <v>319</v>
      </c>
      <c r="B85" s="1746">
        <f>H21</f>
        <v>8975876</v>
      </c>
      <c r="C85" s="1745">
        <f>I21</f>
        <v>2325369</v>
      </c>
      <c r="D85" s="1741">
        <f t="shared" si="12"/>
        <v>0.25906875273232383</v>
      </c>
      <c r="J85" s="1703"/>
      <c r="K85" s="1703"/>
      <c r="L85" s="1703"/>
      <c r="M85" s="1703"/>
    </row>
    <row r="86" spans="1:13" s="1644" customFormat="1" x14ac:dyDescent="0.2">
      <c r="A86" s="1687" t="s">
        <v>318</v>
      </c>
      <c r="B86" s="1745">
        <f>H21</f>
        <v>8975876</v>
      </c>
      <c r="C86" s="1745">
        <f>J21</f>
        <v>4533058.8646818204</v>
      </c>
      <c r="D86" s="1741">
        <f t="shared" si="12"/>
        <v>0.50502690374530801</v>
      </c>
      <c r="J86" s="1703"/>
      <c r="K86" s="1703"/>
      <c r="L86" s="1703"/>
      <c r="M86" s="1703"/>
    </row>
    <row r="87" spans="1:13" x14ac:dyDescent="0.2">
      <c r="A87" s="1687">
        <v>2013</v>
      </c>
      <c r="B87" s="1745">
        <f>K21</f>
        <v>10763827.541621631</v>
      </c>
      <c r="C87" s="1740" t="s">
        <v>187</v>
      </c>
      <c r="D87" s="1741" t="str">
        <f t="shared" si="12"/>
        <v>-</v>
      </c>
      <c r="E87" s="1188"/>
      <c r="F87" s="1188"/>
      <c r="G87" s="1188"/>
      <c r="H87" s="1644"/>
      <c r="I87" s="1644"/>
      <c r="J87" s="1698"/>
      <c r="K87" s="1698"/>
      <c r="L87" s="1698"/>
      <c r="M87" s="1698"/>
    </row>
    <row r="88" spans="1:13" x14ac:dyDescent="0.2">
      <c r="A88" s="1687">
        <v>2014</v>
      </c>
      <c r="B88" s="1745">
        <f>L21</f>
        <v>12408233.530521275</v>
      </c>
      <c r="C88" s="1740" t="s">
        <v>187</v>
      </c>
      <c r="D88" s="1741" t="str">
        <f t="shared" si="12"/>
        <v>-</v>
      </c>
      <c r="H88" s="1644"/>
      <c r="I88" s="1644"/>
    </row>
    <row r="89" spans="1:13" x14ac:dyDescent="0.2">
      <c r="A89" s="1687">
        <v>2015</v>
      </c>
      <c r="B89" s="1745">
        <f>M21</f>
        <v>14602820.149593182</v>
      </c>
      <c r="C89" s="1740" t="s">
        <v>187</v>
      </c>
      <c r="D89" s="1741" t="str">
        <f t="shared" si="12"/>
        <v>-</v>
      </c>
      <c r="H89" s="1644"/>
      <c r="I89" s="1644"/>
    </row>
    <row r="90" spans="1:13" x14ac:dyDescent="0.2">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ht="11.25" x14ac:dyDescent="0.2">
      <c r="H117" s="1635"/>
      <c r="I117" s="1635"/>
    </row>
    <row r="118" spans="8:9" ht="11.25" x14ac:dyDescent="0.2">
      <c r="H118" s="1635"/>
      <c r="I118" s="1635"/>
    </row>
  </sheetData>
  <mergeCells count="1">
    <mergeCell ref="A1:N1"/>
  </mergeCells>
  <pageMargins left="0.98" right="0.75" top="1.1499999999999999" bottom="1" header="0.5" footer="0.5"/>
  <pageSetup scale="46" orientation="portrait" r:id="rId1"/>
  <headerFooter alignWithMargins="0">
    <oddFooter>&amp;C&amp;1#&amp;"Calibri"&amp;12&amp;K008000Internal Use</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46">
    <tabColor indexed="11"/>
    <pageSetUpPr fitToPage="1"/>
  </sheetPr>
  <dimension ref="A1:T98"/>
  <sheetViews>
    <sheetView topLeftCell="E1" workbookViewId="0">
      <selection activeCell="J67" sqref="J67"/>
    </sheetView>
  </sheetViews>
  <sheetFormatPr defaultRowHeight="12.75" x14ac:dyDescent="0.2"/>
  <cols>
    <col min="1" max="1" width="40.5703125" style="1635" customWidth="1"/>
    <col min="2" max="2" width="11.85546875" style="1635" customWidth="1"/>
    <col min="3" max="3" width="12.85546875" style="1635" customWidth="1"/>
    <col min="4" max="4" width="11.7109375" style="1635" customWidth="1"/>
    <col min="5" max="5" width="11.28515625" style="1635" bestFit="1" customWidth="1"/>
    <col min="6" max="6" width="11.28515625" style="1635" customWidth="1"/>
    <col min="7" max="7" width="12.7109375" style="1635" customWidth="1"/>
    <col min="8" max="8" width="12" style="1188" customWidth="1"/>
    <col min="9" max="9" width="12.42578125" style="1188" customWidth="1"/>
    <col min="10" max="10" width="14" style="1635" customWidth="1"/>
    <col min="11" max="11" width="11.5703125" style="1635" customWidth="1"/>
    <col min="12" max="13" width="12.42578125" style="1635" customWidth="1"/>
    <col min="14" max="14" width="6" style="1635" customWidth="1"/>
    <col min="15" max="15" width="2.42578125" style="1635" customWidth="1"/>
    <col min="16" max="16" width="11.42578125" style="1635" customWidth="1"/>
    <col min="17" max="17" width="10.7109375" style="1635" customWidth="1"/>
    <col min="18" max="18" width="12.28515625" style="1635" customWidth="1"/>
    <col min="19"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197</v>
      </c>
    </row>
    <row r="4" spans="1:15" x14ac:dyDescent="0.2">
      <c r="A4" s="1699"/>
    </row>
    <row r="5" spans="1:15" x14ac:dyDescent="0.2">
      <c r="A5" s="1749"/>
      <c r="H5" s="1702"/>
      <c r="I5" s="1702"/>
      <c r="L5" s="1644"/>
      <c r="M5" s="1644"/>
      <c r="N5" s="1644"/>
    </row>
    <row r="6" spans="1:15"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row>
    <row r="7" spans="1:15"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187</v>
      </c>
      <c r="C9" s="1703" t="s">
        <v>187</v>
      </c>
      <c r="D9" s="1707">
        <v>3346</v>
      </c>
      <c r="E9" s="1707">
        <v>4059</v>
      </c>
      <c r="F9" s="1707">
        <v>2972.02</v>
      </c>
      <c r="G9" s="1707">
        <v>5282.86</v>
      </c>
      <c r="H9" s="1707">
        <v>3500</v>
      </c>
      <c r="I9" s="1707">
        <v>10028</v>
      </c>
      <c r="J9" s="1707">
        <v>15731</v>
      </c>
      <c r="K9" s="1707">
        <v>7466.2239089183904</v>
      </c>
      <c r="L9" s="1707">
        <v>8852.8083491460911</v>
      </c>
      <c r="M9" s="1707">
        <v>10879.354838709654</v>
      </c>
    </row>
    <row r="10" spans="1:15" s="1644" customFormat="1" x14ac:dyDescent="0.2">
      <c r="A10" s="1286" t="s">
        <v>45</v>
      </c>
      <c r="B10" s="1703" t="s">
        <v>187</v>
      </c>
      <c r="C10" s="1703" t="s">
        <v>187</v>
      </c>
      <c r="D10" s="1707">
        <v>8322</v>
      </c>
      <c r="E10" s="1707">
        <v>6568</v>
      </c>
      <c r="F10" s="1707">
        <v>2843.86</v>
      </c>
      <c r="G10" s="1707">
        <v>4472.12</v>
      </c>
      <c r="H10" s="1707">
        <v>4100</v>
      </c>
      <c r="I10" s="1707">
        <v>7034</v>
      </c>
      <c r="J10" s="1707">
        <v>11455</v>
      </c>
      <c r="K10" s="1707">
        <v>1530.8349146110058</v>
      </c>
      <c r="L10" s="1707">
        <v>1815.1328273244783</v>
      </c>
      <c r="M10" s="1707">
        <v>2230.6451612903224</v>
      </c>
      <c r="N10" s="1709"/>
    </row>
    <row r="11" spans="1:15" s="1644" customFormat="1" x14ac:dyDescent="0.2">
      <c r="A11" s="1286" t="s">
        <v>202</v>
      </c>
      <c r="B11" s="1703" t="s">
        <v>187</v>
      </c>
      <c r="C11" s="1703" t="s">
        <v>187</v>
      </c>
      <c r="D11" s="1707">
        <v>0</v>
      </c>
      <c r="E11" s="1707">
        <v>0</v>
      </c>
      <c r="F11" s="1707">
        <v>0</v>
      </c>
      <c r="G11" s="1707">
        <v>0</v>
      </c>
      <c r="H11" s="1707">
        <v>256</v>
      </c>
      <c r="I11" s="1707">
        <v>0</v>
      </c>
      <c r="J11" s="1707">
        <v>0</v>
      </c>
      <c r="K11" s="1707">
        <v>332.06831119544592</v>
      </c>
      <c r="L11" s="1707">
        <v>393.73814041745726</v>
      </c>
      <c r="M11" s="1707">
        <v>483.87096774193549</v>
      </c>
    </row>
    <row r="12" spans="1:15" s="1644" customFormat="1" x14ac:dyDescent="0.2">
      <c r="A12" s="1286" t="s">
        <v>2</v>
      </c>
      <c r="B12" s="1703" t="s">
        <v>187</v>
      </c>
      <c r="C12" s="1703" t="s">
        <v>187</v>
      </c>
      <c r="D12" s="1707">
        <v>49728</v>
      </c>
      <c r="E12" s="1707">
        <v>92196</v>
      </c>
      <c r="F12" s="1707">
        <v>50786.400000000001</v>
      </c>
      <c r="G12" s="1707">
        <v>37198.01</v>
      </c>
      <c r="H12" s="1707">
        <v>56917</v>
      </c>
      <c r="I12" s="1707">
        <v>26711</v>
      </c>
      <c r="J12" s="1707">
        <v>40984</v>
      </c>
      <c r="K12" s="1707">
        <v>58558.918406072124</v>
      </c>
      <c r="L12" s="1707">
        <v>69434.146110056943</v>
      </c>
      <c r="M12" s="1707">
        <v>85328.709677419378</v>
      </c>
    </row>
    <row r="13" spans="1:15" s="1644" customFormat="1" x14ac:dyDescent="0.2">
      <c r="A13" s="1286" t="s">
        <v>14</v>
      </c>
      <c r="B13" s="1703" t="s">
        <v>187</v>
      </c>
      <c r="C13" s="1703" t="s">
        <v>187</v>
      </c>
      <c r="D13" s="1707">
        <v>1349</v>
      </c>
      <c r="E13" s="1707">
        <v>912</v>
      </c>
      <c r="F13" s="1707">
        <v>2967</v>
      </c>
      <c r="G13" s="1707">
        <v>2993.42</v>
      </c>
      <c r="H13" s="1707">
        <v>4207</v>
      </c>
      <c r="I13" s="1707">
        <v>1121</v>
      </c>
      <c r="J13" s="1707">
        <v>2739</v>
      </c>
      <c r="K13" s="1707">
        <v>1483.681214421252</v>
      </c>
      <c r="L13" s="1707">
        <v>1759.2220113851988</v>
      </c>
      <c r="M13" s="1707">
        <v>2161.9354838709673</v>
      </c>
    </row>
    <row r="14" spans="1:15" s="1644" customFormat="1" ht="15" x14ac:dyDescent="0.35">
      <c r="A14" s="1286" t="s">
        <v>46</v>
      </c>
      <c r="B14" s="1703" t="s">
        <v>187</v>
      </c>
      <c r="C14" s="1703" t="s">
        <v>187</v>
      </c>
      <c r="D14" s="1712">
        <v>114</v>
      </c>
      <c r="E14" s="1712">
        <v>355</v>
      </c>
      <c r="F14" s="1712">
        <v>1277.29</v>
      </c>
      <c r="G14" s="1712">
        <v>0</v>
      </c>
      <c r="H14" s="1712">
        <v>1020</v>
      </c>
      <c r="I14" s="1712">
        <v>958</v>
      </c>
      <c r="J14" s="1712">
        <v>1436</v>
      </c>
      <c r="K14" s="1712">
        <v>628.273244781784</v>
      </c>
      <c r="L14" s="1712">
        <v>744.95256166982961</v>
      </c>
      <c r="M14" s="1712">
        <v>915.4838709677424</v>
      </c>
    </row>
    <row r="15" spans="1:15" s="1644" customFormat="1" x14ac:dyDescent="0.2">
      <c r="A15" s="1286" t="s">
        <v>86</v>
      </c>
      <c r="C15" s="1714"/>
      <c r="D15" s="1707">
        <f t="shared" ref="D15:J15" si="0">SUM(D9:D14)</f>
        <v>62859</v>
      </c>
      <c r="E15" s="1707">
        <f t="shared" si="0"/>
        <v>104090</v>
      </c>
      <c r="F15" s="1707">
        <f t="shared" si="0"/>
        <v>60846.57</v>
      </c>
      <c r="G15" s="1707">
        <f t="shared" si="0"/>
        <v>49946.41</v>
      </c>
      <c r="H15" s="1707">
        <f t="shared" si="0"/>
        <v>70000</v>
      </c>
      <c r="I15" s="1707">
        <f t="shared" si="0"/>
        <v>45852</v>
      </c>
      <c r="J15" s="1717">
        <f t="shared" si="0"/>
        <v>72345</v>
      </c>
      <c r="K15" s="1717">
        <f>SUM(K9:K14)</f>
        <v>70000</v>
      </c>
      <c r="L15" s="1717">
        <f>SUM(L9:L14)</f>
        <v>82999.999999999985</v>
      </c>
      <c r="M15" s="1717">
        <f>SUM(M9:M14)</f>
        <v>102000</v>
      </c>
      <c r="N15" s="1703" t="s">
        <v>201</v>
      </c>
    </row>
    <row r="16" spans="1:15" s="1644" customFormat="1" x14ac:dyDescent="0.2">
      <c r="A16" s="1286"/>
      <c r="B16" s="1718"/>
      <c r="C16" s="1719"/>
      <c r="D16" s="1720"/>
      <c r="H16" s="1721"/>
      <c r="I16" s="1721"/>
    </row>
    <row r="17" spans="1:20" s="1644" customFormat="1" ht="15" x14ac:dyDescent="0.35">
      <c r="A17" s="1722"/>
      <c r="C17" s="1723"/>
      <c r="D17" s="1723"/>
      <c r="N17" s="1724"/>
    </row>
    <row r="18" spans="1:20" s="1644" customFormat="1" ht="24" x14ac:dyDescent="0.2">
      <c r="A18" s="1704" t="s">
        <v>83</v>
      </c>
      <c r="B18" s="1658" t="s">
        <v>192</v>
      </c>
      <c r="C18" s="1658" t="s">
        <v>176</v>
      </c>
      <c r="D18" s="1658" t="s">
        <v>208</v>
      </c>
      <c r="E18" s="1658" t="s">
        <v>218</v>
      </c>
      <c r="F18" s="1658" t="s">
        <v>257</v>
      </c>
      <c r="G18" s="1658" t="s">
        <v>321</v>
      </c>
      <c r="H18" s="1658" t="s">
        <v>445</v>
      </c>
      <c r="I18" s="1658" t="s">
        <v>317</v>
      </c>
      <c r="J18" s="1658" t="s">
        <v>446</v>
      </c>
      <c r="K18" s="1658" t="s">
        <v>447</v>
      </c>
      <c r="L18" s="1658" t="s">
        <v>448</v>
      </c>
      <c r="M18" s="1658" t="s">
        <v>449</v>
      </c>
      <c r="N18" s="1703"/>
      <c r="O18" s="1286"/>
      <c r="P18" s="1286"/>
      <c r="Q18" s="1286"/>
      <c r="R18" s="1286"/>
      <c r="S18" s="1286"/>
      <c r="T18" s="1286"/>
    </row>
    <row r="19" spans="1:20" s="1644" customFormat="1" x14ac:dyDescent="0.2">
      <c r="N19" s="1703"/>
      <c r="O19" s="1767"/>
      <c r="P19" s="1286"/>
      <c r="Q19" s="1286"/>
      <c r="R19" s="1286"/>
      <c r="S19" s="1286"/>
      <c r="T19" s="1286"/>
    </row>
    <row r="20" spans="1:20" s="1644" customFormat="1" x14ac:dyDescent="0.2">
      <c r="A20" s="1644" t="s">
        <v>49</v>
      </c>
      <c r="B20" s="1703" t="s">
        <v>187</v>
      </c>
      <c r="C20" s="1703" t="s">
        <v>187</v>
      </c>
      <c r="D20" s="1726">
        <v>9728</v>
      </c>
      <c r="E20" s="1727">
        <v>18422</v>
      </c>
      <c r="F20" s="1727">
        <v>10883</v>
      </c>
      <c r="G20" s="1727">
        <v>7168</v>
      </c>
      <c r="H20" s="1726">
        <v>24361</v>
      </c>
      <c r="I20" s="1726">
        <v>3487</v>
      </c>
      <c r="J20" s="1726">
        <f>I20/I15*J15</f>
        <v>5501.7668803978022</v>
      </c>
      <c r="K20" s="1727">
        <v>14984.776348837198</v>
      </c>
      <c r="L20" s="1727">
        <v>17746.475744186035</v>
      </c>
      <c r="M20" s="1727">
        <v>21786.73967441859</v>
      </c>
      <c r="N20" s="1703" t="s">
        <v>64</v>
      </c>
      <c r="O20" s="1767"/>
      <c r="P20" s="1736"/>
      <c r="Q20" s="1736"/>
      <c r="R20" s="1736"/>
      <c r="S20" s="1286"/>
      <c r="T20" s="1286"/>
    </row>
    <row r="21" spans="1:20" s="1644" customFormat="1" x14ac:dyDescent="0.2">
      <c r="A21" s="1644" t="s">
        <v>50</v>
      </c>
      <c r="B21" s="1703" t="s">
        <v>187</v>
      </c>
      <c r="C21" s="1703" t="s">
        <v>187</v>
      </c>
      <c r="D21" s="1726">
        <v>194560</v>
      </c>
      <c r="E21" s="1727">
        <v>368448</v>
      </c>
      <c r="F21" s="1727">
        <v>217664</v>
      </c>
      <c r="G21" s="1727">
        <v>143360</v>
      </c>
      <c r="H21" s="1726">
        <v>292328</v>
      </c>
      <c r="I21" s="1726">
        <v>52150</v>
      </c>
      <c r="J21" s="1726">
        <f>I21/I15*J15</f>
        <v>82281.945171421088</v>
      </c>
      <c r="K21" s="1727">
        <v>179817.31618604637</v>
      </c>
      <c r="L21" s="1727">
        <v>212957.70893023242</v>
      </c>
      <c r="M21" s="1727">
        <v>261440.87609302308</v>
      </c>
      <c r="N21" s="1703" t="s">
        <v>10</v>
      </c>
      <c r="O21" s="1765"/>
      <c r="P21" s="1768"/>
      <c r="Q21" s="1768"/>
      <c r="R21" s="1768"/>
      <c r="S21" s="1286"/>
      <c r="T21" s="1286"/>
    </row>
    <row r="22" spans="1:20" s="1644" customFormat="1" x14ac:dyDescent="0.2">
      <c r="B22" s="1703"/>
      <c r="C22" s="1703"/>
      <c r="N22" s="1703"/>
      <c r="O22" s="1765"/>
      <c r="P22" s="1745"/>
      <c r="Q22" s="1745"/>
      <c r="R22" s="1745"/>
      <c r="S22" s="1286"/>
      <c r="T22" s="1286"/>
    </row>
    <row r="23" spans="1:20" s="1644" customFormat="1" x14ac:dyDescent="0.2">
      <c r="A23" s="1644" t="s">
        <v>51</v>
      </c>
      <c r="B23" s="1703" t="s">
        <v>187</v>
      </c>
      <c r="C23" s="1703" t="s">
        <v>187</v>
      </c>
      <c r="D23" s="1731">
        <f>SUM(D15/D21)</f>
        <v>0.32308285361842104</v>
      </c>
      <c r="E23" s="1731">
        <f t="shared" ref="E23:J23" si="1">SUM(E15/E20)</f>
        <v>5.6503094126587774</v>
      </c>
      <c r="F23" s="1731">
        <f t="shared" si="1"/>
        <v>5.5909739961407698</v>
      </c>
      <c r="G23" s="1731">
        <f t="shared" si="1"/>
        <v>6.9679701450892866</v>
      </c>
      <c r="H23" s="1731">
        <f t="shared" si="1"/>
        <v>2.8734452608677805</v>
      </c>
      <c r="I23" s="1769">
        <f t="shared" si="1"/>
        <v>13.149412102093491</v>
      </c>
      <c r="J23" s="1770">
        <f t="shared" si="1"/>
        <v>13.149412102093489</v>
      </c>
      <c r="K23" s="1770">
        <f>SUM(K15/K20)</f>
        <v>4.6714077254434248</v>
      </c>
      <c r="L23" s="1731">
        <f>SUM(L15/L20)</f>
        <v>4.6769849516285964</v>
      </c>
      <c r="M23" s="1731">
        <f>SUM(M15/M20)</f>
        <v>4.6817468572301202</v>
      </c>
      <c r="N23" s="1703" t="s">
        <v>65</v>
      </c>
      <c r="O23" s="1765"/>
      <c r="P23" s="1745"/>
      <c r="Q23" s="1745"/>
      <c r="R23" s="1745"/>
      <c r="S23" s="1286"/>
      <c r="T23" s="1286"/>
    </row>
    <row r="24" spans="1:20" s="1644" customFormat="1" x14ac:dyDescent="0.2">
      <c r="A24" s="1644" t="s">
        <v>52</v>
      </c>
      <c r="B24" s="1703" t="s">
        <v>187</v>
      </c>
      <c r="C24" s="1703" t="s">
        <v>187</v>
      </c>
      <c r="D24" s="1731">
        <f t="shared" ref="D24:J24" si="2">SUM(D15/D21)</f>
        <v>0.32308285361842104</v>
      </c>
      <c r="E24" s="1731">
        <f t="shared" si="2"/>
        <v>0.28250933645996179</v>
      </c>
      <c r="F24" s="1731">
        <f t="shared" si="2"/>
        <v>0.27954356255513085</v>
      </c>
      <c r="G24" s="1731">
        <f t="shared" si="2"/>
        <v>0.34839850725446431</v>
      </c>
      <c r="H24" s="1731">
        <f t="shared" si="2"/>
        <v>0.2394570482471744</v>
      </c>
      <c r="I24" s="1769">
        <f t="shared" si="2"/>
        <v>0.87923298178331732</v>
      </c>
      <c r="J24" s="1770">
        <f t="shared" si="2"/>
        <v>0.87923298178331744</v>
      </c>
      <c r="K24" s="1770">
        <f>SUM(K15/K21)</f>
        <v>0.3892839771202854</v>
      </c>
      <c r="L24" s="1731">
        <f>SUM(L15/L21)</f>
        <v>0.38974874596904974</v>
      </c>
      <c r="M24" s="1731">
        <f>SUM(M15/M21)</f>
        <v>0.39014557143584333</v>
      </c>
      <c r="N24" s="1703" t="s">
        <v>66</v>
      </c>
      <c r="O24" s="1765"/>
      <c r="P24" s="1771"/>
      <c r="Q24" s="1771"/>
      <c r="R24" s="1771"/>
      <c r="S24" s="1286"/>
      <c r="T24" s="1286"/>
    </row>
    <row r="25" spans="1:20" s="1644" customFormat="1" x14ac:dyDescent="0.2">
      <c r="B25" s="1703"/>
      <c r="C25" s="1703"/>
      <c r="H25" s="1772"/>
      <c r="N25" s="1703"/>
      <c r="O25" s="1765"/>
      <c r="P25" s="1768"/>
      <c r="Q25" s="1768"/>
      <c r="R25" s="1768"/>
      <c r="S25" s="1286"/>
      <c r="T25" s="1286"/>
    </row>
    <row r="26" spans="1:20" s="1644" customFormat="1" x14ac:dyDescent="0.2">
      <c r="A26" s="1644" t="s">
        <v>84</v>
      </c>
      <c r="B26" s="1703" t="s">
        <v>187</v>
      </c>
      <c r="C26" s="1703" t="s">
        <v>187</v>
      </c>
      <c r="D26" s="1714">
        <v>326881</v>
      </c>
      <c r="E26" s="1714">
        <v>308241.55666858796</v>
      </c>
      <c r="F26" s="1714">
        <v>197046.66591311918</v>
      </c>
      <c r="G26" s="1714">
        <f>236739.552331604/G21*G21</f>
        <v>236739.55233160401</v>
      </c>
      <c r="H26" s="1714">
        <v>152765</v>
      </c>
      <c r="I26" s="1714">
        <f>H26/H21*I21</f>
        <v>27252.588701732297</v>
      </c>
      <c r="J26" s="1714">
        <f>H26/H21*J21</f>
        <v>42998.964704414706</v>
      </c>
      <c r="K26" s="523">
        <v>101227.81192285</v>
      </c>
      <c r="L26" s="523">
        <v>125051.47921844262</v>
      </c>
      <c r="M26" s="523">
        <v>159701.89249966168</v>
      </c>
      <c r="N26" s="1703" t="s">
        <v>67</v>
      </c>
      <c r="O26" s="1765"/>
      <c r="P26" s="1765"/>
      <c r="Q26" s="1765"/>
      <c r="R26" s="1765"/>
      <c r="S26" s="1286"/>
      <c r="T26" s="1286"/>
    </row>
    <row r="27" spans="1:20" s="1644" customFormat="1" x14ac:dyDescent="0.2">
      <c r="A27" s="1644" t="s">
        <v>85</v>
      </c>
      <c r="B27" s="1703" t="s">
        <v>187</v>
      </c>
      <c r="C27" s="1703" t="s">
        <v>187</v>
      </c>
      <c r="D27" s="1732">
        <f t="shared" ref="D27:K27" si="3">SUM(D26/D15)</f>
        <v>5.2002259024165198</v>
      </c>
      <c r="E27" s="1732">
        <f t="shared" si="3"/>
        <v>2.9612984596847722</v>
      </c>
      <c r="F27" s="1732">
        <f t="shared" si="3"/>
        <v>3.238418630879591</v>
      </c>
      <c r="G27" s="1732">
        <f t="shared" si="3"/>
        <v>4.7398712406277843</v>
      </c>
      <c r="H27" s="1773">
        <f t="shared" si="3"/>
        <v>2.1823571428571427</v>
      </c>
      <c r="I27" s="1774">
        <f t="shared" si="3"/>
        <v>0.59435986874579727</v>
      </c>
      <c r="J27" s="1774">
        <f t="shared" si="3"/>
        <v>0.59435986874579727</v>
      </c>
      <c r="K27" s="1774">
        <f t="shared" si="3"/>
        <v>1.4461115988978572</v>
      </c>
      <c r="L27" s="1773">
        <f>SUM(L26/L15)</f>
        <v>1.5066443279330439</v>
      </c>
      <c r="M27" s="1773">
        <f>SUM(M26/M15)</f>
        <v>1.5657048284280557</v>
      </c>
      <c r="N27" s="1703" t="s">
        <v>68</v>
      </c>
      <c r="O27" s="1765"/>
      <c r="P27" s="1745"/>
      <c r="Q27" s="1765"/>
      <c r="R27" s="1745"/>
      <c r="S27" s="1286"/>
      <c r="T27" s="1286"/>
    </row>
    <row r="28" spans="1:20" s="1644" customFormat="1" x14ac:dyDescent="0.2">
      <c r="A28" s="1644" t="s">
        <v>63</v>
      </c>
      <c r="B28" s="1703" t="s">
        <v>187</v>
      </c>
      <c r="C28" s="1703" t="s">
        <v>187</v>
      </c>
      <c r="D28" s="1727">
        <v>160</v>
      </c>
      <c r="E28" s="1733">
        <v>303</v>
      </c>
      <c r="F28" s="1733">
        <v>179</v>
      </c>
      <c r="G28" s="1733">
        <v>128</v>
      </c>
      <c r="H28" s="1733">
        <v>569</v>
      </c>
      <c r="I28" s="1726">
        <v>66</v>
      </c>
      <c r="J28" s="1726">
        <f>I28/I15*J15</f>
        <v>104.13438890342842</v>
      </c>
      <c r="K28" s="1727">
        <v>293</v>
      </c>
      <c r="L28" s="1727">
        <v>347</v>
      </c>
      <c r="M28" s="1727">
        <v>426</v>
      </c>
      <c r="N28" s="1703" t="s">
        <v>69</v>
      </c>
      <c r="O28" s="1765"/>
      <c r="P28" s="1745"/>
      <c r="Q28" s="1745"/>
      <c r="R28" s="1745"/>
      <c r="S28" s="1286"/>
      <c r="T28" s="1286"/>
    </row>
    <row r="29" spans="1:20" s="1644" customFormat="1" x14ac:dyDescent="0.2">
      <c r="A29" s="1644" t="s">
        <v>74</v>
      </c>
      <c r="B29" s="1703" t="s">
        <v>187</v>
      </c>
      <c r="C29" s="1703" t="s">
        <v>187</v>
      </c>
      <c r="D29" s="1726">
        <f t="shared" ref="D29:K29" si="4">SUM(D21/D28)</f>
        <v>1216</v>
      </c>
      <c r="E29" s="1726">
        <f t="shared" si="4"/>
        <v>1216</v>
      </c>
      <c r="F29" s="1726">
        <f t="shared" si="4"/>
        <v>1216</v>
      </c>
      <c r="G29" s="1734">
        <f t="shared" si="4"/>
        <v>1120</v>
      </c>
      <c r="H29" s="1734">
        <f t="shared" si="4"/>
        <v>513.75746924428825</v>
      </c>
      <c r="I29" s="1764">
        <f t="shared" si="4"/>
        <v>790.15151515151513</v>
      </c>
      <c r="J29" s="1775">
        <f t="shared" si="4"/>
        <v>790.15151515151513</v>
      </c>
      <c r="K29" s="1775">
        <f t="shared" si="4"/>
        <v>613.71097674418559</v>
      </c>
      <c r="L29" s="1734">
        <f>SUM(L21/L28)</f>
        <v>613.71097674418559</v>
      </c>
      <c r="M29" s="1734">
        <f>SUM(M21/M28)</f>
        <v>613.71097674418559</v>
      </c>
      <c r="N29" s="1703" t="s">
        <v>70</v>
      </c>
      <c r="O29" s="1765"/>
      <c r="P29" s="1768"/>
      <c r="Q29" s="1768"/>
      <c r="R29" s="1768"/>
      <c r="S29" s="1286"/>
      <c r="T29" s="1286"/>
    </row>
    <row r="30" spans="1:20" s="1644" customFormat="1" x14ac:dyDescent="0.2">
      <c r="A30" s="1644" t="s">
        <v>71</v>
      </c>
      <c r="B30" s="1703" t="s">
        <v>187</v>
      </c>
      <c r="C30" s="1703" t="s">
        <v>187</v>
      </c>
      <c r="D30" s="1714">
        <f t="shared" ref="D30:J30" si="5">SUM(D15/D28)</f>
        <v>392.86874999999998</v>
      </c>
      <c r="E30" s="1714">
        <f t="shared" si="5"/>
        <v>343.53135313531351</v>
      </c>
      <c r="F30" s="1714">
        <f t="shared" si="5"/>
        <v>339.92497206703911</v>
      </c>
      <c r="G30" s="1714">
        <f t="shared" si="5"/>
        <v>390.20632812500003</v>
      </c>
      <c r="H30" s="1714">
        <f t="shared" si="5"/>
        <v>123.02284710017575</v>
      </c>
      <c r="I30" s="1707">
        <f t="shared" si="5"/>
        <v>694.72727272727275</v>
      </c>
      <c r="J30" s="1707">
        <f t="shared" si="5"/>
        <v>694.72727272727275</v>
      </c>
      <c r="K30" s="1707">
        <f>SUM(K15/K28)</f>
        <v>238.90784982935153</v>
      </c>
      <c r="L30" s="1714">
        <f>SUM(L15/L28)</f>
        <v>239.193083573487</v>
      </c>
      <c r="M30" s="1714">
        <f>SUM(M15/M28)</f>
        <v>239.43661971830986</v>
      </c>
      <c r="N30" s="1703" t="s">
        <v>72</v>
      </c>
      <c r="O30" s="1765"/>
      <c r="P30" s="1768"/>
      <c r="Q30" s="1768"/>
      <c r="R30" s="1768"/>
      <c r="S30" s="1286"/>
      <c r="T30" s="1286"/>
    </row>
    <row r="31" spans="1:20" s="1644" customFormat="1" x14ac:dyDescent="0.2">
      <c r="A31" s="1644" t="s">
        <v>62</v>
      </c>
      <c r="B31" s="1703" t="s">
        <v>187</v>
      </c>
      <c r="C31" s="1703" t="s">
        <v>187</v>
      </c>
      <c r="D31" s="1714">
        <f t="shared" ref="D31:J31" si="6">SUM(D26/D28)</f>
        <v>2043.0062499999999</v>
      </c>
      <c r="E31" s="1714">
        <f t="shared" si="6"/>
        <v>1017.2988668930295</v>
      </c>
      <c r="F31" s="1714">
        <f t="shared" si="6"/>
        <v>1100.8193626431239</v>
      </c>
      <c r="G31" s="1714">
        <f t="shared" si="6"/>
        <v>1849.5277525906563</v>
      </c>
      <c r="H31" s="1714">
        <f t="shared" si="6"/>
        <v>268.47978910369068</v>
      </c>
      <c r="I31" s="1707">
        <f t="shared" si="6"/>
        <v>412.91801063230753</v>
      </c>
      <c r="J31" s="1707">
        <f t="shared" si="6"/>
        <v>412.91801063230758</v>
      </c>
      <c r="K31" s="1707">
        <f>SUM(K26/K28)</f>
        <v>345.4874127059727</v>
      </c>
      <c r="L31" s="1714">
        <f>SUM(L26/L28)</f>
        <v>360.37890264680868</v>
      </c>
      <c r="M31" s="1714">
        <f>SUM(M26/M28)</f>
        <v>374.88707159544998</v>
      </c>
      <c r="N31" s="1703" t="s">
        <v>73</v>
      </c>
      <c r="O31" s="1286"/>
      <c r="P31" s="1286"/>
      <c r="Q31" s="1286"/>
      <c r="R31" s="1286"/>
      <c r="S31" s="1286"/>
      <c r="T31" s="1286"/>
    </row>
    <row r="32" spans="1:20" s="1644" customFormat="1" ht="13.5" x14ac:dyDescent="0.2">
      <c r="A32" s="1644" t="s">
        <v>450</v>
      </c>
      <c r="B32" s="1703" t="s">
        <v>187</v>
      </c>
      <c r="C32" s="1703" t="s">
        <v>187</v>
      </c>
      <c r="D32" s="1776">
        <f t="shared" ref="D32:M32" si="7">D12/D21</f>
        <v>0.2555921052631579</v>
      </c>
      <c r="E32" s="1776">
        <f t="shared" si="7"/>
        <v>0.25022798332464824</v>
      </c>
      <c r="F32" s="1776">
        <f t="shared" si="7"/>
        <v>0.23332475742428699</v>
      </c>
      <c r="G32" s="1776">
        <f t="shared" si="7"/>
        <v>0.2594727260044643</v>
      </c>
      <c r="H32" s="1776">
        <f t="shared" si="7"/>
        <v>0.19470252592977752</v>
      </c>
      <c r="I32" s="1776">
        <f t="shared" si="7"/>
        <v>0.51219558964525402</v>
      </c>
      <c r="J32" s="1776">
        <f t="shared" si="7"/>
        <v>0.49809225966421289</v>
      </c>
      <c r="K32" s="1776">
        <f t="shared" si="7"/>
        <v>0.32565783789968628</v>
      </c>
      <c r="L32" s="1776">
        <f>L12/L21</f>
        <v>0.32604664305815023</v>
      </c>
      <c r="M32" s="1776">
        <f t="shared" si="7"/>
        <v>0.32637860977431332</v>
      </c>
      <c r="N32" s="1639" t="s">
        <v>451</v>
      </c>
    </row>
    <row r="33" spans="1:20" s="1644" customFormat="1" ht="13.5" x14ac:dyDescent="0.2">
      <c r="A33" s="1644" t="s">
        <v>452</v>
      </c>
      <c r="B33" s="1703" t="s">
        <v>187</v>
      </c>
      <c r="C33" s="1703" t="s">
        <v>187</v>
      </c>
      <c r="D33" s="1776">
        <f t="shared" ref="D33:J33" si="8">D13/D21</f>
        <v>6.9335937499999997E-3</v>
      </c>
      <c r="E33" s="1776">
        <f t="shared" si="8"/>
        <v>2.4752475247524753E-3</v>
      </c>
      <c r="F33" s="1776">
        <f t="shared" si="8"/>
        <v>1.3631101146721553E-2</v>
      </c>
      <c r="G33" s="1776">
        <f t="shared" si="8"/>
        <v>2.0880440848214287E-2</v>
      </c>
      <c r="H33" s="1776">
        <f t="shared" si="8"/>
        <v>1.4391368599655181E-2</v>
      </c>
      <c r="I33" s="1776">
        <f>I13/I21</f>
        <v>2.1495685522531161E-2</v>
      </c>
      <c r="J33" s="1776">
        <f t="shared" si="8"/>
        <v>3.3287983096337084E-2</v>
      </c>
      <c r="K33" s="1776">
        <f>K13/K21</f>
        <v>8.2510474846937132E-3</v>
      </c>
      <c r="L33" s="1776">
        <f>L13/L21</f>
        <v>8.2608984676931403E-3</v>
      </c>
      <c r="M33" s="1776">
        <f>M13/M21</f>
        <v>8.2693093604143623E-3</v>
      </c>
      <c r="N33" s="1639" t="s">
        <v>453</v>
      </c>
    </row>
    <row r="34" spans="1:20" s="1644" customFormat="1" x14ac:dyDescent="0.2">
      <c r="B34" s="1757"/>
      <c r="C34" s="1703"/>
      <c r="L34" s="1703"/>
      <c r="M34" s="1703"/>
      <c r="N34" s="1229"/>
      <c r="O34" s="1286"/>
      <c r="P34" s="1286"/>
      <c r="Q34" s="1286"/>
      <c r="R34" s="1286"/>
      <c r="S34" s="1286"/>
      <c r="T34" s="1286"/>
    </row>
    <row r="35" spans="1:20" s="1644" customFormat="1" x14ac:dyDescent="0.2">
      <c r="B35" s="1726"/>
      <c r="L35" s="1703"/>
      <c r="M35" s="1703"/>
      <c r="N35" s="1229"/>
      <c r="O35" s="1286"/>
      <c r="P35" s="1286"/>
      <c r="Q35" s="1286"/>
      <c r="R35" s="1286"/>
      <c r="S35" s="1286"/>
      <c r="T35" s="1286"/>
    </row>
    <row r="36" spans="1:20" s="1644" customFormat="1" x14ac:dyDescent="0.2">
      <c r="A36" s="1704"/>
      <c r="B36" s="1735"/>
      <c r="C36" s="1736"/>
      <c r="D36" s="1736"/>
      <c r="H36" s="1737"/>
      <c r="I36" s="1737"/>
      <c r="J36" s="1703"/>
      <c r="K36" s="1703"/>
      <c r="L36" s="1703"/>
      <c r="M36" s="1703"/>
      <c r="O36" s="1768"/>
      <c r="P36" s="1768"/>
      <c r="Q36" s="1768"/>
      <c r="R36" s="1286"/>
    </row>
    <row r="37" spans="1:20" s="1644" customFormat="1" x14ac:dyDescent="0.2">
      <c r="A37" s="1738" t="s">
        <v>194</v>
      </c>
      <c r="B37" s="1739"/>
      <c r="C37" s="1286"/>
      <c r="J37" s="1703"/>
      <c r="K37" s="1703"/>
      <c r="L37" s="1703"/>
      <c r="M37" s="1703"/>
      <c r="O37" s="1768"/>
      <c r="P37" s="1768"/>
      <c r="Q37" s="1768"/>
      <c r="R37" s="1286"/>
    </row>
    <row r="38" spans="1:20" s="1644" customFormat="1" x14ac:dyDescent="0.2">
      <c r="A38" s="1742" t="s">
        <v>185</v>
      </c>
      <c r="B38" s="1736" t="s">
        <v>1</v>
      </c>
      <c r="C38" s="1736" t="s">
        <v>186</v>
      </c>
      <c r="D38" s="1736" t="s">
        <v>18</v>
      </c>
      <c r="J38" s="1703"/>
      <c r="K38" s="1703"/>
      <c r="L38" s="1703"/>
      <c r="M38" s="1703"/>
    </row>
    <row r="39" spans="1:20" s="1644" customFormat="1" x14ac:dyDescent="0.2">
      <c r="A39" s="1742">
        <v>2006</v>
      </c>
      <c r="B39" s="1703" t="s">
        <v>187</v>
      </c>
      <c r="C39" s="1703" t="s">
        <v>187</v>
      </c>
      <c r="D39" s="1741" t="str">
        <f t="shared" ref="D39:D47" si="9">IF(ISERROR(C39/B39),"-",(C39/B39))</f>
        <v>-</v>
      </c>
      <c r="J39" s="1703"/>
      <c r="K39" s="1703"/>
      <c r="L39" s="1703"/>
      <c r="M39" s="1703"/>
    </row>
    <row r="40" spans="1:20" s="1644" customFormat="1" x14ac:dyDescent="0.2">
      <c r="A40" s="1742">
        <v>2007</v>
      </c>
      <c r="B40" s="1703" t="s">
        <v>187</v>
      </c>
      <c r="C40" s="1703" t="s">
        <v>187</v>
      </c>
      <c r="D40" s="1741" t="str">
        <f t="shared" si="9"/>
        <v>-</v>
      </c>
      <c r="J40" s="1703"/>
      <c r="K40" s="1703"/>
      <c r="L40" s="1703"/>
      <c r="M40" s="1703"/>
    </row>
    <row r="41" spans="1:20" s="1644" customFormat="1" x14ac:dyDescent="0.2">
      <c r="A41" s="1742">
        <v>2008</v>
      </c>
      <c r="B41" s="1706">
        <v>136600</v>
      </c>
      <c r="C41" s="1706">
        <v>62859</v>
      </c>
      <c r="D41" s="1710">
        <f t="shared" si="9"/>
        <v>0.46016837481698392</v>
      </c>
      <c r="J41" s="1703"/>
      <c r="K41" s="1703"/>
      <c r="L41" s="1703"/>
      <c r="M41" s="1703"/>
    </row>
    <row r="42" spans="1:20" s="1644" customFormat="1" x14ac:dyDescent="0.2">
      <c r="A42" s="1742">
        <v>2009</v>
      </c>
      <c r="B42" s="1740">
        <v>136600</v>
      </c>
      <c r="C42" s="1706">
        <f>E15</f>
        <v>104090</v>
      </c>
      <c r="D42" s="1710">
        <f t="shared" si="9"/>
        <v>0.76200585651537334</v>
      </c>
      <c r="J42" s="1703"/>
      <c r="K42" s="1703"/>
      <c r="L42" s="1703"/>
      <c r="M42" s="1703"/>
    </row>
    <row r="43" spans="1:20" s="1644" customFormat="1" x14ac:dyDescent="0.2">
      <c r="A43" s="1742">
        <v>2010</v>
      </c>
      <c r="B43" s="1740">
        <v>136600</v>
      </c>
      <c r="C43" s="1706">
        <v>60846.57</v>
      </c>
      <c r="D43" s="1710">
        <f t="shared" si="9"/>
        <v>0.44543609077598828</v>
      </c>
      <c r="J43" s="1703"/>
      <c r="K43" s="1703"/>
      <c r="L43" s="1703"/>
      <c r="M43" s="1703"/>
    </row>
    <row r="44" spans="1:20" s="1644" customFormat="1" x14ac:dyDescent="0.2">
      <c r="A44" s="1742">
        <v>2011</v>
      </c>
      <c r="B44" s="1740">
        <f>B45</f>
        <v>70000</v>
      </c>
      <c r="C44" s="1706">
        <f>G15</f>
        <v>49946.41</v>
      </c>
      <c r="D44" s="1710">
        <f t="shared" si="9"/>
        <v>0.71352014285714294</v>
      </c>
      <c r="J44" s="1703"/>
      <c r="K44" s="1703"/>
      <c r="L44" s="1703"/>
      <c r="M44" s="1703"/>
    </row>
    <row r="45" spans="1:20" s="1644" customFormat="1" x14ac:dyDescent="0.2">
      <c r="A45" s="1742" t="s">
        <v>319</v>
      </c>
      <c r="B45" s="1740">
        <f>H15</f>
        <v>70000</v>
      </c>
      <c r="C45" s="1706">
        <f>I15</f>
        <v>45852</v>
      </c>
      <c r="D45" s="1710">
        <f t="shared" si="9"/>
        <v>0.6550285714285714</v>
      </c>
      <c r="J45" s="1703"/>
      <c r="K45" s="1703"/>
      <c r="L45" s="1703"/>
      <c r="M45" s="1703"/>
    </row>
    <row r="46" spans="1:20" s="1644" customFormat="1" x14ac:dyDescent="0.2">
      <c r="A46" s="1742" t="s">
        <v>318</v>
      </c>
      <c r="B46" s="1740">
        <f>H15</f>
        <v>70000</v>
      </c>
      <c r="C46" s="1706">
        <f>J15</f>
        <v>72345</v>
      </c>
      <c r="D46" s="1710">
        <f t="shared" si="9"/>
        <v>1.0335000000000001</v>
      </c>
      <c r="J46" s="1703"/>
      <c r="K46" s="1703"/>
      <c r="L46" s="1703"/>
      <c r="M46" s="1703"/>
    </row>
    <row r="47" spans="1:20" s="1644" customFormat="1" x14ac:dyDescent="0.2">
      <c r="A47" s="1742">
        <v>2013</v>
      </c>
      <c r="B47" s="1740">
        <f>K15</f>
        <v>70000</v>
      </c>
      <c r="C47" s="1740" t="s">
        <v>187</v>
      </c>
      <c r="D47" s="1710" t="str">
        <f t="shared" si="9"/>
        <v>-</v>
      </c>
      <c r="J47" s="1703"/>
      <c r="K47" s="1703"/>
      <c r="L47" s="1703"/>
      <c r="M47" s="1703"/>
    </row>
    <row r="48" spans="1:20" s="1644" customFormat="1" x14ac:dyDescent="0.2">
      <c r="A48" s="1742">
        <v>2014</v>
      </c>
      <c r="B48" s="1740">
        <f>L15</f>
        <v>82999.999999999985</v>
      </c>
      <c r="C48" s="1740" t="s">
        <v>187</v>
      </c>
      <c r="D48" s="1710" t="str">
        <f>IF(ISERROR(C48/B48),"-",(C48/B48))</f>
        <v>-</v>
      </c>
      <c r="J48" s="1703"/>
      <c r="K48" s="1703"/>
      <c r="L48" s="1703"/>
      <c r="M48" s="1703"/>
    </row>
    <row r="49" spans="1:13" s="1644" customFormat="1" x14ac:dyDescent="0.2">
      <c r="A49" s="1742">
        <v>2015</v>
      </c>
      <c r="B49" s="1740">
        <f>M15</f>
        <v>102000</v>
      </c>
      <c r="C49" s="1740" t="s">
        <v>187</v>
      </c>
      <c r="D49" s="1710" t="str">
        <f>IF(ISERROR(C49/B49),"-",(C49/B49))</f>
        <v>-</v>
      </c>
      <c r="J49" s="1703"/>
      <c r="K49" s="1703"/>
      <c r="L49" s="1703"/>
      <c r="M49" s="1703"/>
    </row>
    <row r="50" spans="1:13" s="1644" customFormat="1" x14ac:dyDescent="0.2">
      <c r="A50" s="1742"/>
      <c r="B50" s="1740"/>
      <c r="C50" s="1740"/>
      <c r="D50" s="1741"/>
      <c r="J50" s="1703"/>
      <c r="K50" s="1703"/>
      <c r="L50" s="1703"/>
      <c r="M50" s="1703"/>
    </row>
    <row r="51" spans="1:13" s="1644" customFormat="1" x14ac:dyDescent="0.2">
      <c r="A51" s="1743" t="s">
        <v>193</v>
      </c>
      <c r="B51" s="1744"/>
      <c r="C51" s="1744"/>
      <c r="D51" s="1286"/>
      <c r="J51" s="1703"/>
      <c r="K51" s="1703"/>
      <c r="L51" s="1703"/>
      <c r="M51" s="1703"/>
    </row>
    <row r="52" spans="1:13" s="1644" customFormat="1" x14ac:dyDescent="0.2">
      <c r="A52" s="1742" t="s">
        <v>185</v>
      </c>
      <c r="B52" s="1736" t="s">
        <v>188</v>
      </c>
      <c r="C52" s="1736" t="s">
        <v>186</v>
      </c>
      <c r="D52" s="1736" t="s">
        <v>189</v>
      </c>
      <c r="J52" s="1703"/>
      <c r="K52" s="1703"/>
      <c r="L52" s="1703"/>
      <c r="M52" s="1703"/>
    </row>
    <row r="53" spans="1:13" s="1644" customFormat="1" x14ac:dyDescent="0.2">
      <c r="A53" s="1742">
        <v>2006</v>
      </c>
      <c r="B53" s="1703" t="s">
        <v>187</v>
      </c>
      <c r="C53" s="1703" t="s">
        <v>187</v>
      </c>
      <c r="D53" s="1741" t="str">
        <f t="shared" ref="D53:D60" si="10">IF(ISERROR(C53/B53),"-",(C53/B53))</f>
        <v>-</v>
      </c>
      <c r="J53" s="1703"/>
      <c r="K53" s="1703"/>
      <c r="L53" s="1703"/>
      <c r="M53" s="1703"/>
    </row>
    <row r="54" spans="1:13" s="1644" customFormat="1" x14ac:dyDescent="0.2">
      <c r="A54" s="1742">
        <v>2007</v>
      </c>
      <c r="B54" s="1703" t="s">
        <v>187</v>
      </c>
      <c r="C54" s="1703" t="s">
        <v>187</v>
      </c>
      <c r="D54" s="1741" t="str">
        <f t="shared" si="10"/>
        <v>-</v>
      </c>
      <c r="J54" s="1703"/>
      <c r="K54" s="1703"/>
      <c r="L54" s="1703"/>
      <c r="M54" s="1703"/>
    </row>
    <row r="55" spans="1:13" s="1644" customFormat="1" x14ac:dyDescent="0.2">
      <c r="A55" s="1742">
        <v>2008</v>
      </c>
      <c r="B55" s="1703">
        <v>290</v>
      </c>
      <c r="C55" s="1703">
        <v>160</v>
      </c>
      <c r="D55" s="1710">
        <f t="shared" si="10"/>
        <v>0.55172413793103448</v>
      </c>
      <c r="J55" s="1703"/>
      <c r="K55" s="1703"/>
      <c r="L55" s="1703"/>
      <c r="M55" s="1703"/>
    </row>
    <row r="56" spans="1:13" s="1644" customFormat="1" x14ac:dyDescent="0.2">
      <c r="A56" s="1742">
        <v>2009</v>
      </c>
      <c r="B56" s="1745">
        <v>358.66666666666669</v>
      </c>
      <c r="C56" s="1703">
        <v>303</v>
      </c>
      <c r="D56" s="1710">
        <f t="shared" si="10"/>
        <v>0.84479553903345717</v>
      </c>
      <c r="J56" s="1703"/>
      <c r="K56" s="1703"/>
      <c r="L56" s="1703"/>
      <c r="M56" s="1703"/>
    </row>
    <row r="57" spans="1:13" s="1644" customFormat="1" x14ac:dyDescent="0.2">
      <c r="A57" s="1742">
        <v>2010</v>
      </c>
      <c r="B57" s="1745">
        <v>342</v>
      </c>
      <c r="C57" s="1703">
        <v>179</v>
      </c>
      <c r="D57" s="1710">
        <f t="shared" si="10"/>
        <v>0.52339181286549707</v>
      </c>
      <c r="J57" s="1703"/>
      <c r="K57" s="1703"/>
      <c r="L57" s="1703"/>
      <c r="M57" s="1703"/>
    </row>
    <row r="58" spans="1:13" s="1644" customFormat="1" x14ac:dyDescent="0.2">
      <c r="A58" s="1742">
        <v>2011</v>
      </c>
      <c r="B58" s="1762">
        <v>304</v>
      </c>
      <c r="C58" s="1777">
        <f>G28</f>
        <v>128</v>
      </c>
      <c r="D58" s="1710">
        <f t="shared" si="10"/>
        <v>0.42105263157894735</v>
      </c>
      <c r="J58" s="1703"/>
      <c r="K58" s="1703"/>
      <c r="L58" s="1703"/>
      <c r="M58" s="1703"/>
    </row>
    <row r="59" spans="1:13" s="1644" customFormat="1" x14ac:dyDescent="0.2">
      <c r="A59" s="1742" t="s">
        <v>319</v>
      </c>
      <c r="B59" s="1762">
        <f>H28</f>
        <v>569</v>
      </c>
      <c r="C59" s="1761">
        <f>I28</f>
        <v>66</v>
      </c>
      <c r="D59" s="1710">
        <f t="shared" si="10"/>
        <v>0.11599297012302284</v>
      </c>
      <c r="J59" s="1703"/>
      <c r="K59" s="1703"/>
      <c r="L59" s="1703"/>
      <c r="M59" s="1703"/>
    </row>
    <row r="60" spans="1:13" s="1644" customFormat="1" x14ac:dyDescent="0.2">
      <c r="A60" s="1742" t="s">
        <v>318</v>
      </c>
      <c r="B60" s="1745">
        <f>I28</f>
        <v>66</v>
      </c>
      <c r="C60" s="1761">
        <f>J28</f>
        <v>104.13438890342842</v>
      </c>
      <c r="D60" s="1710">
        <f t="shared" si="10"/>
        <v>1.5777937712640668</v>
      </c>
      <c r="J60" s="1703"/>
      <c r="K60" s="1703"/>
      <c r="L60" s="1703"/>
      <c r="M60" s="1703"/>
    </row>
    <row r="61" spans="1:13" s="1644" customFormat="1" x14ac:dyDescent="0.2">
      <c r="A61" s="1742">
        <v>2013</v>
      </c>
      <c r="B61" s="1745">
        <f>K28</f>
        <v>293</v>
      </c>
      <c r="C61" s="1703" t="s">
        <v>187</v>
      </c>
      <c r="D61" s="1741" t="str">
        <f>IF(ISERROR(C61/B61),"-",(C61/B61))</f>
        <v>-</v>
      </c>
      <c r="J61" s="1703"/>
      <c r="K61" s="1703"/>
      <c r="L61" s="1703"/>
      <c r="M61" s="1703"/>
    </row>
    <row r="62" spans="1:13" s="1644" customFormat="1" x14ac:dyDescent="0.2">
      <c r="A62" s="1742">
        <v>2014</v>
      </c>
      <c r="B62" s="1745">
        <f>L28</f>
        <v>347</v>
      </c>
      <c r="C62" s="1703" t="s">
        <v>187</v>
      </c>
      <c r="D62" s="1741" t="str">
        <f>IF(ISERROR(C62/B62),"-",(C62/B62))</f>
        <v>-</v>
      </c>
      <c r="J62" s="1703"/>
      <c r="K62" s="1703"/>
      <c r="L62" s="1703"/>
      <c r="M62" s="1703"/>
    </row>
    <row r="63" spans="1:13" s="1644" customFormat="1" x14ac:dyDescent="0.2">
      <c r="A63" s="1742">
        <v>2015</v>
      </c>
      <c r="B63" s="1745">
        <f>M28</f>
        <v>426</v>
      </c>
      <c r="C63" s="1703" t="s">
        <v>187</v>
      </c>
      <c r="D63" s="1741" t="str">
        <f>IF(ISERROR(C63/B63),"-",(C63/B63))</f>
        <v>-</v>
      </c>
      <c r="J63" s="1703"/>
      <c r="K63" s="1703"/>
      <c r="L63" s="1703"/>
      <c r="M63" s="1703"/>
    </row>
    <row r="64" spans="1:13" s="1644" customFormat="1" x14ac:dyDescent="0.2">
      <c r="A64" s="1742"/>
      <c r="B64" s="1286"/>
      <c r="J64" s="1703"/>
      <c r="K64" s="1703"/>
      <c r="L64" s="1703"/>
      <c r="M64" s="1703"/>
    </row>
    <row r="65" spans="1:13" s="1644" customFormat="1" x14ac:dyDescent="0.2">
      <c r="A65" s="1743" t="s">
        <v>191</v>
      </c>
      <c r="B65" s="1743"/>
      <c r="C65" s="1743"/>
      <c r="J65" s="1703"/>
      <c r="K65" s="1703"/>
      <c r="L65" s="1703"/>
      <c r="M65" s="1703"/>
    </row>
    <row r="66" spans="1:13" s="1644" customFormat="1" x14ac:dyDescent="0.2">
      <c r="A66" s="1742" t="s">
        <v>185</v>
      </c>
      <c r="B66" s="1736" t="s">
        <v>188</v>
      </c>
      <c r="C66" s="1736" t="s">
        <v>186</v>
      </c>
      <c r="D66" s="1736" t="s">
        <v>189</v>
      </c>
      <c r="J66" s="1703"/>
      <c r="K66" s="1703"/>
      <c r="L66" s="1703"/>
      <c r="M66" s="1703"/>
    </row>
    <row r="67" spans="1:13" s="1644" customFormat="1" x14ac:dyDescent="0.2">
      <c r="A67" s="1742">
        <v>2006</v>
      </c>
      <c r="B67" s="1703" t="s">
        <v>187</v>
      </c>
      <c r="C67" s="1763" t="s">
        <v>187</v>
      </c>
      <c r="D67" s="1741" t="str">
        <f t="shared" ref="D67:D74" si="11">IF(ISERROR(C67/B67),"-",(C67/B67))</f>
        <v>-</v>
      </c>
      <c r="J67" s="1703"/>
      <c r="K67" s="1703"/>
      <c r="L67" s="1703"/>
      <c r="M67" s="1703"/>
    </row>
    <row r="68" spans="1:13" s="1644" customFormat="1" x14ac:dyDescent="0.2">
      <c r="A68" s="1742">
        <v>2007</v>
      </c>
      <c r="B68" s="1703" t="s">
        <v>187</v>
      </c>
      <c r="C68" s="1763" t="s">
        <v>187</v>
      </c>
      <c r="D68" s="1741" t="str">
        <f t="shared" si="11"/>
        <v>-</v>
      </c>
      <c r="J68" s="1703"/>
      <c r="K68" s="1703"/>
      <c r="L68" s="1703"/>
      <c r="M68" s="1703"/>
    </row>
    <row r="69" spans="1:13" s="1644" customFormat="1" x14ac:dyDescent="0.2">
      <c r="A69" s="1742">
        <v>2008</v>
      </c>
      <c r="B69" s="1745">
        <v>17630</v>
      </c>
      <c r="C69" s="1763">
        <v>9728</v>
      </c>
      <c r="D69" s="1710">
        <f t="shared" si="11"/>
        <v>0.55178672716959731</v>
      </c>
      <c r="J69" s="1703"/>
      <c r="K69" s="1703"/>
      <c r="L69" s="1703"/>
      <c r="M69" s="1703"/>
    </row>
    <row r="70" spans="1:13" s="1644" customFormat="1" x14ac:dyDescent="0.2">
      <c r="A70" s="1742">
        <v>2009</v>
      </c>
      <c r="B70" s="1745">
        <v>21807</v>
      </c>
      <c r="C70" s="1763">
        <v>18422</v>
      </c>
      <c r="D70" s="1710">
        <f t="shared" si="11"/>
        <v>0.84477461365616546</v>
      </c>
      <c r="J70" s="1703"/>
      <c r="K70" s="1703"/>
      <c r="L70" s="1703"/>
      <c r="M70" s="1703"/>
    </row>
    <row r="71" spans="1:13" s="1644" customFormat="1" x14ac:dyDescent="0.2">
      <c r="A71" s="1742">
        <v>2010</v>
      </c>
      <c r="B71" s="1745">
        <v>20791</v>
      </c>
      <c r="C71" s="1763">
        <v>10883</v>
      </c>
      <c r="D71" s="1710">
        <f t="shared" si="11"/>
        <v>0.52344764561589152</v>
      </c>
      <c r="J71" s="1703"/>
      <c r="K71" s="1703"/>
      <c r="L71" s="1703"/>
      <c r="M71" s="1703"/>
    </row>
    <row r="72" spans="1:13" s="1644" customFormat="1" x14ac:dyDescent="0.2">
      <c r="A72" s="1742">
        <v>2011</v>
      </c>
      <c r="B72" s="1762">
        <v>17043</v>
      </c>
      <c r="C72" s="1763">
        <f>G20</f>
        <v>7168</v>
      </c>
      <c r="D72" s="1710">
        <f t="shared" si="11"/>
        <v>0.42058323065188052</v>
      </c>
      <c r="J72" s="1703"/>
      <c r="K72" s="1703"/>
      <c r="L72" s="1703"/>
      <c r="M72" s="1703"/>
    </row>
    <row r="73" spans="1:13" s="1644" customFormat="1" x14ac:dyDescent="0.2">
      <c r="A73" s="1742" t="s">
        <v>319</v>
      </c>
      <c r="B73" s="1762">
        <f>H20</f>
        <v>24361</v>
      </c>
      <c r="C73" s="1763">
        <f>I20</f>
        <v>3487</v>
      </c>
      <c r="D73" s="1710">
        <f t="shared" si="11"/>
        <v>0.14313862320922788</v>
      </c>
      <c r="J73" s="1703"/>
      <c r="K73" s="1703"/>
      <c r="L73" s="1703"/>
      <c r="M73" s="1703"/>
    </row>
    <row r="74" spans="1:13" s="1644" customFormat="1" x14ac:dyDescent="0.2">
      <c r="A74" s="1742" t="s">
        <v>318</v>
      </c>
      <c r="B74" s="1745">
        <f>H20</f>
        <v>24361</v>
      </c>
      <c r="C74" s="1763">
        <f>J20</f>
        <v>5501.7668803978022</v>
      </c>
      <c r="D74" s="1710">
        <f t="shared" si="11"/>
        <v>0.22584322812683397</v>
      </c>
      <c r="J74" s="1703"/>
      <c r="K74" s="1703"/>
      <c r="L74" s="1703"/>
      <c r="M74" s="1703"/>
    </row>
    <row r="75" spans="1:13" s="1644" customFormat="1" x14ac:dyDescent="0.2">
      <c r="A75" s="1742">
        <v>2013</v>
      </c>
      <c r="B75" s="1745">
        <f>K20</f>
        <v>14984.776348837198</v>
      </c>
      <c r="C75" s="1763" t="s">
        <v>187</v>
      </c>
      <c r="D75" s="1741" t="str">
        <f>IF(ISERROR(C75/B75),"-",(C75/B75))</f>
        <v>-</v>
      </c>
      <c r="J75" s="1703"/>
      <c r="K75" s="1703"/>
      <c r="L75" s="1703"/>
      <c r="M75" s="1703"/>
    </row>
    <row r="76" spans="1:13" s="1644" customFormat="1" x14ac:dyDescent="0.2">
      <c r="A76" s="1742">
        <v>2014</v>
      </c>
      <c r="B76" s="1745">
        <f>L20</f>
        <v>17746.475744186035</v>
      </c>
      <c r="C76" s="1763" t="s">
        <v>187</v>
      </c>
      <c r="D76" s="1741" t="str">
        <f>IF(ISERROR(C76/B76),"-",(C76/B76))</f>
        <v>-</v>
      </c>
      <c r="J76" s="1703"/>
      <c r="K76" s="1703"/>
      <c r="L76" s="1703"/>
      <c r="M76" s="1703"/>
    </row>
    <row r="77" spans="1:13" s="1644" customFormat="1" x14ac:dyDescent="0.2">
      <c r="A77" s="1742">
        <v>2015</v>
      </c>
      <c r="B77" s="1745">
        <f>M20</f>
        <v>21786.73967441859</v>
      </c>
      <c r="C77" s="1763" t="s">
        <v>187</v>
      </c>
      <c r="D77" s="1741" t="str">
        <f>IF(ISERROR(C77/B77),"-",(C77/B77))</f>
        <v>-</v>
      </c>
      <c r="J77" s="1703"/>
      <c r="K77" s="1703"/>
      <c r="L77" s="1703"/>
      <c r="M77" s="1703"/>
    </row>
    <row r="78" spans="1:13" s="1644" customFormat="1" x14ac:dyDescent="0.2">
      <c r="A78" s="1742"/>
      <c r="B78" s="1745"/>
      <c r="C78" s="1745"/>
      <c r="D78" s="1745"/>
      <c r="J78" s="1703"/>
      <c r="K78" s="1703"/>
      <c r="L78" s="1703"/>
      <c r="M78" s="1703"/>
    </row>
    <row r="79" spans="1:13" s="1644" customFormat="1" x14ac:dyDescent="0.2">
      <c r="A79" s="1743" t="s">
        <v>190</v>
      </c>
      <c r="J79" s="1703"/>
      <c r="K79" s="1703"/>
      <c r="L79" s="1703"/>
      <c r="M79" s="1703"/>
    </row>
    <row r="80" spans="1:13" s="1644" customFormat="1" x14ac:dyDescent="0.2">
      <c r="A80" s="1742" t="s">
        <v>185</v>
      </c>
      <c r="B80" s="1736" t="s">
        <v>188</v>
      </c>
      <c r="C80" s="1736" t="s">
        <v>186</v>
      </c>
      <c r="D80" s="1736" t="s">
        <v>189</v>
      </c>
      <c r="J80" s="1703"/>
      <c r="K80" s="1703"/>
      <c r="L80" s="1703"/>
      <c r="M80" s="1703"/>
    </row>
    <row r="81" spans="1:14" s="1644" customFormat="1" x14ac:dyDescent="0.2">
      <c r="A81" s="1742">
        <v>2006</v>
      </c>
      <c r="B81" s="1703" t="s">
        <v>187</v>
      </c>
      <c r="C81" s="1703" t="s">
        <v>187</v>
      </c>
      <c r="D81" s="1741" t="str">
        <f t="shared" ref="D81:D88" si="12">IF(ISERROR(C81/B81),"-",(C81/B81))</f>
        <v>-</v>
      </c>
      <c r="J81" s="1703"/>
      <c r="K81" s="1703"/>
      <c r="L81" s="1703"/>
      <c r="M81" s="1703"/>
    </row>
    <row r="82" spans="1:14" s="1644" customFormat="1" x14ac:dyDescent="0.2">
      <c r="A82" s="1742">
        <v>2007</v>
      </c>
      <c r="B82" s="1703" t="s">
        <v>187</v>
      </c>
      <c r="C82" s="1703" t="s">
        <v>187</v>
      </c>
      <c r="D82" s="1741" t="str">
        <f t="shared" si="12"/>
        <v>-</v>
      </c>
      <c r="J82" s="1703"/>
      <c r="K82" s="1703"/>
      <c r="L82" s="1703"/>
      <c r="M82" s="1703"/>
    </row>
    <row r="83" spans="1:14" s="1644" customFormat="1" x14ac:dyDescent="0.2">
      <c r="A83" s="1742">
        <v>2008</v>
      </c>
      <c r="B83" s="1745">
        <v>352592</v>
      </c>
      <c r="C83" s="1761">
        <v>194560</v>
      </c>
      <c r="D83" s="1710">
        <f t="shared" si="12"/>
        <v>0.55179924672142311</v>
      </c>
      <c r="J83" s="1703"/>
      <c r="K83" s="1703"/>
      <c r="L83" s="1703"/>
      <c r="M83" s="1703"/>
    </row>
    <row r="84" spans="1:14" s="1644" customFormat="1" x14ac:dyDescent="0.2">
      <c r="A84" s="1742">
        <v>2009</v>
      </c>
      <c r="B84" s="1745">
        <v>436139</v>
      </c>
      <c r="C84" s="1763">
        <v>368448</v>
      </c>
      <c r="D84" s="1710">
        <f t="shared" si="12"/>
        <v>0.84479489337114999</v>
      </c>
      <c r="J84" s="1703"/>
      <c r="K84" s="1703"/>
      <c r="L84" s="1703"/>
      <c r="M84" s="1703"/>
    </row>
    <row r="85" spans="1:14" s="1644" customFormat="1" x14ac:dyDescent="0.2">
      <c r="A85" s="1742">
        <v>2010</v>
      </c>
      <c r="B85" s="1745">
        <v>415811</v>
      </c>
      <c r="C85" s="1763">
        <v>217664</v>
      </c>
      <c r="D85" s="1710">
        <f t="shared" si="12"/>
        <v>0.52346859510691157</v>
      </c>
      <c r="J85" s="1703"/>
      <c r="K85" s="1703"/>
      <c r="L85" s="1698"/>
      <c r="M85" s="1698"/>
    </row>
    <row r="86" spans="1:14" s="1644" customFormat="1" x14ac:dyDescent="0.2">
      <c r="A86" s="1742">
        <v>2011</v>
      </c>
      <c r="B86" s="1762">
        <f>340854</f>
        <v>340854</v>
      </c>
      <c r="C86" s="1761">
        <f>G21</f>
        <v>143360</v>
      </c>
      <c r="D86" s="1710">
        <f t="shared" si="12"/>
        <v>0.42059063411313935</v>
      </c>
      <c r="J86" s="1703"/>
      <c r="K86" s="1703"/>
      <c r="L86" s="1635"/>
      <c r="M86" s="1635"/>
    </row>
    <row r="87" spans="1:14" s="1644" customFormat="1" x14ac:dyDescent="0.2">
      <c r="A87" s="1742" t="s">
        <v>319</v>
      </c>
      <c r="B87" s="1762">
        <f>H21</f>
        <v>292328</v>
      </c>
      <c r="C87" s="1761">
        <f>I21</f>
        <v>52150</v>
      </c>
      <c r="D87" s="1710">
        <f t="shared" si="12"/>
        <v>0.17839550094414494</v>
      </c>
      <c r="J87" s="1703"/>
      <c r="K87" s="1703"/>
      <c r="L87" s="1635"/>
      <c r="M87" s="1635"/>
    </row>
    <row r="88" spans="1:14" s="1644" customFormat="1" x14ac:dyDescent="0.2">
      <c r="A88" s="1742" t="s">
        <v>318</v>
      </c>
      <c r="B88" s="1745">
        <f>H21</f>
        <v>292328</v>
      </c>
      <c r="C88" s="1745">
        <f>J21</f>
        <v>82281.945171421088</v>
      </c>
      <c r="D88" s="1741">
        <f t="shared" si="12"/>
        <v>0.28147131021120486</v>
      </c>
      <c r="J88" s="1703"/>
      <c r="K88" s="1703"/>
      <c r="L88" s="1635"/>
      <c r="M88" s="1635"/>
    </row>
    <row r="89" spans="1:14" x14ac:dyDescent="0.2">
      <c r="A89" s="1742">
        <v>2013</v>
      </c>
      <c r="B89" s="1745">
        <f>K21</f>
        <v>179817.31618604637</v>
      </c>
      <c r="C89" s="1703" t="s">
        <v>187</v>
      </c>
      <c r="D89" s="1741" t="str">
        <f>IF(ISERROR(C89/B89),"-",(C89/B89))</f>
        <v>-</v>
      </c>
      <c r="E89" s="1188"/>
      <c r="F89" s="1188"/>
      <c r="G89" s="1188"/>
      <c r="H89" s="1644"/>
      <c r="I89" s="1644"/>
      <c r="J89" s="1698"/>
      <c r="K89" s="1698"/>
      <c r="N89" s="1644"/>
    </row>
    <row r="90" spans="1:14" x14ac:dyDescent="0.2">
      <c r="A90" s="1742">
        <v>2014</v>
      </c>
      <c r="B90" s="1745">
        <f>L21</f>
        <v>212957.70893023242</v>
      </c>
      <c r="C90" s="1703" t="s">
        <v>187</v>
      </c>
      <c r="D90" s="1741" t="str">
        <f>IF(ISERROR(C90/B90),"-",(C90/B90))</f>
        <v>-</v>
      </c>
      <c r="E90" s="1188"/>
      <c r="F90" s="1188"/>
      <c r="G90" s="1188"/>
      <c r="H90" s="1644"/>
      <c r="I90" s="1644"/>
      <c r="J90" s="1698"/>
      <c r="K90" s="1698"/>
      <c r="N90" s="1644"/>
    </row>
    <row r="91" spans="1:14" x14ac:dyDescent="0.2">
      <c r="A91" s="1742">
        <v>2015</v>
      </c>
      <c r="B91" s="1745">
        <f>M21</f>
        <v>261440.87609302308</v>
      </c>
      <c r="C91" s="1703" t="s">
        <v>187</v>
      </c>
      <c r="D91" s="1741" t="str">
        <f>IF(ISERROR(C91/B91),"-",(C91/B91))</f>
        <v>-</v>
      </c>
      <c r="H91" s="1644"/>
      <c r="I91" s="1644"/>
      <c r="N91" s="1644"/>
    </row>
    <row r="92" spans="1:14" x14ac:dyDescent="0.2">
      <c r="H92" s="1644"/>
      <c r="I92" s="1644"/>
      <c r="N92" s="1644"/>
    </row>
    <row r="93" spans="1:14" x14ac:dyDescent="0.2">
      <c r="H93" s="1644"/>
      <c r="I93" s="1644"/>
      <c r="N93" s="1644"/>
    </row>
    <row r="94" spans="1:14" x14ac:dyDescent="0.2">
      <c r="H94" s="1644"/>
      <c r="I94" s="1644"/>
      <c r="N94" s="1644"/>
    </row>
    <row r="95" spans="1:14" x14ac:dyDescent="0.2">
      <c r="H95" s="1644"/>
      <c r="I95" s="1644"/>
      <c r="N95" s="1644"/>
    </row>
    <row r="96" spans="1:14" x14ac:dyDescent="0.2">
      <c r="H96" s="1635"/>
      <c r="I96" s="1635"/>
      <c r="N96" s="1644"/>
    </row>
    <row r="97" spans="8:14" x14ac:dyDescent="0.2">
      <c r="H97" s="1635"/>
      <c r="I97" s="1635"/>
      <c r="N97" s="1644"/>
    </row>
    <row r="98" spans="8:14" x14ac:dyDescent="0.2">
      <c r="N98" s="1644"/>
    </row>
  </sheetData>
  <mergeCells count="1">
    <mergeCell ref="A1:O1"/>
  </mergeCells>
  <pageMargins left="0.98" right="0.75" top="1.1499999999999999" bottom="1" header="0.5" footer="0.5"/>
  <pageSetup scale="45" orientation="portrait" r:id="rId1"/>
  <headerFooter alignWithMargins="0">
    <oddFooter>&amp;C&amp;1#&amp;"Calibri"&amp;12&amp;K008000Internal Use</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47">
    <tabColor indexed="11"/>
    <pageSetUpPr fitToPage="1"/>
  </sheetPr>
  <dimension ref="A1:Q127"/>
  <sheetViews>
    <sheetView topLeftCell="D16" workbookViewId="0">
      <selection activeCell="J67" sqref="J67"/>
    </sheetView>
  </sheetViews>
  <sheetFormatPr defaultRowHeight="12.75" x14ac:dyDescent="0.2"/>
  <cols>
    <col min="1" max="1" width="36.7109375" style="1635" customWidth="1"/>
    <col min="2" max="2" width="13.28515625" style="1635" customWidth="1"/>
    <col min="3" max="3" width="12.42578125" style="1635" customWidth="1"/>
    <col min="4" max="4" width="12.28515625" style="1635" bestFit="1" customWidth="1"/>
    <col min="5" max="5" width="11.28515625" style="1635" bestFit="1" customWidth="1"/>
    <col min="6" max="6" width="11.28515625" style="1635" customWidth="1"/>
    <col min="7" max="7" width="12.85546875" style="1635" customWidth="1"/>
    <col min="8" max="9" width="12" style="1188" customWidth="1"/>
    <col min="10" max="13" width="13.42578125" style="1635" customWidth="1"/>
    <col min="14" max="14" width="6.42578125" style="1635" customWidth="1"/>
    <col min="15" max="15" width="13.5703125" style="1635" customWidth="1"/>
    <col min="16" max="16384" width="9.140625" style="1635"/>
  </cols>
  <sheetData>
    <row r="1" spans="1:14" ht="15.75" x14ac:dyDescent="0.25">
      <c r="A1" s="2976" t="s">
        <v>48</v>
      </c>
      <c r="B1" s="2976"/>
      <c r="C1" s="2976"/>
      <c r="D1" s="2976"/>
      <c r="E1" s="2976"/>
      <c r="F1" s="2976"/>
      <c r="G1" s="2976"/>
      <c r="H1" s="2976"/>
      <c r="I1" s="2976"/>
      <c r="J1" s="2976"/>
      <c r="K1" s="2976"/>
      <c r="L1" s="2976"/>
      <c r="M1" s="2976"/>
      <c r="N1" s="2976"/>
    </row>
    <row r="2" spans="1:14" x14ac:dyDescent="0.2">
      <c r="A2" s="1699"/>
    </row>
    <row r="3" spans="1:14" ht="15.75" x14ac:dyDescent="0.25">
      <c r="A3" s="1700" t="s">
        <v>199</v>
      </c>
    </row>
    <row r="4" spans="1:14" s="1644" customFormat="1" x14ac:dyDescent="0.2">
      <c r="A4" s="1778"/>
      <c r="H4" s="1188"/>
      <c r="I4" s="1188"/>
      <c r="J4" s="1635"/>
      <c r="K4" s="1635"/>
      <c r="L4" s="1635"/>
      <c r="M4" s="1635"/>
    </row>
    <row r="5" spans="1:14" s="1644" customFormat="1" x14ac:dyDescent="0.2">
      <c r="A5" s="1701"/>
      <c r="H5" s="1702"/>
      <c r="I5" s="1702"/>
    </row>
    <row r="6" spans="1:14" s="1644" customFormat="1" x14ac:dyDescent="0.2">
      <c r="A6" s="1701"/>
      <c r="B6" s="1634">
        <v>2006</v>
      </c>
      <c r="C6" s="1634">
        <v>2007</v>
      </c>
      <c r="D6" s="1634">
        <v>2008</v>
      </c>
      <c r="E6" s="1634">
        <v>2009</v>
      </c>
      <c r="F6" s="1634">
        <v>2010</v>
      </c>
      <c r="G6" s="1634">
        <v>2011</v>
      </c>
      <c r="H6" s="1634">
        <v>2012</v>
      </c>
      <c r="I6" s="1634">
        <v>2012</v>
      </c>
      <c r="J6" s="1634">
        <v>2012</v>
      </c>
      <c r="K6" s="1634">
        <v>2013</v>
      </c>
      <c r="L6" s="1634">
        <v>2014</v>
      </c>
      <c r="M6" s="1634">
        <v>2015</v>
      </c>
      <c r="N6" s="1634"/>
    </row>
    <row r="7" spans="1:14" s="1644" customFormat="1" x14ac:dyDescent="0.2">
      <c r="A7" s="1704" t="s">
        <v>44</v>
      </c>
      <c r="B7" s="1645" t="s">
        <v>148</v>
      </c>
      <c r="C7" s="1645" t="s">
        <v>148</v>
      </c>
      <c r="D7" s="1645" t="s">
        <v>148</v>
      </c>
      <c r="E7" s="1645" t="s">
        <v>148</v>
      </c>
      <c r="F7" s="1645" t="s">
        <v>148</v>
      </c>
      <c r="G7" s="1645" t="s">
        <v>148</v>
      </c>
      <c r="H7" s="1645" t="s">
        <v>1</v>
      </c>
      <c r="I7" s="1645" t="s">
        <v>442</v>
      </c>
      <c r="J7" s="1645" t="s">
        <v>212</v>
      </c>
      <c r="K7" s="1645" t="s">
        <v>1</v>
      </c>
      <c r="L7" s="1645" t="s">
        <v>1</v>
      </c>
      <c r="M7" s="1645" t="s">
        <v>1</v>
      </c>
      <c r="N7" s="1645"/>
    </row>
    <row r="8" spans="1:14" s="1644" customFormat="1" x14ac:dyDescent="0.2">
      <c r="A8" s="1286"/>
      <c r="H8" s="1705"/>
      <c r="I8" s="1705"/>
    </row>
    <row r="9" spans="1:14" s="1644" customFormat="1" x14ac:dyDescent="0.2">
      <c r="A9" s="1286" t="s">
        <v>53</v>
      </c>
      <c r="B9" s="1706" t="s">
        <v>187</v>
      </c>
      <c r="C9" s="1706" t="s">
        <v>187</v>
      </c>
      <c r="D9" s="1707">
        <v>60129</v>
      </c>
      <c r="E9" s="1707">
        <v>99846</v>
      </c>
      <c r="F9" s="1707">
        <v>102648.76</v>
      </c>
      <c r="G9" s="1779">
        <v>128752</v>
      </c>
      <c r="H9" s="1708">
        <v>285000</v>
      </c>
      <c r="I9" s="1708">
        <v>88840</v>
      </c>
      <c r="J9" s="1707">
        <v>152298</v>
      </c>
      <c r="K9" s="1707">
        <v>186858.23084849428</v>
      </c>
      <c r="L9" s="1707">
        <v>221517.41882845692</v>
      </c>
      <c r="M9" s="1707">
        <v>270209.81063726312</v>
      </c>
    </row>
    <row r="10" spans="1:14" s="1644" customFormat="1" x14ac:dyDescent="0.2">
      <c r="A10" s="1286" t="s">
        <v>45</v>
      </c>
      <c r="B10" s="1706" t="s">
        <v>187</v>
      </c>
      <c r="C10" s="1706" t="s">
        <v>187</v>
      </c>
      <c r="D10" s="1707">
        <v>42888</v>
      </c>
      <c r="E10" s="1707">
        <v>23331</v>
      </c>
      <c r="F10" s="1707">
        <v>31321.35</v>
      </c>
      <c r="G10" s="1779">
        <v>15933</v>
      </c>
      <c r="H10" s="1708">
        <v>200000</v>
      </c>
      <c r="I10" s="1708">
        <v>26923</v>
      </c>
      <c r="J10" s="1707">
        <v>46153</v>
      </c>
      <c r="K10" s="1707">
        <v>131609.89427394091</v>
      </c>
      <c r="L10" s="1707">
        <v>156021.40692152671</v>
      </c>
      <c r="M10" s="1707">
        <v>190316.928766097</v>
      </c>
    </row>
    <row r="11" spans="1:14" s="1644" customFormat="1" x14ac:dyDescent="0.2">
      <c r="A11" s="1286" t="s">
        <v>202</v>
      </c>
      <c r="B11" s="1706" t="s">
        <v>187</v>
      </c>
      <c r="C11" s="1706" t="s">
        <v>187</v>
      </c>
      <c r="D11" s="1707">
        <v>67</v>
      </c>
      <c r="E11" s="1707">
        <v>0</v>
      </c>
      <c r="F11" s="1707">
        <v>0</v>
      </c>
      <c r="G11" s="1779">
        <v>0</v>
      </c>
      <c r="H11" s="1708">
        <v>6500</v>
      </c>
      <c r="I11" s="1708">
        <v>0</v>
      </c>
      <c r="J11" s="1707">
        <v>0</v>
      </c>
      <c r="K11" s="1707">
        <v>4277.3215639030796</v>
      </c>
      <c r="L11" s="1707">
        <v>5070.6957249496181</v>
      </c>
      <c r="M11" s="1707">
        <v>6185.3001848981521</v>
      </c>
    </row>
    <row r="12" spans="1:14" s="1644" customFormat="1" x14ac:dyDescent="0.2">
      <c r="A12" s="1286" t="s">
        <v>2</v>
      </c>
      <c r="B12" s="1706" t="s">
        <v>187</v>
      </c>
      <c r="C12" s="1706" t="s">
        <v>187</v>
      </c>
      <c r="D12" s="1707">
        <v>277680</v>
      </c>
      <c r="E12" s="1707">
        <v>674014</v>
      </c>
      <c r="F12" s="1707">
        <v>852468.1</v>
      </c>
      <c r="G12" s="1779">
        <f>1300988+559809</f>
        <v>1860797</v>
      </c>
      <c r="H12" s="1708">
        <v>2617612</v>
      </c>
      <c r="I12" s="1708">
        <v>321278</v>
      </c>
      <c r="J12" s="1707">
        <v>873239</v>
      </c>
      <c r="K12" s="1707">
        <v>1629641.2273219</v>
      </c>
      <c r="L12" s="1707">
        <v>1952276.2936799999</v>
      </c>
      <c r="M12" s="1707">
        <v>2395421.2102754698</v>
      </c>
    </row>
    <row r="13" spans="1:14" s="1644" customFormat="1" x14ac:dyDescent="0.2">
      <c r="A13" s="1286" t="s">
        <v>14</v>
      </c>
      <c r="B13" s="1706" t="s">
        <v>187</v>
      </c>
      <c r="C13" s="1706" t="s">
        <v>187</v>
      </c>
      <c r="D13" s="1707">
        <v>3650</v>
      </c>
      <c r="E13" s="1707">
        <v>1569</v>
      </c>
      <c r="F13" s="1707">
        <v>7094.21</v>
      </c>
      <c r="G13" s="1779">
        <v>5807</v>
      </c>
      <c r="H13" s="1708">
        <v>12500</v>
      </c>
      <c r="I13" s="1708">
        <v>13008</v>
      </c>
      <c r="J13" s="1707">
        <v>22300</v>
      </c>
      <c r="K13" s="1707">
        <v>46742.583921212739</v>
      </c>
      <c r="L13" s="1707">
        <v>55412.579325953811</v>
      </c>
      <c r="M13" s="1707">
        <v>67592.980478810161</v>
      </c>
    </row>
    <row r="14" spans="1:14" s="1644" customFormat="1" ht="15" x14ac:dyDescent="0.35">
      <c r="A14" s="1286" t="s">
        <v>46</v>
      </c>
      <c r="B14" s="1706" t="s">
        <v>187</v>
      </c>
      <c r="C14" s="1706" t="s">
        <v>187</v>
      </c>
      <c r="D14" s="1712">
        <v>5914</v>
      </c>
      <c r="E14" s="1712">
        <v>5746</v>
      </c>
      <c r="F14" s="1712">
        <v>7986.06</v>
      </c>
      <c r="G14" s="1780">
        <v>3209</v>
      </c>
      <c r="H14" s="1713">
        <v>15000</v>
      </c>
      <c r="I14" s="1713">
        <v>4096</v>
      </c>
      <c r="J14" s="1712">
        <v>7021</v>
      </c>
      <c r="K14" s="1724">
        <v>9870.7420705455679</v>
      </c>
      <c r="L14" s="1724">
        <v>11701.605519114504</v>
      </c>
      <c r="M14" s="1724">
        <v>14273.769657457275</v>
      </c>
    </row>
    <row r="15" spans="1:14" s="1644" customFormat="1" x14ac:dyDescent="0.2">
      <c r="A15" s="1286" t="s">
        <v>86</v>
      </c>
      <c r="B15" s="1714"/>
      <c r="C15" s="1714"/>
      <c r="D15" s="1707">
        <f t="shared" ref="D15:J15" si="0">SUM(D9:D14)</f>
        <v>390328</v>
      </c>
      <c r="E15" s="1707">
        <f t="shared" si="0"/>
        <v>804506</v>
      </c>
      <c r="F15" s="1707">
        <f t="shared" si="0"/>
        <v>1001518.48</v>
      </c>
      <c r="G15" s="1781">
        <f>SUM(G9:G14)</f>
        <v>2014498</v>
      </c>
      <c r="H15" s="1716">
        <f t="shared" si="0"/>
        <v>3136612</v>
      </c>
      <c r="I15" s="1715">
        <f t="shared" si="0"/>
        <v>454145</v>
      </c>
      <c r="J15" s="799">
        <f t="shared" si="0"/>
        <v>1101011</v>
      </c>
      <c r="K15" s="1717">
        <f>SUM(K9:K14)</f>
        <v>2008999.9999999965</v>
      </c>
      <c r="L15" s="1717">
        <f>SUM(L9:L14)</f>
        <v>2402000.0000000019</v>
      </c>
      <c r="M15" s="1717">
        <f>SUM(M9:M14)</f>
        <v>2943999.9999999953</v>
      </c>
      <c r="N15" s="1703" t="s">
        <v>201</v>
      </c>
    </row>
    <row r="16" spans="1:14" s="1644" customFormat="1" x14ac:dyDescent="0.2">
      <c r="A16" s="1286"/>
      <c r="B16" s="1718"/>
      <c r="C16" s="1719"/>
      <c r="D16" s="1720"/>
      <c r="H16" s="1721"/>
      <c r="I16" s="1721"/>
      <c r="J16" s="824"/>
    </row>
    <row r="17" spans="1:17" s="1644" customFormat="1" ht="15" x14ac:dyDescent="0.35">
      <c r="A17" s="1722"/>
      <c r="C17" s="1723"/>
      <c r="D17" s="1723"/>
      <c r="G17" s="1724"/>
      <c r="N17" s="1724"/>
    </row>
    <row r="18" spans="1:17" s="1644" customFormat="1" ht="30" customHeight="1" x14ac:dyDescent="0.2">
      <c r="A18" s="1704" t="s">
        <v>83</v>
      </c>
      <c r="B18" s="1658" t="s">
        <v>192</v>
      </c>
      <c r="C18" s="1658" t="s">
        <v>176</v>
      </c>
      <c r="D18" s="1658" t="s">
        <v>208</v>
      </c>
      <c r="E18" s="1658" t="s">
        <v>218</v>
      </c>
      <c r="F18" s="1658" t="s">
        <v>257</v>
      </c>
      <c r="G18" s="1658" t="s">
        <v>321</v>
      </c>
      <c r="H18" s="1658" t="s">
        <v>445</v>
      </c>
      <c r="I18" s="1658" t="s">
        <v>317</v>
      </c>
      <c r="J18" s="1658" t="s">
        <v>323</v>
      </c>
      <c r="K18" s="1658" t="s">
        <v>447</v>
      </c>
      <c r="L18" s="1658" t="s">
        <v>448</v>
      </c>
      <c r="M18" s="1658" t="s">
        <v>449</v>
      </c>
      <c r="N18" s="1703"/>
      <c r="O18" s="1286"/>
      <c r="P18" s="1286"/>
      <c r="Q18" s="1286"/>
    </row>
    <row r="19" spans="1:17" s="1644" customFormat="1" x14ac:dyDescent="0.2">
      <c r="G19" s="1703"/>
      <c r="N19" s="1703"/>
      <c r="O19" s="1229"/>
      <c r="P19" s="1286"/>
      <c r="Q19" s="1286"/>
    </row>
    <row r="20" spans="1:17" s="1644" customFormat="1" x14ac:dyDescent="0.2">
      <c r="A20" s="1644" t="s">
        <v>49</v>
      </c>
      <c r="B20" s="1706" t="s">
        <v>187</v>
      </c>
      <c r="C20" s="1706" t="s">
        <v>187</v>
      </c>
      <c r="D20" s="1757">
        <v>43558</v>
      </c>
      <c r="E20" s="1733">
        <v>112046</v>
      </c>
      <c r="F20" s="1733">
        <v>287670</v>
      </c>
      <c r="G20" s="1734">
        <v>359929</v>
      </c>
      <c r="H20" s="1751">
        <v>672820</v>
      </c>
      <c r="I20" s="1751">
        <v>108399</v>
      </c>
      <c r="J20" s="1726">
        <f>I20/I15*J15</f>
        <v>262798.20627552876</v>
      </c>
      <c r="K20" s="1727">
        <v>306585.49171854713</v>
      </c>
      <c r="L20" s="1727">
        <v>356325.64265201159</v>
      </c>
      <c r="M20" s="1727">
        <v>426128.06321221043</v>
      </c>
      <c r="N20" s="1703" t="s">
        <v>64</v>
      </c>
      <c r="O20" s="1728"/>
      <c r="P20" s="1286"/>
      <c r="Q20" s="1286"/>
    </row>
    <row r="21" spans="1:17" s="1644" customFormat="1" x14ac:dyDescent="0.2">
      <c r="A21" s="1644" t="s">
        <v>50</v>
      </c>
      <c r="B21" s="1706" t="s">
        <v>187</v>
      </c>
      <c r="C21" s="1706" t="s">
        <v>187</v>
      </c>
      <c r="D21" s="1757">
        <v>670160</v>
      </c>
      <c r="E21" s="1733">
        <v>1770613</v>
      </c>
      <c r="F21" s="1733">
        <v>4371511</v>
      </c>
      <c r="G21" s="1734">
        <v>5637483</v>
      </c>
      <c r="H21" s="1751">
        <v>10190977</v>
      </c>
      <c r="I21" s="1751">
        <v>1672230</v>
      </c>
      <c r="J21" s="1726">
        <f>I21/I15*J15</f>
        <v>4054087.6251637689</v>
      </c>
      <c r="K21" s="1727">
        <v>4709137.1835290538</v>
      </c>
      <c r="L21" s="1727">
        <v>5473143.3110276014</v>
      </c>
      <c r="M21" s="1727">
        <v>6545304.8549995786</v>
      </c>
      <c r="N21" s="1703" t="s">
        <v>10</v>
      </c>
      <c r="O21" s="1675"/>
      <c r="P21" s="1286"/>
      <c r="Q21" s="1286"/>
    </row>
    <row r="22" spans="1:17" s="1644" customFormat="1" x14ac:dyDescent="0.2">
      <c r="E22" s="1782"/>
      <c r="F22" s="1782"/>
      <c r="G22" s="1734"/>
      <c r="H22" s="1753"/>
      <c r="I22" s="1753"/>
      <c r="J22" s="1782"/>
      <c r="K22" s="1782"/>
      <c r="L22" s="1782"/>
      <c r="M22" s="1782"/>
      <c r="N22" s="1703"/>
      <c r="O22" s="1678"/>
      <c r="P22" s="1286"/>
      <c r="Q22" s="1286"/>
    </row>
    <row r="23" spans="1:17" s="1644" customFormat="1" x14ac:dyDescent="0.2">
      <c r="A23" s="1644" t="s">
        <v>51</v>
      </c>
      <c r="B23" s="1706" t="s">
        <v>187</v>
      </c>
      <c r="C23" s="1706" t="s">
        <v>187</v>
      </c>
      <c r="D23" s="1731">
        <f t="shared" ref="D23:J23" si="1">SUM(D15/D20)</f>
        <v>8.9611093254970378</v>
      </c>
      <c r="E23" s="1783">
        <f t="shared" si="1"/>
        <v>7.1801402995198398</v>
      </c>
      <c r="F23" s="1783">
        <f t="shared" si="1"/>
        <v>3.4814839225501442</v>
      </c>
      <c r="G23" s="1783">
        <f t="shared" si="1"/>
        <v>5.5969316170689218</v>
      </c>
      <c r="H23" s="1754">
        <f t="shared" si="1"/>
        <v>4.6618887666835116</v>
      </c>
      <c r="I23" s="1754">
        <f t="shared" si="1"/>
        <v>4.1895681694480578</v>
      </c>
      <c r="J23" s="1783">
        <f t="shared" si="1"/>
        <v>4.1895681694480569</v>
      </c>
      <c r="K23" s="1783">
        <f>SUM(K15/K20)</f>
        <v>6.5528214943853476</v>
      </c>
      <c r="L23" s="1783">
        <f>SUM(L15/L20)</f>
        <v>6.7410248168577649</v>
      </c>
      <c r="M23" s="1783">
        <f>SUM(M15/M20)</f>
        <v>6.9087212370096651</v>
      </c>
      <c r="N23" s="1703" t="s">
        <v>65</v>
      </c>
      <c r="O23" s="1678"/>
      <c r="P23" s="1286"/>
      <c r="Q23" s="1286"/>
    </row>
    <row r="24" spans="1:17" s="1644" customFormat="1" x14ac:dyDescent="0.2">
      <c r="A24" s="1644" t="s">
        <v>52</v>
      </c>
      <c r="B24" s="1706" t="s">
        <v>187</v>
      </c>
      <c r="C24" s="1706" t="s">
        <v>187</v>
      </c>
      <c r="D24" s="1731">
        <f t="shared" ref="D24:J24" si="2">SUM(D15/D21)</f>
        <v>0.58244001432493731</v>
      </c>
      <c r="E24" s="1783">
        <f t="shared" si="2"/>
        <v>0.45436580438526092</v>
      </c>
      <c r="F24" s="1783">
        <f t="shared" si="2"/>
        <v>0.22910121466010264</v>
      </c>
      <c r="G24" s="1783">
        <f t="shared" si="2"/>
        <v>0.3573399689187533</v>
      </c>
      <c r="H24" s="1754">
        <f t="shared" si="2"/>
        <v>0.30778324786720646</v>
      </c>
      <c r="I24" s="1754">
        <f t="shared" si="2"/>
        <v>0.2715804644098001</v>
      </c>
      <c r="J24" s="1783">
        <f t="shared" si="2"/>
        <v>0.2715804644098001</v>
      </c>
      <c r="K24" s="1783">
        <f>SUM(K15/K21)</f>
        <v>0.42661742941505065</v>
      </c>
      <c r="L24" s="1783">
        <f>SUM(L15/L21)</f>
        <v>0.43887029143934808</v>
      </c>
      <c r="M24" s="1783">
        <f>SUM(M15/M21)</f>
        <v>0.44978806414971562</v>
      </c>
      <c r="N24" s="1703" t="s">
        <v>66</v>
      </c>
      <c r="O24" s="1682"/>
      <c r="P24" s="1286"/>
      <c r="Q24" s="1286"/>
    </row>
    <row r="25" spans="1:17" s="1644" customFormat="1" x14ac:dyDescent="0.2">
      <c r="E25" s="1782"/>
      <c r="F25" s="1782"/>
      <c r="G25" s="1734"/>
      <c r="H25" s="1753"/>
      <c r="I25" s="1753"/>
      <c r="J25" s="1782"/>
      <c r="K25" s="1782"/>
      <c r="L25" s="1782"/>
      <c r="M25" s="1782"/>
      <c r="N25" s="1703"/>
      <c r="O25" s="1675"/>
      <c r="P25" s="1286"/>
      <c r="Q25" s="1286"/>
    </row>
    <row r="26" spans="1:17" s="1644" customFormat="1" x14ac:dyDescent="0.2">
      <c r="A26" s="1644" t="s">
        <v>84</v>
      </c>
      <c r="B26" s="1706" t="s">
        <v>187</v>
      </c>
      <c r="C26" s="1706" t="s">
        <v>187</v>
      </c>
      <c r="D26" s="1706">
        <f>E26/E21*D21</f>
        <v>534945.36223566928</v>
      </c>
      <c r="E26" s="1784">
        <v>1413365.782297041</v>
      </c>
      <c r="F26" s="1784">
        <v>3909090.1225846978</v>
      </c>
      <c r="G26" s="1755">
        <f>2374940/F21*G21</f>
        <v>3062713.0701535461</v>
      </c>
      <c r="H26" s="1784">
        <v>5349942</v>
      </c>
      <c r="I26" s="1784">
        <f>H26/G21*I21</f>
        <v>1586937.5589531711</v>
      </c>
      <c r="J26" s="1714">
        <f>H26/H21*J21</f>
        <v>2128268.3355623218</v>
      </c>
      <c r="K26" s="523">
        <v>2689205.8418684946</v>
      </c>
      <c r="L26" s="523">
        <v>3251998.9915499054</v>
      </c>
      <c r="M26" s="523">
        <v>4033751.4861054923</v>
      </c>
      <c r="N26" s="1703" t="s">
        <v>67</v>
      </c>
      <c r="O26" s="1785"/>
      <c r="P26" s="1286"/>
      <c r="Q26" s="1286"/>
    </row>
    <row r="27" spans="1:17" s="1644" customFormat="1" x14ac:dyDescent="0.2">
      <c r="A27" s="1644" t="s">
        <v>85</v>
      </c>
      <c r="B27" s="1706" t="s">
        <v>187</v>
      </c>
      <c r="C27" s="1706" t="s">
        <v>187</v>
      </c>
      <c r="D27" s="1732">
        <f t="shared" ref="D27:I27" si="3">SUM(D26/D15)</f>
        <v>1.3705021475161128</v>
      </c>
      <c r="E27" s="1786">
        <f t="shared" si="3"/>
        <v>1.7568119843693411</v>
      </c>
      <c r="F27" s="1786">
        <f t="shared" si="3"/>
        <v>3.903163247257003</v>
      </c>
      <c r="G27" s="1786">
        <f t="shared" si="3"/>
        <v>1.5203356221517947</v>
      </c>
      <c r="H27" s="1783">
        <f t="shared" si="3"/>
        <v>1.7056435415027424</v>
      </c>
      <c r="I27" s="1783">
        <f t="shared" si="3"/>
        <v>3.4943411442450563</v>
      </c>
      <c r="J27" s="1774">
        <f>SUM(J26/J15)</f>
        <v>1.933012781491122</v>
      </c>
      <c r="K27" s="1774">
        <f>SUM(K26/K15)</f>
        <v>1.3385793140211544</v>
      </c>
      <c r="L27" s="1773">
        <f>SUM(L26/L15)</f>
        <v>1.3538713536843892</v>
      </c>
      <c r="M27" s="1773">
        <f>SUM(M26/M15)</f>
        <v>1.3701601515304003</v>
      </c>
      <c r="N27" s="1703" t="s">
        <v>68</v>
      </c>
      <c r="O27" s="1678"/>
      <c r="P27" s="1286"/>
      <c r="Q27" s="1286"/>
    </row>
    <row r="28" spans="1:17" s="1644" customFormat="1" x14ac:dyDescent="0.2">
      <c r="A28" s="1644" t="s">
        <v>214</v>
      </c>
      <c r="B28" s="1706" t="s">
        <v>187</v>
      </c>
      <c r="C28" s="1706" t="s">
        <v>187</v>
      </c>
      <c r="D28" s="1757">
        <v>14</v>
      </c>
      <c r="E28" s="1733">
        <v>30</v>
      </c>
      <c r="F28" s="1733">
        <v>64</v>
      </c>
      <c r="G28" s="1734">
        <v>85</v>
      </c>
      <c r="H28" s="1751">
        <v>175</v>
      </c>
      <c r="I28" s="1751">
        <v>31</v>
      </c>
      <c r="J28" s="1726">
        <f>I28/I15*J15</f>
        <v>75.155161897631814</v>
      </c>
      <c r="K28" s="1727">
        <v>48</v>
      </c>
      <c r="L28" s="1727">
        <v>57</v>
      </c>
      <c r="M28" s="1727">
        <v>70</v>
      </c>
      <c r="N28" s="1703" t="s">
        <v>69</v>
      </c>
      <c r="O28" s="1678"/>
      <c r="P28" s="1286"/>
      <c r="Q28" s="1286"/>
    </row>
    <row r="29" spans="1:17" s="1644" customFormat="1" x14ac:dyDescent="0.2">
      <c r="A29" s="1644" t="s">
        <v>215</v>
      </c>
      <c r="B29" s="1706" t="s">
        <v>187</v>
      </c>
      <c r="C29" s="1706" t="s">
        <v>187</v>
      </c>
      <c r="D29" s="1734">
        <f>SUM(D21/D28)</f>
        <v>47868.571428571428</v>
      </c>
      <c r="E29" s="1734">
        <f>SUM(E21/E28)</f>
        <v>59020.433333333334</v>
      </c>
      <c r="F29" s="1734">
        <f>SUM(F21/F28)</f>
        <v>68304.859375</v>
      </c>
      <c r="G29" s="1734">
        <f>SUM(G21/G28)</f>
        <v>66323.329411764702</v>
      </c>
      <c r="H29" s="1734">
        <f t="shared" ref="H29:M29" si="4">SUM(H21/H28)</f>
        <v>58234.154285714285</v>
      </c>
      <c r="I29" s="1734">
        <f t="shared" si="4"/>
        <v>53942.903225806454</v>
      </c>
      <c r="J29" s="1734">
        <f t="shared" si="4"/>
        <v>53942.903225806447</v>
      </c>
      <c r="K29" s="1734">
        <f t="shared" si="4"/>
        <v>98107.024656855283</v>
      </c>
      <c r="L29" s="1734">
        <f t="shared" si="4"/>
        <v>96020.058088203528</v>
      </c>
      <c r="M29" s="1734">
        <f t="shared" si="4"/>
        <v>93504.355071422557</v>
      </c>
      <c r="N29" s="1703" t="s">
        <v>70</v>
      </c>
      <c r="O29" s="1675"/>
      <c r="P29" s="1286"/>
      <c r="Q29" s="1286"/>
    </row>
    <row r="30" spans="1:17" s="1644" customFormat="1" x14ac:dyDescent="0.2">
      <c r="A30" s="1644" t="s">
        <v>216</v>
      </c>
      <c r="B30" s="1706" t="s">
        <v>187</v>
      </c>
      <c r="C30" s="1706" t="s">
        <v>187</v>
      </c>
      <c r="D30" s="1714">
        <f>SUM(D15/D28)</f>
        <v>27880.571428571428</v>
      </c>
      <c r="E30" s="1784">
        <f>SUM(E15/E28)</f>
        <v>26816.866666666665</v>
      </c>
      <c r="F30" s="1784">
        <f>SUM(F15/F28)</f>
        <v>15648.72625</v>
      </c>
      <c r="G30" s="1784">
        <f>SUM(G15/G28)</f>
        <v>23699.976470588233</v>
      </c>
      <c r="H30" s="1755">
        <f>H15/H28</f>
        <v>17923.497142857144</v>
      </c>
      <c r="I30" s="1755">
        <f>I15/I28</f>
        <v>14649.838709677419</v>
      </c>
      <c r="J30" s="1707">
        <f>SUM(J15/J28)</f>
        <v>14649.838709677419</v>
      </c>
      <c r="K30" s="1707">
        <f>SUM(K15/K28)</f>
        <v>41854.166666666591</v>
      </c>
      <c r="L30" s="1714">
        <f>SUM(L15/L28)</f>
        <v>42140.350877193014</v>
      </c>
      <c r="M30" s="1714">
        <f>SUM(M15/M28)</f>
        <v>42057.14285714279</v>
      </c>
      <c r="N30" s="1703" t="s">
        <v>72</v>
      </c>
      <c r="O30" s="1675"/>
      <c r="P30" s="1286"/>
      <c r="Q30" s="1286"/>
    </row>
    <row r="31" spans="1:17" s="1644" customFormat="1" x14ac:dyDescent="0.2">
      <c r="A31" s="1644" t="s">
        <v>217</v>
      </c>
      <c r="B31" s="1706" t="s">
        <v>187</v>
      </c>
      <c r="C31" s="1706" t="s">
        <v>187</v>
      </c>
      <c r="D31" s="1714">
        <f>SUM(D26/D28)</f>
        <v>38210.383016833519</v>
      </c>
      <c r="E31" s="1784">
        <f>SUM(E26/E28)</f>
        <v>47112.1927432347</v>
      </c>
      <c r="F31" s="1784">
        <f>SUM(F26/F28)</f>
        <v>61079.533165385903</v>
      </c>
      <c r="G31" s="1784">
        <f>SUM(G26/G28)</f>
        <v>36031.91847239466</v>
      </c>
      <c r="H31" s="1755">
        <f>H26/H28</f>
        <v>30571.097142857143</v>
      </c>
      <c r="I31" s="1755">
        <f>I26/I28</f>
        <v>51191.534159779716</v>
      </c>
      <c r="J31" s="1707">
        <f>SUM(J26/J28)</f>
        <v>28318.325472589859</v>
      </c>
      <c r="K31" s="1707">
        <f>SUM(K26/K28)</f>
        <v>56025.121705593636</v>
      </c>
      <c r="L31" s="1714">
        <f>SUM(L26/L28)</f>
        <v>57052.613886840445</v>
      </c>
      <c r="M31" s="1714">
        <f>SUM(M26/M28)</f>
        <v>57625.021230078462</v>
      </c>
      <c r="N31" s="1703" t="s">
        <v>73</v>
      </c>
      <c r="O31" s="1286"/>
      <c r="P31" s="1286"/>
      <c r="Q31" s="1286"/>
    </row>
    <row r="32" spans="1:17" s="1644" customFormat="1" ht="13.5" x14ac:dyDescent="0.2">
      <c r="A32" s="1644" t="s">
        <v>450</v>
      </c>
      <c r="B32" s="1703" t="s">
        <v>187</v>
      </c>
      <c r="C32" s="1706" t="s">
        <v>187</v>
      </c>
      <c r="D32" s="1776">
        <f t="shared" ref="D32:L32" si="5">D12/D21</f>
        <v>0.41434881222394654</v>
      </c>
      <c r="E32" s="1776">
        <f t="shared" si="5"/>
        <v>0.38066703452420153</v>
      </c>
      <c r="F32" s="1776">
        <f t="shared" si="5"/>
        <v>0.1950053654217043</v>
      </c>
      <c r="G32" s="1776">
        <f t="shared" si="5"/>
        <v>0.33007585122651367</v>
      </c>
      <c r="H32" s="1776">
        <f t="shared" si="5"/>
        <v>0.25685584414526691</v>
      </c>
      <c r="I32" s="1776">
        <f t="shared" si="5"/>
        <v>0.19212548513063393</v>
      </c>
      <c r="J32" s="1776">
        <f t="shared" si="5"/>
        <v>0.21539716965656969</v>
      </c>
      <c r="K32" s="1776">
        <f t="shared" si="5"/>
        <v>0.34605940829709225</v>
      </c>
      <c r="L32" s="1776">
        <f t="shared" si="5"/>
        <v>0.35670110989903048</v>
      </c>
      <c r="M32" s="1776">
        <f>M12/M21</f>
        <v>0.36597549897859172</v>
      </c>
      <c r="N32" s="1639" t="s">
        <v>451</v>
      </c>
    </row>
    <row r="33" spans="1:15" s="1644" customFormat="1" ht="13.5" x14ac:dyDescent="0.2">
      <c r="A33" s="1644" t="s">
        <v>452</v>
      </c>
      <c r="B33" s="1703" t="s">
        <v>187</v>
      </c>
      <c r="C33" s="1706" t="s">
        <v>187</v>
      </c>
      <c r="D33" s="1776">
        <f t="shared" ref="D33:L33" si="6">D13/D21</f>
        <v>5.4464605467351079E-3</v>
      </c>
      <c r="E33" s="1776">
        <f t="shared" si="6"/>
        <v>8.8613378530486334E-4</v>
      </c>
      <c r="F33" s="1776">
        <f t="shared" si="6"/>
        <v>1.6228278963497976E-3</v>
      </c>
      <c r="G33" s="1776">
        <f t="shared" si="6"/>
        <v>1.0300696250436588E-3</v>
      </c>
      <c r="H33" s="1776">
        <f t="shared" si="6"/>
        <v>1.226575234150759E-3</v>
      </c>
      <c r="I33" s="1776">
        <f t="shared" si="6"/>
        <v>7.7788342512692633E-3</v>
      </c>
      <c r="J33" s="1776">
        <f t="shared" si="6"/>
        <v>5.5006211167177646E-3</v>
      </c>
      <c r="K33" s="1776">
        <f t="shared" si="6"/>
        <v>9.9259337962593792E-3</v>
      </c>
      <c r="L33" s="1776">
        <f t="shared" si="6"/>
        <v>1.0124452472184565E-2</v>
      </c>
      <c r="M33" s="1776">
        <f>M13/M21</f>
        <v>1.0326941521628255E-2</v>
      </c>
      <c r="N33" s="1639" t="s">
        <v>453</v>
      </c>
    </row>
    <row r="34" spans="1:15" s="1644" customFormat="1" x14ac:dyDescent="0.2">
      <c r="A34" s="1704"/>
      <c r="B34" s="1735"/>
      <c r="C34" s="1736"/>
      <c r="D34" s="1736"/>
      <c r="H34" s="1727"/>
      <c r="I34" s="1737"/>
      <c r="J34" s="1703"/>
      <c r="K34" s="1703"/>
      <c r="L34" s="1703"/>
      <c r="M34" s="1703"/>
      <c r="O34" s="1286"/>
    </row>
    <row r="35" spans="1:15" s="1644" customFormat="1" x14ac:dyDescent="0.2">
      <c r="A35" s="1738" t="s">
        <v>194</v>
      </c>
      <c r="B35" s="1739"/>
      <c r="C35" s="1286"/>
      <c r="H35" s="1714"/>
      <c r="J35" s="1703"/>
      <c r="K35" s="1703"/>
      <c r="L35" s="1703"/>
      <c r="M35" s="1703"/>
      <c r="O35" s="1286"/>
    </row>
    <row r="36" spans="1:15" s="1644" customFormat="1" x14ac:dyDescent="0.2">
      <c r="A36" s="1738"/>
      <c r="J36" s="1703"/>
      <c r="K36" s="1703"/>
      <c r="L36" s="1703"/>
      <c r="M36" s="1703"/>
    </row>
    <row r="37" spans="1:15" s="1644" customFormat="1" x14ac:dyDescent="0.2">
      <c r="A37" s="1742" t="s">
        <v>185</v>
      </c>
      <c r="B37" s="1736" t="s">
        <v>1</v>
      </c>
      <c r="C37" s="1736" t="s">
        <v>186</v>
      </c>
      <c r="D37" s="1736" t="s">
        <v>18</v>
      </c>
      <c r="J37" s="1703"/>
      <c r="K37" s="1703"/>
      <c r="L37" s="1703"/>
      <c r="M37" s="1703"/>
    </row>
    <row r="38" spans="1:15" s="1644" customFormat="1" x14ac:dyDescent="0.2">
      <c r="A38" s="1742">
        <v>2006</v>
      </c>
      <c r="B38" s="1706" t="s">
        <v>187</v>
      </c>
      <c r="C38" s="1706" t="s">
        <v>187</v>
      </c>
      <c r="D38" s="1741" t="str">
        <f t="shared" ref="D38:D45" si="7">IF(ISERROR(C38/B38),"-",(C38/B38))</f>
        <v>-</v>
      </c>
      <c r="J38" s="1703"/>
      <c r="K38" s="1703"/>
      <c r="L38" s="1703"/>
      <c r="M38" s="1703"/>
    </row>
    <row r="39" spans="1:15" s="1644" customFormat="1" x14ac:dyDescent="0.2">
      <c r="A39" s="1742">
        <v>2007</v>
      </c>
      <c r="B39" s="1706" t="s">
        <v>187</v>
      </c>
      <c r="C39" s="1706" t="s">
        <v>187</v>
      </c>
      <c r="D39" s="1741" t="str">
        <f t="shared" si="7"/>
        <v>-</v>
      </c>
      <c r="J39" s="1703"/>
      <c r="K39" s="1703"/>
      <c r="L39" s="1703"/>
      <c r="M39" s="1703"/>
    </row>
    <row r="40" spans="1:15" s="1644" customFormat="1" x14ac:dyDescent="0.2">
      <c r="A40" s="1742">
        <v>2008</v>
      </c>
      <c r="B40" s="1740">
        <v>292668</v>
      </c>
      <c r="C40" s="1706">
        <v>390328</v>
      </c>
      <c r="D40" s="1741">
        <f t="shared" si="7"/>
        <v>1.333688684789591</v>
      </c>
      <c r="J40" s="1703"/>
      <c r="K40" s="1703"/>
      <c r="L40" s="1703"/>
      <c r="M40" s="1703"/>
    </row>
    <row r="41" spans="1:15" s="1644" customFormat="1" x14ac:dyDescent="0.2">
      <c r="A41" s="1742">
        <v>2009</v>
      </c>
      <c r="B41" s="1740">
        <v>1300000</v>
      </c>
      <c r="C41" s="1706">
        <v>804505</v>
      </c>
      <c r="D41" s="1741">
        <f t="shared" si="7"/>
        <v>0.61885000000000001</v>
      </c>
      <c r="J41" s="1703"/>
      <c r="K41" s="1703"/>
      <c r="L41" s="1703"/>
      <c r="M41" s="1703"/>
    </row>
    <row r="42" spans="1:15" s="1644" customFormat="1" x14ac:dyDescent="0.2">
      <c r="A42" s="1742">
        <v>2010</v>
      </c>
      <c r="B42" s="1740">
        <v>1420000</v>
      </c>
      <c r="C42" s="1706">
        <v>1001518.48</v>
      </c>
      <c r="D42" s="1741">
        <f t="shared" si="7"/>
        <v>0.70529470422535212</v>
      </c>
      <c r="J42" s="1703"/>
      <c r="K42" s="1703"/>
      <c r="L42" s="1703"/>
      <c r="M42" s="1703"/>
    </row>
    <row r="43" spans="1:15" s="1644" customFormat="1" x14ac:dyDescent="0.2">
      <c r="A43" s="1742">
        <v>2011</v>
      </c>
      <c r="B43" s="1740">
        <v>2180154</v>
      </c>
      <c r="C43" s="1740">
        <f>G15</f>
        <v>2014498</v>
      </c>
      <c r="D43" s="1741">
        <f t="shared" si="7"/>
        <v>0.92401637682475646</v>
      </c>
      <c r="J43" s="1703"/>
      <c r="K43" s="1703"/>
      <c r="L43" s="1703"/>
      <c r="M43" s="1703"/>
    </row>
    <row r="44" spans="1:15" s="1644" customFormat="1" x14ac:dyDescent="0.2">
      <c r="A44" s="1742" t="s">
        <v>319</v>
      </c>
      <c r="B44" s="1740">
        <f>H15</f>
        <v>3136612</v>
      </c>
      <c r="C44" s="1740">
        <f>I15</f>
        <v>454145</v>
      </c>
      <c r="D44" s="1741">
        <f t="shared" si="7"/>
        <v>0.14478838951072048</v>
      </c>
      <c r="J44" s="1703"/>
      <c r="K44" s="1703"/>
      <c r="L44" s="1703"/>
      <c r="M44" s="1703"/>
    </row>
    <row r="45" spans="1:15" s="1644" customFormat="1" x14ac:dyDescent="0.2">
      <c r="A45" s="1742" t="s">
        <v>318</v>
      </c>
      <c r="B45" s="1717">
        <f>B44</f>
        <v>3136612</v>
      </c>
      <c r="C45" s="1766">
        <f>J15</f>
        <v>1101011</v>
      </c>
      <c r="D45" s="1741">
        <f t="shared" si="7"/>
        <v>0.35101918885727657</v>
      </c>
      <c r="J45" s="1703"/>
      <c r="K45" s="1703"/>
      <c r="L45" s="1703"/>
      <c r="M45" s="1703"/>
    </row>
    <row r="46" spans="1:15" s="1644" customFormat="1" x14ac:dyDescent="0.2">
      <c r="A46" s="1742">
        <v>2013</v>
      </c>
      <c r="B46" s="1717">
        <f>K15</f>
        <v>2008999.9999999965</v>
      </c>
      <c r="C46" s="1706" t="s">
        <v>187</v>
      </c>
      <c r="D46" s="1741" t="str">
        <f>IF(ISERROR(C46/B46),"-",(C46/B46))</f>
        <v>-</v>
      </c>
      <c r="J46" s="1703"/>
      <c r="K46" s="1703"/>
      <c r="L46" s="1703"/>
      <c r="M46" s="1703"/>
    </row>
    <row r="47" spans="1:15" s="1644" customFormat="1" x14ac:dyDescent="0.2">
      <c r="A47" s="1742">
        <v>2014</v>
      </c>
      <c r="B47" s="1717">
        <f>L15</f>
        <v>2402000.0000000019</v>
      </c>
      <c r="C47" s="1706" t="s">
        <v>187</v>
      </c>
      <c r="D47" s="1741" t="str">
        <f>IF(ISERROR(C47/B47),"-",(C47/B47))</f>
        <v>-</v>
      </c>
      <c r="J47" s="1703"/>
      <c r="K47" s="1703"/>
      <c r="L47" s="1703"/>
      <c r="M47" s="1703"/>
    </row>
    <row r="48" spans="1:15" s="1644" customFormat="1" x14ac:dyDescent="0.2">
      <c r="A48" s="1742">
        <v>2015</v>
      </c>
      <c r="B48" s="1717">
        <f>M15</f>
        <v>2943999.9999999953</v>
      </c>
      <c r="C48" s="1706" t="s">
        <v>187</v>
      </c>
      <c r="D48" s="1741" t="str">
        <f>IF(ISERROR(C48/B48),"-",(C48/B48))</f>
        <v>-</v>
      </c>
      <c r="J48" s="1703"/>
      <c r="K48" s="1703"/>
      <c r="L48" s="1703"/>
      <c r="M48" s="1703"/>
    </row>
    <row r="49" spans="1:13" s="1644" customFormat="1" x14ac:dyDescent="0.2">
      <c r="A49" s="1742"/>
      <c r="J49" s="1703"/>
      <c r="K49" s="1703"/>
      <c r="L49" s="1703"/>
      <c r="M49" s="1703"/>
    </row>
    <row r="50" spans="1:13" s="1644" customFormat="1" x14ac:dyDescent="0.2">
      <c r="A50" s="1743" t="s">
        <v>193</v>
      </c>
      <c r="J50" s="1703"/>
      <c r="K50" s="1703"/>
      <c r="L50" s="1703"/>
      <c r="M50" s="1703"/>
    </row>
    <row r="51" spans="1:13" s="1644" customFormat="1" x14ac:dyDescent="0.2">
      <c r="A51" s="1742" t="s">
        <v>185</v>
      </c>
      <c r="B51" s="1736" t="s">
        <v>188</v>
      </c>
      <c r="C51" s="1736" t="s">
        <v>186</v>
      </c>
      <c r="D51" s="1736" t="s">
        <v>189</v>
      </c>
      <c r="J51" s="1703"/>
      <c r="K51" s="1703"/>
      <c r="L51" s="1703"/>
      <c r="M51" s="1703"/>
    </row>
    <row r="52" spans="1:13" s="1644" customFormat="1" x14ac:dyDescent="0.2">
      <c r="A52" s="1742">
        <v>2006</v>
      </c>
      <c r="B52" s="1706" t="s">
        <v>187</v>
      </c>
      <c r="C52" s="1706" t="s">
        <v>187</v>
      </c>
      <c r="D52" s="1741" t="str">
        <f t="shared" ref="D52:D59" si="8">IF(ISERROR(C52/B52),"-",(C52/B52))</f>
        <v>-</v>
      </c>
      <c r="J52" s="1703"/>
      <c r="K52" s="1703"/>
      <c r="L52" s="1703"/>
      <c r="M52" s="1703"/>
    </row>
    <row r="53" spans="1:13" s="1644" customFormat="1" x14ac:dyDescent="0.2">
      <c r="A53" s="1742">
        <v>2007</v>
      </c>
      <c r="B53" s="1706" t="s">
        <v>187</v>
      </c>
      <c r="C53" s="1706" t="s">
        <v>187</v>
      </c>
      <c r="D53" s="1741" t="str">
        <f t="shared" si="8"/>
        <v>-</v>
      </c>
      <c r="J53" s="1703"/>
      <c r="K53" s="1703"/>
      <c r="L53" s="1703"/>
      <c r="M53" s="1703"/>
    </row>
    <row r="54" spans="1:13" s="1644" customFormat="1" x14ac:dyDescent="0.2">
      <c r="A54" s="1742">
        <v>2008</v>
      </c>
      <c r="B54" s="1706" t="s">
        <v>187</v>
      </c>
      <c r="C54" s="1745">
        <v>14</v>
      </c>
      <c r="D54" s="1741" t="str">
        <f t="shared" si="8"/>
        <v>-</v>
      </c>
      <c r="J54" s="1703"/>
      <c r="K54" s="1703"/>
      <c r="L54" s="1703"/>
      <c r="M54" s="1703"/>
    </row>
    <row r="55" spans="1:13" s="1644" customFormat="1" x14ac:dyDescent="0.2">
      <c r="A55" s="1742">
        <v>2009</v>
      </c>
      <c r="B55" s="1745">
        <v>31</v>
      </c>
      <c r="C55" s="1745">
        <v>30</v>
      </c>
      <c r="D55" s="1741">
        <f t="shared" si="8"/>
        <v>0.967741935483871</v>
      </c>
      <c r="J55" s="1703"/>
      <c r="K55" s="1703"/>
      <c r="L55" s="1703"/>
      <c r="M55" s="1703"/>
    </row>
    <row r="56" spans="1:13" s="1644" customFormat="1" x14ac:dyDescent="0.2">
      <c r="A56" s="1742">
        <v>2010</v>
      </c>
      <c r="B56" s="1745">
        <v>77</v>
      </c>
      <c r="C56" s="1745">
        <v>64</v>
      </c>
      <c r="D56" s="1741">
        <f t="shared" si="8"/>
        <v>0.83116883116883122</v>
      </c>
      <c r="J56" s="1703"/>
      <c r="K56" s="1703"/>
      <c r="L56" s="1703"/>
      <c r="M56" s="1703"/>
    </row>
    <row r="57" spans="1:13" s="1644" customFormat="1" x14ac:dyDescent="0.2">
      <c r="A57" s="1742">
        <v>2011</v>
      </c>
      <c r="B57" s="1745">
        <v>52</v>
      </c>
      <c r="C57" s="1761">
        <f>G28</f>
        <v>85</v>
      </c>
      <c r="D57" s="1741">
        <f t="shared" si="8"/>
        <v>1.6346153846153846</v>
      </c>
      <c r="J57" s="1703"/>
      <c r="K57" s="1703"/>
      <c r="L57" s="1703"/>
      <c r="M57" s="1703"/>
    </row>
    <row r="58" spans="1:13" s="1644" customFormat="1" x14ac:dyDescent="0.2">
      <c r="A58" s="1742" t="s">
        <v>319</v>
      </c>
      <c r="B58" s="1745">
        <f>H28</f>
        <v>175</v>
      </c>
      <c r="C58" s="1745">
        <f>I28</f>
        <v>31</v>
      </c>
      <c r="D58" s="1741">
        <f t="shared" si="8"/>
        <v>0.17714285714285713</v>
      </c>
      <c r="J58" s="1703"/>
      <c r="K58" s="1703"/>
      <c r="L58" s="1703"/>
      <c r="M58" s="1703"/>
    </row>
    <row r="59" spans="1:13" s="1644" customFormat="1" x14ac:dyDescent="0.2">
      <c r="A59" s="1742" t="s">
        <v>318</v>
      </c>
      <c r="B59" s="1745">
        <f>H28</f>
        <v>175</v>
      </c>
      <c r="C59" s="1761">
        <f>J28</f>
        <v>75.155161897631814</v>
      </c>
      <c r="D59" s="1741">
        <f t="shared" si="8"/>
        <v>0.42945806798646752</v>
      </c>
      <c r="J59" s="1703"/>
      <c r="K59" s="1703"/>
      <c r="L59" s="1703"/>
      <c r="M59" s="1703"/>
    </row>
    <row r="60" spans="1:13" s="1644" customFormat="1" x14ac:dyDescent="0.2">
      <c r="A60" s="1742">
        <v>2013</v>
      </c>
      <c r="B60" s="1745">
        <f>K28</f>
        <v>48</v>
      </c>
      <c r="C60" s="1706" t="s">
        <v>187</v>
      </c>
      <c r="D60" s="1741" t="str">
        <f>IF(ISERROR(C60/B60),"-",(C60/B60))</f>
        <v>-</v>
      </c>
      <c r="J60" s="1703"/>
      <c r="K60" s="1703"/>
      <c r="L60" s="1703"/>
      <c r="M60" s="1703"/>
    </row>
    <row r="61" spans="1:13" s="1644" customFormat="1" x14ac:dyDescent="0.2">
      <c r="A61" s="1742">
        <v>2014</v>
      </c>
      <c r="B61" s="1745">
        <f>L28</f>
        <v>57</v>
      </c>
      <c r="C61" s="1706" t="s">
        <v>187</v>
      </c>
      <c r="D61" s="1741" t="str">
        <f>IF(ISERROR(C61/B61),"-",(C61/B61))</f>
        <v>-</v>
      </c>
      <c r="J61" s="1703"/>
      <c r="K61" s="1703"/>
      <c r="L61" s="1703"/>
      <c r="M61" s="1703"/>
    </row>
    <row r="62" spans="1:13" s="1644" customFormat="1" x14ac:dyDescent="0.2">
      <c r="A62" s="1742">
        <v>2015</v>
      </c>
      <c r="B62" s="1745">
        <f>M28</f>
        <v>70</v>
      </c>
      <c r="C62" s="1706" t="s">
        <v>187</v>
      </c>
      <c r="D62" s="1741" t="str">
        <f>IF(ISERROR(C62/B62),"-",(C62/B62))</f>
        <v>-</v>
      </c>
      <c r="J62" s="1703"/>
      <c r="K62" s="1703"/>
      <c r="L62" s="1703"/>
      <c r="M62" s="1703"/>
    </row>
    <row r="63" spans="1:13" s="1644" customFormat="1" x14ac:dyDescent="0.2">
      <c r="B63" s="1764"/>
      <c r="C63" s="1764"/>
      <c r="J63" s="1703"/>
      <c r="K63" s="1703"/>
      <c r="L63" s="1703"/>
      <c r="M63" s="1703"/>
    </row>
    <row r="64" spans="1:13" s="1644" customFormat="1" x14ac:dyDescent="0.2">
      <c r="A64" s="1743" t="s">
        <v>191</v>
      </c>
      <c r="B64" s="1764"/>
      <c r="C64" s="1764"/>
      <c r="J64" s="1703"/>
      <c r="K64" s="1703"/>
      <c r="L64" s="1703"/>
      <c r="M64" s="1703"/>
    </row>
    <row r="65" spans="1:13" s="1644" customFormat="1" x14ac:dyDescent="0.2">
      <c r="A65" s="1742" t="s">
        <v>185</v>
      </c>
      <c r="B65" s="1736" t="s">
        <v>188</v>
      </c>
      <c r="C65" s="1748" t="s">
        <v>186</v>
      </c>
      <c r="D65" s="1736" t="s">
        <v>189</v>
      </c>
      <c r="J65" s="1703"/>
      <c r="K65" s="1703"/>
      <c r="L65" s="1703"/>
      <c r="M65" s="1703"/>
    </row>
    <row r="66" spans="1:13" s="1644" customFormat="1" x14ac:dyDescent="0.2">
      <c r="A66" s="1742">
        <v>2006</v>
      </c>
      <c r="B66" s="1787" t="s">
        <v>187</v>
      </c>
      <c r="C66" s="1787" t="s">
        <v>187</v>
      </c>
      <c r="D66" s="1741" t="str">
        <f t="shared" ref="D66:D73" si="9">IF(ISERROR(C66/B66),"-",(C66/B66))</f>
        <v>-</v>
      </c>
      <c r="J66" s="1703"/>
      <c r="K66" s="1703"/>
      <c r="L66" s="1703"/>
      <c r="M66" s="1703"/>
    </row>
    <row r="67" spans="1:13" s="1644" customFormat="1" x14ac:dyDescent="0.2">
      <c r="A67" s="1742">
        <v>2007</v>
      </c>
      <c r="B67" s="1787" t="s">
        <v>187</v>
      </c>
      <c r="C67" s="1787" t="s">
        <v>187</v>
      </c>
      <c r="D67" s="1741" t="str">
        <f t="shared" si="9"/>
        <v>-</v>
      </c>
      <c r="J67" s="1703"/>
      <c r="K67" s="1703"/>
      <c r="L67" s="1703"/>
      <c r="M67" s="1703"/>
    </row>
    <row r="68" spans="1:13" s="1644" customFormat="1" x14ac:dyDescent="0.2">
      <c r="A68" s="1742">
        <v>2008</v>
      </c>
      <c r="B68" s="1787" t="s">
        <v>187</v>
      </c>
      <c r="C68" s="1745">
        <v>43558</v>
      </c>
      <c r="D68" s="1741" t="str">
        <f t="shared" si="9"/>
        <v>-</v>
      </c>
      <c r="J68" s="1703"/>
      <c r="K68" s="1703"/>
      <c r="L68" s="1703"/>
      <c r="M68" s="1703"/>
    </row>
    <row r="69" spans="1:13" s="1644" customFormat="1" x14ac:dyDescent="0.2">
      <c r="A69" s="1742">
        <v>2009</v>
      </c>
      <c r="B69" s="1745">
        <v>97627.987106164728</v>
      </c>
      <c r="C69" s="1745">
        <v>112046</v>
      </c>
      <c r="D69" s="1788">
        <f t="shared" si="9"/>
        <v>1.1476831933260749</v>
      </c>
      <c r="J69" s="1703"/>
      <c r="K69" s="1703"/>
      <c r="L69" s="1703"/>
      <c r="M69" s="1703"/>
    </row>
    <row r="70" spans="1:13" s="1644" customFormat="1" x14ac:dyDescent="0.2">
      <c r="A70" s="1742">
        <v>2010</v>
      </c>
      <c r="B70" s="1745">
        <v>189646</v>
      </c>
      <c r="C70" s="1745">
        <v>287670</v>
      </c>
      <c r="D70" s="1788">
        <f t="shared" si="9"/>
        <v>1.5168788163209348</v>
      </c>
      <c r="J70" s="1703"/>
      <c r="K70" s="1703"/>
      <c r="L70" s="1703"/>
      <c r="M70" s="1703"/>
    </row>
    <row r="71" spans="1:13" s="1644" customFormat="1" x14ac:dyDescent="0.2">
      <c r="A71" s="1742">
        <v>2011</v>
      </c>
      <c r="B71" s="1745">
        <v>197858</v>
      </c>
      <c r="C71" s="1745">
        <f>G20</f>
        <v>359929</v>
      </c>
      <c r="D71" s="1788">
        <f t="shared" si="9"/>
        <v>1.8191278593738944</v>
      </c>
      <c r="J71" s="1703"/>
      <c r="K71" s="1703"/>
      <c r="L71" s="1703"/>
      <c r="M71" s="1703"/>
    </row>
    <row r="72" spans="1:13" s="1644" customFormat="1" x14ac:dyDescent="0.2">
      <c r="A72" s="1742" t="s">
        <v>319</v>
      </c>
      <c r="B72" s="1745">
        <f>H20</f>
        <v>672820</v>
      </c>
      <c r="C72" s="1745">
        <f>I20</f>
        <v>108399</v>
      </c>
      <c r="D72" s="1788">
        <f t="shared" si="9"/>
        <v>0.16111144139591571</v>
      </c>
      <c r="J72" s="1703"/>
      <c r="K72" s="1703"/>
      <c r="L72" s="1703"/>
      <c r="M72" s="1703"/>
    </row>
    <row r="73" spans="1:13" x14ac:dyDescent="0.2">
      <c r="A73" s="1742" t="s">
        <v>318</v>
      </c>
      <c r="B73" s="1745">
        <f>H20</f>
        <v>672820</v>
      </c>
      <c r="C73" s="1745">
        <f>J20</f>
        <v>262798.20627552876</v>
      </c>
      <c r="D73" s="1788">
        <f t="shared" si="9"/>
        <v>0.39059214392486663</v>
      </c>
      <c r="E73" s="1188"/>
      <c r="F73" s="1188"/>
      <c r="H73" s="1644"/>
      <c r="I73" s="1644"/>
      <c r="J73" s="1703"/>
      <c r="K73" s="1703"/>
      <c r="L73" s="1703"/>
      <c r="M73" s="1703"/>
    </row>
    <row r="74" spans="1:13" x14ac:dyDescent="0.2">
      <c r="A74" s="1742">
        <v>2013</v>
      </c>
      <c r="B74" s="1745">
        <f>K20</f>
        <v>306585.49171854713</v>
      </c>
      <c r="C74" s="1787" t="s">
        <v>187</v>
      </c>
      <c r="D74" s="1741" t="str">
        <f>IF(ISERROR(C74/B74),"-",(C74/B74))</f>
        <v>-</v>
      </c>
      <c r="E74" s="1188"/>
      <c r="F74" s="1188"/>
      <c r="H74" s="1644"/>
      <c r="I74" s="1644"/>
      <c r="J74" s="1703"/>
      <c r="K74" s="1703"/>
      <c r="L74" s="1703"/>
      <c r="M74" s="1703"/>
    </row>
    <row r="75" spans="1:13" x14ac:dyDescent="0.2">
      <c r="A75" s="1742">
        <v>2014</v>
      </c>
      <c r="B75" s="1745">
        <f>L20</f>
        <v>356325.64265201159</v>
      </c>
      <c r="C75" s="1787" t="s">
        <v>187</v>
      </c>
      <c r="D75" s="1741" t="str">
        <f>IF(ISERROR(C75/B75),"-",(C75/B75))</f>
        <v>-</v>
      </c>
      <c r="E75" s="1188"/>
      <c r="F75" s="1188"/>
      <c r="H75" s="1644"/>
      <c r="I75" s="1644"/>
      <c r="J75" s="1703"/>
      <c r="K75" s="1703"/>
      <c r="L75" s="1703"/>
      <c r="M75" s="1703"/>
    </row>
    <row r="76" spans="1:13" x14ac:dyDescent="0.2">
      <c r="A76" s="1742">
        <v>2015</v>
      </c>
      <c r="B76" s="1745">
        <f>M20</f>
        <v>426128.06321221043</v>
      </c>
      <c r="C76" s="1787" t="s">
        <v>187</v>
      </c>
      <c r="D76" s="1741" t="str">
        <f>IF(ISERROR(C76/B76),"-",(C76/B76))</f>
        <v>-</v>
      </c>
      <c r="E76" s="1188"/>
      <c r="F76" s="1188"/>
      <c r="H76" s="1644"/>
      <c r="I76" s="1644"/>
      <c r="J76" s="1703"/>
      <c r="K76" s="1703"/>
      <c r="L76" s="1703"/>
      <c r="M76" s="1703"/>
    </row>
    <row r="77" spans="1:13" x14ac:dyDescent="0.2">
      <c r="A77" s="1742"/>
      <c r="B77" s="1789"/>
      <c r="C77" s="1789"/>
      <c r="H77" s="1644"/>
      <c r="I77" s="1644"/>
      <c r="J77" s="1703"/>
      <c r="K77" s="1703"/>
      <c r="L77" s="1703"/>
      <c r="M77" s="1703"/>
    </row>
    <row r="78" spans="1:13" x14ac:dyDescent="0.2">
      <c r="A78" s="1743" t="s">
        <v>190</v>
      </c>
      <c r="B78" s="1789"/>
      <c r="C78" s="1789"/>
      <c r="H78" s="1644"/>
      <c r="I78" s="1644"/>
      <c r="J78" s="1703"/>
      <c r="K78" s="1703"/>
      <c r="L78" s="1703"/>
      <c r="M78" s="1703"/>
    </row>
    <row r="79" spans="1:13" x14ac:dyDescent="0.2">
      <c r="A79" s="1742" t="s">
        <v>185</v>
      </c>
      <c r="B79" s="1736" t="s">
        <v>188</v>
      </c>
      <c r="C79" s="1748" t="s">
        <v>186</v>
      </c>
      <c r="D79" s="1736" t="s">
        <v>189</v>
      </c>
      <c r="H79" s="1644"/>
      <c r="I79" s="1644"/>
      <c r="J79" s="1703"/>
      <c r="K79" s="1703"/>
      <c r="L79" s="1703"/>
      <c r="M79" s="1703"/>
    </row>
    <row r="80" spans="1:13" x14ac:dyDescent="0.2">
      <c r="A80" s="1742">
        <v>2006</v>
      </c>
      <c r="B80" s="1787" t="s">
        <v>187</v>
      </c>
      <c r="C80" s="1787" t="s">
        <v>187</v>
      </c>
      <c r="D80" s="1741" t="str">
        <f t="shared" ref="D80:D87" si="10">IF(ISERROR(C80/B80),"-",(C80/B80))</f>
        <v>-</v>
      </c>
      <c r="H80" s="1644"/>
      <c r="I80" s="1644"/>
      <c r="J80" s="1703"/>
      <c r="K80" s="1703"/>
      <c r="L80" s="1703"/>
      <c r="M80" s="1703"/>
    </row>
    <row r="81" spans="1:13" x14ac:dyDescent="0.2">
      <c r="A81" s="1742">
        <v>2007</v>
      </c>
      <c r="B81" s="1787" t="s">
        <v>187</v>
      </c>
      <c r="C81" s="1787" t="s">
        <v>187</v>
      </c>
      <c r="D81" s="1741" t="str">
        <f t="shared" si="10"/>
        <v>-</v>
      </c>
      <c r="H81" s="1644"/>
      <c r="I81" s="1644"/>
      <c r="J81" s="1703"/>
      <c r="K81" s="1703"/>
      <c r="L81" s="1703"/>
      <c r="M81" s="1703"/>
    </row>
    <row r="82" spans="1:13" x14ac:dyDescent="0.2">
      <c r="A82" s="1742">
        <v>2008</v>
      </c>
      <c r="B82" s="1745" t="s">
        <v>187</v>
      </c>
      <c r="C82" s="1745">
        <f>D21</f>
        <v>670160</v>
      </c>
      <c r="D82" s="1741" t="str">
        <f t="shared" si="10"/>
        <v>-</v>
      </c>
      <c r="H82" s="1644"/>
      <c r="I82" s="1644"/>
      <c r="J82" s="1703"/>
      <c r="K82" s="1703"/>
      <c r="L82" s="1703"/>
      <c r="M82" s="1703"/>
    </row>
    <row r="83" spans="1:13" x14ac:dyDescent="0.2">
      <c r="A83" s="1742">
        <v>2009</v>
      </c>
      <c r="B83" s="1745">
        <v>1464419.8065924707</v>
      </c>
      <c r="C83" s="1745">
        <v>1770613</v>
      </c>
      <c r="D83" s="1741">
        <f t="shared" si="10"/>
        <v>1.20908839939826</v>
      </c>
      <c r="H83" s="1644"/>
      <c r="I83" s="1644"/>
      <c r="J83" s="1703"/>
      <c r="K83" s="1703"/>
      <c r="L83" s="1703"/>
      <c r="M83" s="1703"/>
    </row>
    <row r="84" spans="1:13" x14ac:dyDescent="0.2">
      <c r="A84" s="1742">
        <v>2010</v>
      </c>
      <c r="B84" s="1745">
        <v>3012116</v>
      </c>
      <c r="C84" s="1745">
        <v>4371511</v>
      </c>
      <c r="D84" s="1741">
        <f t="shared" si="10"/>
        <v>1.4513089801322392</v>
      </c>
      <c r="H84" s="1644"/>
      <c r="I84" s="1644"/>
      <c r="J84" s="1703"/>
      <c r="K84" s="1703"/>
      <c r="L84" s="1703"/>
      <c r="M84" s="1703"/>
    </row>
    <row r="85" spans="1:13" x14ac:dyDescent="0.2">
      <c r="A85" s="1742">
        <v>2011</v>
      </c>
      <c r="B85" s="1745">
        <f>3032051</f>
        <v>3032051</v>
      </c>
      <c r="C85" s="1761">
        <f>G21</f>
        <v>5637483</v>
      </c>
      <c r="D85" s="1741">
        <f t="shared" si="10"/>
        <v>1.8592968917739181</v>
      </c>
      <c r="H85" s="1644"/>
      <c r="I85" s="1644"/>
      <c r="J85" s="1703"/>
      <c r="K85" s="1703"/>
      <c r="L85" s="1703"/>
      <c r="M85" s="1703"/>
    </row>
    <row r="86" spans="1:13" x14ac:dyDescent="0.2">
      <c r="A86" s="1742" t="s">
        <v>319</v>
      </c>
      <c r="B86" s="1761">
        <f>H21</f>
        <v>10190977</v>
      </c>
      <c r="C86" s="1761">
        <f>I21</f>
        <v>1672230</v>
      </c>
      <c r="D86" s="1741">
        <f t="shared" si="10"/>
        <v>0.16408927230431392</v>
      </c>
      <c r="H86" s="1644"/>
      <c r="I86" s="1644"/>
      <c r="J86" s="1703"/>
      <c r="K86" s="1703"/>
      <c r="L86" s="1703"/>
      <c r="M86" s="1703"/>
    </row>
    <row r="87" spans="1:13" x14ac:dyDescent="0.2">
      <c r="A87" s="1742" t="s">
        <v>318</v>
      </c>
      <c r="B87" s="1761">
        <f>H21</f>
        <v>10190977</v>
      </c>
      <c r="C87" s="1761">
        <f>J21</f>
        <v>4054087.6251637689</v>
      </c>
      <c r="D87" s="1741">
        <f t="shared" si="10"/>
        <v>0.39781147824823554</v>
      </c>
      <c r="H87" s="1644"/>
      <c r="I87" s="1644"/>
      <c r="J87" s="1698"/>
      <c r="K87" s="1698"/>
      <c r="L87" s="1698"/>
      <c r="M87" s="1698"/>
    </row>
    <row r="88" spans="1:13" x14ac:dyDescent="0.2">
      <c r="A88" s="1742">
        <v>2013</v>
      </c>
      <c r="B88" s="1761">
        <f>K21</f>
        <v>4709137.1835290538</v>
      </c>
      <c r="C88" s="1761" t="s">
        <v>187</v>
      </c>
      <c r="D88" s="1741" t="str">
        <f>IF(ISERROR(C88/B88),"-",(C88/B88))</f>
        <v>-</v>
      </c>
      <c r="H88" s="1644"/>
      <c r="I88" s="1644"/>
    </row>
    <row r="89" spans="1:13" x14ac:dyDescent="0.2">
      <c r="A89" s="1742">
        <v>2014</v>
      </c>
      <c r="B89" s="1761">
        <f>L21</f>
        <v>5473143.3110276014</v>
      </c>
      <c r="C89" s="1761" t="s">
        <v>187</v>
      </c>
      <c r="D89" s="1741" t="str">
        <f>IF(ISERROR(C89/B89),"-",(C89/B89))</f>
        <v>-</v>
      </c>
      <c r="H89" s="1644"/>
      <c r="I89" s="1644"/>
    </row>
    <row r="90" spans="1:13" x14ac:dyDescent="0.2">
      <c r="A90" s="1742">
        <v>2015</v>
      </c>
      <c r="B90" s="1761">
        <f>M21</f>
        <v>6545304.8549995786</v>
      </c>
      <c r="C90" s="1761" t="s">
        <v>187</v>
      </c>
      <c r="D90" s="1741" t="str">
        <f>IF(ISERROR(C90/B90),"-",(C90/B90))</f>
        <v>-</v>
      </c>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N1"/>
  </mergeCells>
  <pageMargins left="0.98" right="0.75" top="1.1499999999999999" bottom="1" header="0.5" footer="0.5"/>
  <pageSetup scale="45" orientation="portrait" r:id="rId1"/>
  <headerFooter alignWithMargins="0">
    <oddFooter>&amp;C&amp;1#&amp;"Calibri"&amp;12&amp;K008000Internal Use</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48">
    <tabColor indexed="11"/>
    <pageSetUpPr fitToPage="1"/>
  </sheetPr>
  <dimension ref="A1:W127"/>
  <sheetViews>
    <sheetView topLeftCell="D1" workbookViewId="0">
      <selection activeCell="J67" sqref="J67"/>
    </sheetView>
  </sheetViews>
  <sheetFormatPr defaultRowHeight="12.75" x14ac:dyDescent="0.2"/>
  <cols>
    <col min="1" max="1" width="40.5703125" style="1635" customWidth="1"/>
    <col min="2" max="2" width="11.28515625" style="1635" customWidth="1"/>
    <col min="3" max="3" width="12" style="1635" customWidth="1"/>
    <col min="4" max="4" width="12.28515625" style="1635" bestFit="1" customWidth="1"/>
    <col min="5" max="5" width="11.28515625" style="1635" bestFit="1" customWidth="1"/>
    <col min="6" max="6" width="11.28515625" style="1635" customWidth="1"/>
    <col min="7" max="7" width="11.140625" style="1635" customWidth="1"/>
    <col min="8" max="8" width="12" style="1188" customWidth="1"/>
    <col min="9" max="9" width="11.28515625" style="1188" customWidth="1"/>
    <col min="10" max="10" width="13" style="1635" customWidth="1"/>
    <col min="11" max="13" width="11.42578125" style="1635" customWidth="1"/>
    <col min="14" max="14" width="6.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200</v>
      </c>
    </row>
    <row r="4" spans="1:15" x14ac:dyDescent="0.2">
      <c r="A4" s="1699"/>
    </row>
    <row r="5" spans="1:15" s="1644" customFormat="1" x14ac:dyDescent="0.2">
      <c r="A5" s="1701"/>
      <c r="H5" s="1702"/>
      <c r="I5" s="1702"/>
    </row>
    <row r="6" spans="1:15" s="1644" customFormat="1" x14ac:dyDescent="0.2">
      <c r="A6" s="1701"/>
      <c r="B6" s="1790">
        <v>2006</v>
      </c>
      <c r="C6" s="1790">
        <v>2007</v>
      </c>
      <c r="D6" s="1790">
        <v>2008</v>
      </c>
      <c r="E6" s="1790">
        <v>2009</v>
      </c>
      <c r="F6" s="1790">
        <v>2010</v>
      </c>
      <c r="G6" s="1634">
        <v>2011</v>
      </c>
      <c r="H6" s="1634">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645" t="s">
        <v>148</v>
      </c>
      <c r="H7" s="1645"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7">
        <v>23617.5</v>
      </c>
      <c r="E9" s="1707">
        <v>27254.05</v>
      </c>
      <c r="F9" s="1707">
        <v>52520.72</v>
      </c>
      <c r="G9" s="1707">
        <v>52912.479999999996</v>
      </c>
      <c r="H9" s="1708">
        <v>220084</v>
      </c>
      <c r="I9" s="1708">
        <v>45553.909999999996</v>
      </c>
      <c r="J9" s="1707">
        <v>78092.417142857128</v>
      </c>
      <c r="K9" s="1707">
        <v>141607.430639792</v>
      </c>
      <c r="L9" s="1707">
        <v>167859.26970455344</v>
      </c>
      <c r="M9" s="1707">
        <v>204786.1304636992</v>
      </c>
    </row>
    <row r="10" spans="1:15" s="1644" customFormat="1" x14ac:dyDescent="0.2">
      <c r="A10" s="1286" t="s">
        <v>45</v>
      </c>
      <c r="B10" s="1703" t="s">
        <v>195</v>
      </c>
      <c r="C10" s="1703" t="s">
        <v>195</v>
      </c>
      <c r="D10" s="1707">
        <v>17550.5</v>
      </c>
      <c r="E10" s="1707">
        <v>32386.85</v>
      </c>
      <c r="F10" s="1707">
        <v>6224.91</v>
      </c>
      <c r="G10" s="1707">
        <v>25365.52</v>
      </c>
      <c r="H10" s="1708">
        <v>200000</v>
      </c>
      <c r="I10" s="1708">
        <v>21172.57</v>
      </c>
      <c r="J10" s="1707">
        <v>36295.834285714285</v>
      </c>
      <c r="K10" s="1707">
        <v>105057.55133475618</v>
      </c>
      <c r="L10" s="1707">
        <v>124533.60508219944</v>
      </c>
      <c r="M10" s="1707">
        <v>151929.38193026278</v>
      </c>
    </row>
    <row r="11" spans="1:15" s="1644" customFormat="1" x14ac:dyDescent="0.2">
      <c r="A11" s="1286" t="s">
        <v>202</v>
      </c>
      <c r="B11" s="1703" t="s">
        <v>195</v>
      </c>
      <c r="C11" s="1703" t="s">
        <v>195</v>
      </c>
      <c r="D11" s="1707">
        <v>443</v>
      </c>
      <c r="E11" s="1707">
        <v>0</v>
      </c>
      <c r="F11" s="1707">
        <v>0</v>
      </c>
      <c r="G11" s="1707"/>
      <c r="H11" s="1708">
        <v>1200</v>
      </c>
      <c r="I11" s="1708">
        <v>0</v>
      </c>
      <c r="J11" s="1707">
        <v>0</v>
      </c>
      <c r="K11" s="1707">
        <v>630.34530800853713</v>
      </c>
      <c r="L11" s="1707">
        <v>747.20163049319672</v>
      </c>
      <c r="M11" s="1707">
        <v>911.5762915815767</v>
      </c>
    </row>
    <row r="12" spans="1:15" s="1644" customFormat="1" x14ac:dyDescent="0.2">
      <c r="A12" s="1286" t="s">
        <v>2</v>
      </c>
      <c r="B12" s="1703" t="s">
        <v>195</v>
      </c>
      <c r="C12" s="1703" t="s">
        <v>195</v>
      </c>
      <c r="D12" s="1707">
        <v>3934</v>
      </c>
      <c r="E12" s="1707">
        <v>979355.03</v>
      </c>
      <c r="F12" s="1707">
        <v>414789.22</v>
      </c>
      <c r="G12" s="1707">
        <v>1510264.04</v>
      </c>
      <c r="H12" s="1708">
        <v>2016050</v>
      </c>
      <c r="I12" s="1708">
        <v>130844.45000000001</v>
      </c>
      <c r="J12" s="1707">
        <v>534620.45000000007</v>
      </c>
      <c r="K12" s="1707">
        <v>1091106.3818421802</v>
      </c>
      <c r="L12" s="1707">
        <v>1354476.8726298399</v>
      </c>
      <c r="M12" s="1707">
        <v>1694446.1522025301</v>
      </c>
    </row>
    <row r="13" spans="1:15" s="1644" customFormat="1" x14ac:dyDescent="0.2">
      <c r="A13" s="1286" t="s">
        <v>14</v>
      </c>
      <c r="B13" s="1703" t="s">
        <v>195</v>
      </c>
      <c r="C13" s="1703" t="s">
        <v>195</v>
      </c>
      <c r="D13" s="1707">
        <v>1771</v>
      </c>
      <c r="E13" s="1707">
        <v>2796</v>
      </c>
      <c r="F13" s="1707">
        <v>13826.57</v>
      </c>
      <c r="G13" s="1707">
        <v>4998.7700000000004</v>
      </c>
      <c r="H13" s="1708">
        <v>30000</v>
      </c>
      <c r="I13" s="1708">
        <v>28709.31</v>
      </c>
      <c r="J13" s="1707">
        <v>49215.960000000006</v>
      </c>
      <c r="K13" s="1707">
        <v>32658.632700212998</v>
      </c>
      <c r="L13" s="1707">
        <v>38713.040762329409</v>
      </c>
      <c r="M13" s="1707">
        <v>47229.407289538802</v>
      </c>
    </row>
    <row r="14" spans="1:15" s="1644" customFormat="1" ht="15" x14ac:dyDescent="0.35">
      <c r="A14" s="1286" t="s">
        <v>46</v>
      </c>
      <c r="B14" s="1703" t="s">
        <v>195</v>
      </c>
      <c r="C14" s="1703" t="s">
        <v>195</v>
      </c>
      <c r="D14" s="1712">
        <v>1967</v>
      </c>
      <c r="E14" s="1712">
        <v>3494.44</v>
      </c>
      <c r="F14" s="1712">
        <v>4537.2</v>
      </c>
      <c r="G14" s="1712">
        <v>6253.2199999999993</v>
      </c>
      <c r="H14" s="1713">
        <v>7500</v>
      </c>
      <c r="I14" s="1713">
        <v>5452.8099999999995</v>
      </c>
      <c r="J14" s="1712">
        <v>9347.6742857142835</v>
      </c>
      <c r="K14" s="1724">
        <v>3939.6581750533574</v>
      </c>
      <c r="L14" s="1724">
        <v>4670.0101905824795</v>
      </c>
      <c r="M14" s="1724">
        <v>5697.3518223848596</v>
      </c>
    </row>
    <row r="15" spans="1:15" s="1644" customFormat="1" x14ac:dyDescent="0.2">
      <c r="A15" s="1286" t="s">
        <v>86</v>
      </c>
      <c r="C15" s="1714"/>
      <c r="D15" s="1707">
        <f t="shared" ref="D15:J15" si="0">SUM(D9:D14)</f>
        <v>49283</v>
      </c>
      <c r="E15" s="1707">
        <f t="shared" si="0"/>
        <v>1045286.37</v>
      </c>
      <c r="F15" s="1707">
        <f t="shared" si="0"/>
        <v>491898.62</v>
      </c>
      <c r="G15" s="1707">
        <f t="shared" si="0"/>
        <v>1599794.03</v>
      </c>
      <c r="H15" s="1716">
        <f t="shared" si="0"/>
        <v>2474834</v>
      </c>
      <c r="I15" s="1715">
        <f t="shared" si="0"/>
        <v>231733.05</v>
      </c>
      <c r="J15" s="1717">
        <f t="shared" si="0"/>
        <v>707572.33571428573</v>
      </c>
      <c r="K15" s="1717">
        <f>SUM(K9:K14)</f>
        <v>1375000.0000000033</v>
      </c>
      <c r="L15" s="1717">
        <f>SUM(L9:L14)</f>
        <v>1690999.9999999979</v>
      </c>
      <c r="M15" s="1717">
        <f>SUM(M9:M14)</f>
        <v>2104999.9999999972</v>
      </c>
      <c r="N15" s="1703" t="s">
        <v>201</v>
      </c>
    </row>
    <row r="16" spans="1:15" s="1644" customFormat="1" x14ac:dyDescent="0.2">
      <c r="A16" s="1286"/>
      <c r="B16" s="1718"/>
      <c r="C16" s="1719"/>
      <c r="D16" s="1720"/>
      <c r="H16" s="1721"/>
      <c r="I16" s="1721"/>
    </row>
    <row r="17" spans="1:23" s="1644" customFormat="1" ht="15" x14ac:dyDescent="0.35">
      <c r="A17" s="1722"/>
      <c r="C17" s="1723"/>
      <c r="D17" s="1723"/>
      <c r="N17" s="1724"/>
    </row>
    <row r="18" spans="1:23"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Q18" s="1286"/>
      <c r="R18" s="1286"/>
      <c r="S18" s="1286"/>
      <c r="T18" s="1286"/>
      <c r="U18" s="1286"/>
      <c r="V18" s="1286"/>
      <c r="W18" s="1286"/>
    </row>
    <row r="19" spans="1:23" s="1644" customFormat="1" x14ac:dyDescent="0.2">
      <c r="N19" s="1703"/>
      <c r="Q19" s="1725"/>
      <c r="R19" s="1725"/>
      <c r="S19" s="1229"/>
      <c r="T19" s="1229"/>
      <c r="U19" s="1229"/>
      <c r="V19" s="1286"/>
      <c r="W19" s="1286"/>
    </row>
    <row r="20" spans="1:23" s="1644" customFormat="1" x14ac:dyDescent="0.2">
      <c r="A20" s="1644" t="s">
        <v>49</v>
      </c>
      <c r="B20" s="1703" t="s">
        <v>195</v>
      </c>
      <c r="C20" s="1703" t="s">
        <v>195</v>
      </c>
      <c r="D20" s="1757">
        <v>17218</v>
      </c>
      <c r="E20" s="1727">
        <v>639931</v>
      </c>
      <c r="F20" s="1727">
        <v>205653</v>
      </c>
      <c r="G20" s="1727">
        <v>404921</v>
      </c>
      <c r="H20" s="1751">
        <v>888623</v>
      </c>
      <c r="I20" s="1751">
        <v>86180</v>
      </c>
      <c r="J20" s="1751">
        <f>I20/I15*J15</f>
        <v>263141.50653891254</v>
      </c>
      <c r="K20" s="1727">
        <v>329738.76875187107</v>
      </c>
      <c r="L20" s="1727">
        <v>385100.24512516829</v>
      </c>
      <c r="M20" s="1727">
        <v>467412.17041070329</v>
      </c>
      <c r="N20" s="1703" t="s">
        <v>64</v>
      </c>
      <c r="Q20" s="1725"/>
      <c r="R20" s="1725"/>
      <c r="S20" s="1728"/>
      <c r="T20" s="1728"/>
      <c r="U20" s="1728"/>
      <c r="V20" s="1286"/>
      <c r="W20" s="1286"/>
    </row>
    <row r="21" spans="1:23" s="1644" customFormat="1" x14ac:dyDescent="0.2">
      <c r="A21" s="1644" t="s">
        <v>50</v>
      </c>
      <c r="B21" s="1703" t="s">
        <v>195</v>
      </c>
      <c r="C21" s="1703" t="s">
        <v>195</v>
      </c>
      <c r="D21" s="1757">
        <v>191374</v>
      </c>
      <c r="E21" s="1727">
        <v>9216030</v>
      </c>
      <c r="F21" s="1727">
        <v>2347874</v>
      </c>
      <c r="G21" s="1727">
        <v>4168922</v>
      </c>
      <c r="H21" s="1751">
        <v>10221524</v>
      </c>
      <c r="I21" s="1751">
        <v>1327869</v>
      </c>
      <c r="J21" s="1751">
        <f>I21/I15*J15</f>
        <v>4054507.4164112234</v>
      </c>
      <c r="K21" s="1727">
        <v>3711875.2094795601</v>
      </c>
      <c r="L21" s="1727">
        <v>4335080.3378545791</v>
      </c>
      <c r="M21" s="1727">
        <v>5261667.151010978</v>
      </c>
      <c r="N21" s="1703" t="s">
        <v>10</v>
      </c>
      <c r="Q21" s="1229"/>
      <c r="R21" s="1674"/>
      <c r="S21" s="1675"/>
      <c r="T21" s="1675"/>
      <c r="U21" s="1675"/>
      <c r="V21" s="1286"/>
      <c r="W21" s="1286"/>
    </row>
    <row r="22" spans="1:23" s="1644" customFormat="1" x14ac:dyDescent="0.2">
      <c r="C22" s="1729" t="s">
        <v>3</v>
      </c>
      <c r="H22" s="1753"/>
      <c r="I22" s="1753"/>
      <c r="K22" s="1782"/>
      <c r="L22" s="1782"/>
      <c r="M22" s="1782"/>
      <c r="N22" s="1703"/>
      <c r="Q22" s="1229"/>
      <c r="R22" s="1674"/>
      <c r="S22" s="1678"/>
      <c r="T22" s="1678"/>
      <c r="U22" s="1678"/>
      <c r="V22" s="1286"/>
      <c r="W22" s="1286"/>
    </row>
    <row r="23" spans="1:23" s="1644" customFormat="1" x14ac:dyDescent="0.2">
      <c r="A23" s="1644" t="s">
        <v>51</v>
      </c>
      <c r="B23" s="1703" t="s">
        <v>195</v>
      </c>
      <c r="C23" s="1703" t="s">
        <v>195</v>
      </c>
      <c r="D23" s="1731">
        <f t="shared" ref="D23:J23" si="1">SUM(D15/D20)</f>
        <v>2.86229527238936</v>
      </c>
      <c r="E23" s="1731">
        <f t="shared" si="1"/>
        <v>1.6334360579499978</v>
      </c>
      <c r="F23" s="1731">
        <f t="shared" si="1"/>
        <v>2.3918864300545093</v>
      </c>
      <c r="G23" s="1731">
        <f t="shared" si="1"/>
        <v>3.9508793814102012</v>
      </c>
      <c r="H23" s="1754">
        <f t="shared" si="1"/>
        <v>2.7850213195021962</v>
      </c>
      <c r="I23" s="1754">
        <f t="shared" si="1"/>
        <v>2.6889423300069621</v>
      </c>
      <c r="J23" s="1731">
        <f t="shared" si="1"/>
        <v>2.6889423300069621</v>
      </c>
      <c r="K23" s="1783">
        <f>SUM(K15/K20)</f>
        <v>4.1699676541058865</v>
      </c>
      <c r="L23" s="1783">
        <f>SUM(L15/L20)</f>
        <v>4.39106446024301</v>
      </c>
      <c r="M23" s="1783">
        <f>SUM(M15/M20)</f>
        <v>4.5035198765799933</v>
      </c>
      <c r="N23" s="1703" t="s">
        <v>65</v>
      </c>
      <c r="Q23" s="1229"/>
      <c r="R23" s="1674"/>
      <c r="S23" s="1678"/>
      <c r="T23" s="1678"/>
      <c r="U23" s="1678"/>
      <c r="V23" s="1286"/>
      <c r="W23" s="1286"/>
    </row>
    <row r="24" spans="1:23" s="1644" customFormat="1" x14ac:dyDescent="0.2">
      <c r="A24" s="1644" t="s">
        <v>52</v>
      </c>
      <c r="B24" s="1703" t="s">
        <v>195</v>
      </c>
      <c r="C24" s="1703" t="s">
        <v>195</v>
      </c>
      <c r="D24" s="1731">
        <f t="shared" ref="D24:J24" si="2">SUM(D15/D21)</f>
        <v>0.25752192042806232</v>
      </c>
      <c r="E24" s="1731">
        <f t="shared" si="2"/>
        <v>0.11342046087089561</v>
      </c>
      <c r="F24" s="1731">
        <f t="shared" si="2"/>
        <v>0.2095080996680401</v>
      </c>
      <c r="G24" s="1731">
        <f t="shared" si="2"/>
        <v>0.3837428548675173</v>
      </c>
      <c r="H24" s="1754">
        <f t="shared" si="2"/>
        <v>0.24211986392635776</v>
      </c>
      <c r="I24" s="1754">
        <f t="shared" si="2"/>
        <v>0.1745149935724081</v>
      </c>
      <c r="J24" s="1731">
        <f t="shared" si="2"/>
        <v>0.17451499357240813</v>
      </c>
      <c r="K24" s="1783">
        <f>SUM(K15/K21)</f>
        <v>0.37043271187793814</v>
      </c>
      <c r="L24" s="1783">
        <f>SUM(L15/L21)</f>
        <v>0.39007350918826794</v>
      </c>
      <c r="M24" s="1783">
        <f>SUM(M15/M21)</f>
        <v>0.40006331445643462</v>
      </c>
      <c r="N24" s="1703" t="s">
        <v>66</v>
      </c>
      <c r="Q24" s="1229"/>
      <c r="R24" s="1674"/>
      <c r="S24" s="1682"/>
      <c r="T24" s="1682"/>
      <c r="U24" s="1682"/>
      <c r="V24" s="1286"/>
      <c r="W24" s="1286"/>
    </row>
    <row r="25" spans="1:23" s="1644" customFormat="1" x14ac:dyDescent="0.2">
      <c r="C25" s="1729"/>
      <c r="H25" s="1753"/>
      <c r="I25" s="1753"/>
      <c r="K25" s="1782"/>
      <c r="L25" s="1782"/>
      <c r="M25" s="1782"/>
      <c r="N25" s="1703"/>
      <c r="Q25" s="1229"/>
      <c r="R25" s="1674"/>
      <c r="S25" s="1675"/>
      <c r="T25" s="1675"/>
      <c r="U25" s="1675"/>
      <c r="V25" s="1286"/>
      <c r="W25" s="1286"/>
    </row>
    <row r="26" spans="1:23" s="1644" customFormat="1" x14ac:dyDescent="0.2">
      <c r="A26" s="1644" t="s">
        <v>84</v>
      </c>
      <c r="B26" s="1703" t="s">
        <v>195</v>
      </c>
      <c r="C26" s="1703" t="s">
        <v>195</v>
      </c>
      <c r="D26" s="1755">
        <f>E26/E21*D21</f>
        <v>163130.26997975493</v>
      </c>
      <c r="E26" s="1714">
        <v>7855891.9291101238</v>
      </c>
      <c r="F26" s="1714">
        <v>2050247.7877231182</v>
      </c>
      <c r="G26" s="1714">
        <v>6112362</v>
      </c>
      <c r="H26" s="1714">
        <v>5695315</v>
      </c>
      <c r="I26" s="1714">
        <f>H26/H21*I21</f>
        <v>739873.25507771643</v>
      </c>
      <c r="J26" s="799">
        <f>H26/H21*J21</f>
        <v>2259124.6575655537</v>
      </c>
      <c r="K26" s="523">
        <v>2303352.7345882524</v>
      </c>
      <c r="L26" s="523">
        <v>2803430.5694436892</v>
      </c>
      <c r="M26" s="523">
        <v>3531424.5739667397</v>
      </c>
      <c r="N26" s="1703" t="s">
        <v>67</v>
      </c>
      <c r="Q26" s="1229"/>
      <c r="R26" s="1674"/>
      <c r="S26" s="1674"/>
      <c r="T26" s="1674"/>
      <c r="U26" s="1674"/>
      <c r="V26" s="1286"/>
      <c r="W26" s="1286"/>
    </row>
    <row r="27" spans="1:23" s="1644" customFormat="1" x14ac:dyDescent="0.2">
      <c r="A27" s="1644" t="s">
        <v>85</v>
      </c>
      <c r="B27" s="1703" t="s">
        <v>195</v>
      </c>
      <c r="C27" s="1703" t="s">
        <v>195</v>
      </c>
      <c r="D27" s="1786">
        <f t="shared" ref="D27:K27" si="3">SUM(D26/D15)</f>
        <v>3.310071829632022</v>
      </c>
      <c r="E27" s="1732">
        <f t="shared" si="3"/>
        <v>7.5155403864207315</v>
      </c>
      <c r="F27" s="1732">
        <f t="shared" si="3"/>
        <v>4.1680291514603525</v>
      </c>
      <c r="G27" s="1732">
        <f t="shared" si="3"/>
        <v>3.820718095816372</v>
      </c>
      <c r="H27" s="1754">
        <f t="shared" si="3"/>
        <v>2.3012917230004115</v>
      </c>
      <c r="I27" s="1754">
        <f t="shared" si="3"/>
        <v>3.1927826224084845</v>
      </c>
      <c r="J27" s="1732">
        <f t="shared" si="3"/>
        <v>3.1927826224084845</v>
      </c>
      <c r="K27" s="1774">
        <f t="shared" si="3"/>
        <v>1.6751656251550886</v>
      </c>
      <c r="L27" s="1773">
        <f>SUM(L26/L15)</f>
        <v>1.6578536779678845</v>
      </c>
      <c r="M27" s="1773">
        <f>SUM(M26/M15)</f>
        <v>1.6776363771813512</v>
      </c>
      <c r="N27" s="1703" t="s">
        <v>68</v>
      </c>
      <c r="O27" s="1792"/>
      <c r="Q27" s="1229"/>
      <c r="R27" s="1674"/>
      <c r="S27" s="1678"/>
      <c r="T27" s="1674"/>
      <c r="U27" s="1678"/>
      <c r="V27" s="1286"/>
      <c r="W27" s="1286"/>
    </row>
    <row r="28" spans="1:23" s="1644" customFormat="1" x14ac:dyDescent="0.2">
      <c r="A28" s="1644" t="s">
        <v>214</v>
      </c>
      <c r="B28" s="1703" t="s">
        <v>195</v>
      </c>
      <c r="C28" s="1703" t="s">
        <v>195</v>
      </c>
      <c r="D28" s="1782">
        <v>2</v>
      </c>
      <c r="E28" s="1733">
        <v>18</v>
      </c>
      <c r="F28" s="1733">
        <v>28</v>
      </c>
      <c r="G28" s="1733">
        <v>42</v>
      </c>
      <c r="H28" s="1751">
        <v>154</v>
      </c>
      <c r="I28" s="1751">
        <v>11</v>
      </c>
      <c r="J28" s="799">
        <f>H28/H23*J23</f>
        <v>148.68723478752014</v>
      </c>
      <c r="K28" s="523">
        <v>24</v>
      </c>
      <c r="L28" s="1727">
        <v>28</v>
      </c>
      <c r="M28" s="1727">
        <v>34</v>
      </c>
      <c r="N28" s="1703" t="s">
        <v>69</v>
      </c>
      <c r="Q28" s="1229"/>
      <c r="R28" s="1674"/>
      <c r="S28" s="1678"/>
      <c r="T28" s="1678"/>
      <c r="U28" s="1678"/>
      <c r="V28" s="1286"/>
      <c r="W28" s="1286"/>
    </row>
    <row r="29" spans="1:23" s="1644" customFormat="1" x14ac:dyDescent="0.2">
      <c r="A29" s="1644" t="s">
        <v>215</v>
      </c>
      <c r="B29" s="1703" t="s">
        <v>195</v>
      </c>
      <c r="C29" s="1703" t="s">
        <v>195</v>
      </c>
      <c r="D29" s="1734">
        <f>SUM(D21/D28)</f>
        <v>95687</v>
      </c>
      <c r="E29" s="1734">
        <f>SUM(E21/E28)</f>
        <v>512001.66666666669</v>
      </c>
      <c r="F29" s="1734">
        <f>SUM(F21/F28)</f>
        <v>83852.642857142855</v>
      </c>
      <c r="G29" s="1734">
        <f>SUM(G21/G28)</f>
        <v>99260.047619047618</v>
      </c>
      <c r="H29" s="1751">
        <f>H21/H28</f>
        <v>66373.532467532466</v>
      </c>
      <c r="I29" s="1751">
        <f>I21/I28</f>
        <v>120715.36363636363</v>
      </c>
      <c r="J29" s="1757">
        <f>J21/J28</f>
        <v>27268.698770309857</v>
      </c>
      <c r="K29" s="1734">
        <f>SUM(K21/K28)</f>
        <v>154661.46706164835</v>
      </c>
      <c r="L29" s="1734">
        <f>SUM(L21/L28)</f>
        <v>154824.29778052069</v>
      </c>
      <c r="M29" s="1734">
        <f>SUM(M21/M28)</f>
        <v>154754.91620620523</v>
      </c>
      <c r="N29" s="1703" t="s">
        <v>70</v>
      </c>
      <c r="Q29" s="1229"/>
      <c r="R29" s="1674"/>
      <c r="S29" s="1675"/>
      <c r="T29" s="1675"/>
      <c r="U29" s="1675"/>
      <c r="V29" s="1286"/>
      <c r="W29" s="1286"/>
    </row>
    <row r="30" spans="1:23" s="1644" customFormat="1" x14ac:dyDescent="0.2">
      <c r="A30" s="1644" t="s">
        <v>216</v>
      </c>
      <c r="B30" s="1703" t="s">
        <v>195</v>
      </c>
      <c r="C30" s="1703" t="s">
        <v>195</v>
      </c>
      <c r="D30" s="1714">
        <f>SUM(D15/D28)</f>
        <v>24641.5</v>
      </c>
      <c r="E30" s="1714">
        <f>SUM(E15/E28)</f>
        <v>58071.464999999997</v>
      </c>
      <c r="F30" s="1714">
        <f>SUM(F15/F28)</f>
        <v>17567.807857142856</v>
      </c>
      <c r="G30" s="1714">
        <f>SUM(G15/G28)</f>
        <v>38090.33404761905</v>
      </c>
      <c r="H30" s="1755">
        <f>H15/H28</f>
        <v>16070.35064935065</v>
      </c>
      <c r="I30" s="1755">
        <f>I15/I28</f>
        <v>21066.640909090907</v>
      </c>
      <c r="J30" s="1706">
        <f>J15/J28</f>
        <v>4758.7967906285576</v>
      </c>
      <c r="K30" s="1707">
        <f>SUM(K15/K28)</f>
        <v>57291.666666666802</v>
      </c>
      <c r="L30" s="1714">
        <f>SUM(L15/L28)</f>
        <v>60392.857142857065</v>
      </c>
      <c r="M30" s="1714">
        <f>SUM(M15/M28)</f>
        <v>61911.764705882269</v>
      </c>
      <c r="N30" s="1703" t="s">
        <v>72</v>
      </c>
      <c r="Q30" s="1229"/>
      <c r="R30" s="1674"/>
      <c r="S30" s="1675"/>
      <c r="T30" s="1675"/>
      <c r="U30" s="1675"/>
      <c r="V30" s="1286"/>
      <c r="W30" s="1286"/>
    </row>
    <row r="31" spans="1:23" s="1644" customFormat="1" x14ac:dyDescent="0.2">
      <c r="A31" s="1644" t="s">
        <v>217</v>
      </c>
      <c r="B31" s="1703" t="s">
        <v>195</v>
      </c>
      <c r="C31" s="1703" t="s">
        <v>195</v>
      </c>
      <c r="D31" s="1714">
        <f>SUM(D26/D28)</f>
        <v>81565.134989877464</v>
      </c>
      <c r="E31" s="1714">
        <f>SUM(E26/E28)</f>
        <v>436438.440506118</v>
      </c>
      <c r="F31" s="1714">
        <f>SUM(F26/F28)</f>
        <v>73223.135275825654</v>
      </c>
      <c r="G31" s="1714">
        <f>SUM(G26/G28)</f>
        <v>145532.42857142858</v>
      </c>
      <c r="H31" s="1755">
        <f>H26/H28</f>
        <v>36982.564935064933</v>
      </c>
      <c r="I31" s="1755">
        <f>I26/I28</f>
        <v>67261.205007065131</v>
      </c>
      <c r="J31" s="1706">
        <f>J26/J28</f>
        <v>15193.803696692126</v>
      </c>
      <c r="K31" s="1707">
        <f>SUM(K26/K28)</f>
        <v>95973.030607843844</v>
      </c>
      <c r="L31" s="1714">
        <f>SUM(L26/L28)</f>
        <v>100122.52033727462</v>
      </c>
      <c r="M31" s="1714">
        <f>SUM(M26/M28)</f>
        <v>103865.42864608057</v>
      </c>
      <c r="N31" s="1703" t="s">
        <v>73</v>
      </c>
      <c r="Q31" s="1286"/>
      <c r="R31" s="1286"/>
      <c r="S31" s="1286"/>
      <c r="T31" s="1286"/>
      <c r="U31" s="1286"/>
      <c r="V31" s="1286"/>
      <c r="W31" s="1286"/>
    </row>
    <row r="32" spans="1:23" s="1644" customFormat="1" ht="13.5" x14ac:dyDescent="0.2">
      <c r="A32" s="1644" t="s">
        <v>450</v>
      </c>
      <c r="B32" s="1703" t="s">
        <v>187</v>
      </c>
      <c r="C32" s="1706" t="s">
        <v>187</v>
      </c>
      <c r="D32" s="1776">
        <f t="shared" ref="D32:I32" si="4">D12/D21</f>
        <v>2.055660643556596E-2</v>
      </c>
      <c r="E32" s="1776">
        <f t="shared" si="4"/>
        <v>0.10626647591207929</v>
      </c>
      <c r="F32" s="1776">
        <f t="shared" si="4"/>
        <v>0.17666587730005953</v>
      </c>
      <c r="G32" s="1776">
        <f t="shared" si="4"/>
        <v>0.36226728156583404</v>
      </c>
      <c r="H32" s="1776">
        <f t="shared" si="4"/>
        <v>0.19723575466828625</v>
      </c>
      <c r="I32" s="1776">
        <f t="shared" si="4"/>
        <v>9.8537167446487578E-2</v>
      </c>
      <c r="J32" s="1776">
        <f>J12/J21</f>
        <v>0.13185829870135249</v>
      </c>
      <c r="K32" s="1776">
        <f>K12/K21</f>
        <v>0.29395017888954394</v>
      </c>
      <c r="L32" s="1776">
        <f>L12/L21</f>
        <v>0.31244562201127912</v>
      </c>
      <c r="M32" s="1776">
        <f>M12/M21</f>
        <v>0.32203598281144763</v>
      </c>
      <c r="N32" s="1639" t="s">
        <v>451</v>
      </c>
    </row>
    <row r="33" spans="1:21" s="1644" customFormat="1" ht="13.5" x14ac:dyDescent="0.2">
      <c r="A33" s="1644" t="s">
        <v>452</v>
      </c>
      <c r="B33" s="1703" t="s">
        <v>187</v>
      </c>
      <c r="C33" s="1706" t="s">
        <v>187</v>
      </c>
      <c r="D33" s="1776">
        <f t="shared" ref="D33:I33" si="5">D13/D21</f>
        <v>9.2541306551569176E-3</v>
      </c>
      <c r="E33" s="1776">
        <f t="shared" si="5"/>
        <v>3.0338442908714491E-4</v>
      </c>
      <c r="F33" s="1776">
        <f t="shared" si="5"/>
        <v>5.8889744509287977E-3</v>
      </c>
      <c r="G33" s="1776">
        <f t="shared" si="5"/>
        <v>1.1990557750900593E-3</v>
      </c>
      <c r="H33" s="1776">
        <f t="shared" si="5"/>
        <v>2.9349830808008668E-3</v>
      </c>
      <c r="I33" s="1776">
        <f t="shared" si="5"/>
        <v>2.1620589079193807E-2</v>
      </c>
      <c r="J33" s="1776">
        <f>J13/J21</f>
        <v>1.2138579350179771E-2</v>
      </c>
      <c r="K33" s="1776">
        <f>K13/K21</f>
        <v>8.7984188199020964E-3</v>
      </c>
      <c r="L33" s="1776">
        <f>L13/L21</f>
        <v>8.9301783923774747E-3</v>
      </c>
      <c r="M33" s="1776">
        <f>M13/M21</f>
        <v>8.9761297957557298E-3</v>
      </c>
      <c r="N33" s="1639" t="s">
        <v>453</v>
      </c>
    </row>
    <row r="34" spans="1:21" s="1644" customFormat="1" x14ac:dyDescent="0.2">
      <c r="A34" s="1704"/>
      <c r="B34" s="1735"/>
      <c r="C34" s="1736"/>
      <c r="D34" s="1736"/>
      <c r="H34" s="1727"/>
      <c r="I34" s="1737"/>
      <c r="J34" s="1703"/>
      <c r="K34" s="1703"/>
      <c r="L34" s="1703"/>
      <c r="M34" s="1703"/>
      <c r="O34" s="1703"/>
      <c r="P34" s="1229"/>
      <c r="Q34" s="1674"/>
      <c r="R34" s="1675"/>
      <c r="S34" s="1675"/>
      <c r="T34" s="1675"/>
      <c r="U34" s="1286"/>
    </row>
    <row r="35" spans="1:21" s="1644" customFormat="1" x14ac:dyDescent="0.2">
      <c r="A35" s="1738" t="s">
        <v>194</v>
      </c>
      <c r="B35" s="1739"/>
      <c r="C35" s="1286"/>
      <c r="H35" s="1714"/>
      <c r="J35" s="1703"/>
      <c r="K35" s="1703"/>
      <c r="L35" s="1703"/>
      <c r="M35" s="1703"/>
      <c r="O35" s="1703"/>
      <c r="P35" s="1229"/>
      <c r="Q35" s="1674"/>
      <c r="R35" s="1675"/>
      <c r="S35" s="1675"/>
      <c r="T35" s="1675"/>
      <c r="U35" s="1286"/>
    </row>
    <row r="36" spans="1:21" s="1644" customFormat="1" x14ac:dyDescent="0.2">
      <c r="A36" s="1738"/>
      <c r="J36" s="1703"/>
      <c r="K36" s="1703"/>
      <c r="L36" s="1703"/>
      <c r="M36" s="1703"/>
      <c r="O36" s="1703"/>
    </row>
    <row r="37" spans="1:21" s="1644" customFormat="1" x14ac:dyDescent="0.2">
      <c r="A37" s="1742" t="s">
        <v>185</v>
      </c>
      <c r="B37" s="1736" t="s">
        <v>1</v>
      </c>
      <c r="C37" s="1736" t="s">
        <v>186</v>
      </c>
      <c r="D37" s="1736" t="s">
        <v>18</v>
      </c>
      <c r="J37" s="1703"/>
      <c r="K37" s="1703"/>
      <c r="L37" s="1703"/>
      <c r="M37" s="1703"/>
      <c r="O37" s="1703"/>
    </row>
    <row r="38" spans="1:21" s="1644" customFormat="1" x14ac:dyDescent="0.2">
      <c r="A38" s="1742">
        <v>2006</v>
      </c>
      <c r="B38" s="1703" t="s">
        <v>195</v>
      </c>
      <c r="C38" s="1703" t="s">
        <v>195</v>
      </c>
      <c r="D38" s="1741" t="str">
        <f t="shared" ref="D38:D48" si="6">IF(ISERROR(C38/B38),"-",(C38/B38))</f>
        <v>-</v>
      </c>
      <c r="J38" s="1703"/>
      <c r="K38" s="1703"/>
      <c r="L38" s="1703"/>
      <c r="M38" s="1703"/>
      <c r="O38" s="1703"/>
    </row>
    <row r="39" spans="1:21" s="1644" customFormat="1" x14ac:dyDescent="0.2">
      <c r="A39" s="1742">
        <v>2007</v>
      </c>
      <c r="B39" s="1703" t="s">
        <v>195</v>
      </c>
      <c r="C39" s="1703" t="s">
        <v>195</v>
      </c>
      <c r="D39" s="1741" t="str">
        <f t="shared" si="6"/>
        <v>-</v>
      </c>
      <c r="J39" s="1703"/>
      <c r="K39" s="1703"/>
      <c r="L39" s="1703"/>
      <c r="M39" s="1703"/>
      <c r="O39" s="1703"/>
    </row>
    <row r="40" spans="1:21" s="1644" customFormat="1" x14ac:dyDescent="0.2">
      <c r="A40" s="1742">
        <v>2008</v>
      </c>
      <c r="B40" s="1760">
        <v>539535</v>
      </c>
      <c r="C40" s="1706">
        <v>49283</v>
      </c>
      <c r="D40" s="1741">
        <f t="shared" si="6"/>
        <v>9.1343471693217312E-2</v>
      </c>
      <c r="J40" s="1703"/>
      <c r="K40" s="1703"/>
      <c r="L40" s="1703"/>
      <c r="M40" s="1703"/>
      <c r="O40" s="1703"/>
    </row>
    <row r="41" spans="1:21" s="1644" customFormat="1" x14ac:dyDescent="0.2">
      <c r="A41" s="1742">
        <v>2009</v>
      </c>
      <c r="B41" s="1740">
        <v>890000</v>
      </c>
      <c r="C41" s="1760">
        <f>E15</f>
        <v>1045286.37</v>
      </c>
      <c r="D41" s="1741">
        <f t="shared" si="6"/>
        <v>1.1744790674157304</v>
      </c>
      <c r="J41" s="1703"/>
      <c r="K41" s="1703"/>
      <c r="L41" s="1703"/>
      <c r="M41" s="1703"/>
      <c r="O41" s="1703"/>
    </row>
    <row r="42" spans="1:21" s="1644" customFormat="1" x14ac:dyDescent="0.2">
      <c r="A42" s="1742">
        <v>2010</v>
      </c>
      <c r="B42" s="1740">
        <v>890000</v>
      </c>
      <c r="C42" s="1760">
        <v>491898.62</v>
      </c>
      <c r="D42" s="1741">
        <f t="shared" si="6"/>
        <v>0.55269507865168543</v>
      </c>
      <c r="J42" s="1703"/>
      <c r="K42" s="1703"/>
      <c r="L42" s="1703"/>
      <c r="M42" s="1703"/>
      <c r="O42" s="1703"/>
    </row>
    <row r="43" spans="1:21" s="1644" customFormat="1" ht="12" customHeight="1" x14ac:dyDescent="0.2">
      <c r="A43" s="1742">
        <v>2011</v>
      </c>
      <c r="B43" s="1740">
        <v>2007570</v>
      </c>
      <c r="C43" s="1760">
        <f>G15</f>
        <v>1599794.03</v>
      </c>
      <c r="D43" s="1741">
        <f t="shared" si="6"/>
        <v>0.79688082109216618</v>
      </c>
      <c r="J43" s="1703"/>
      <c r="K43" s="1703"/>
      <c r="L43" s="1703"/>
      <c r="M43" s="1703"/>
      <c r="O43" s="1703"/>
    </row>
    <row r="44" spans="1:21" s="1644" customFormat="1" x14ac:dyDescent="0.2">
      <c r="A44" s="1742" t="s">
        <v>319</v>
      </c>
      <c r="B44" s="1740">
        <f>H15</f>
        <v>2474834</v>
      </c>
      <c r="C44" s="1760">
        <f>I15</f>
        <v>231733.05</v>
      </c>
      <c r="D44" s="1741">
        <f t="shared" si="6"/>
        <v>9.3635795370517777E-2</v>
      </c>
      <c r="J44" s="1703"/>
      <c r="K44" s="1703"/>
      <c r="L44" s="1703"/>
      <c r="M44" s="1703"/>
    </row>
    <row r="45" spans="1:21" s="1644" customFormat="1" x14ac:dyDescent="0.2">
      <c r="A45" s="1742" t="s">
        <v>318</v>
      </c>
      <c r="B45" s="1740">
        <f>H15</f>
        <v>2474834</v>
      </c>
      <c r="C45" s="1760">
        <f>J15</f>
        <v>707572.33571428573</v>
      </c>
      <c r="D45" s="1741">
        <f t="shared" si="6"/>
        <v>0.28590698839368045</v>
      </c>
      <c r="J45" s="1703"/>
      <c r="K45" s="1703"/>
      <c r="L45" s="1703"/>
      <c r="M45" s="1703"/>
    </row>
    <row r="46" spans="1:21" s="1644" customFormat="1" x14ac:dyDescent="0.2">
      <c r="A46" s="1742">
        <v>2013</v>
      </c>
      <c r="B46" s="1740">
        <f>K15</f>
        <v>1375000.0000000033</v>
      </c>
      <c r="C46" s="1760" t="s">
        <v>187</v>
      </c>
      <c r="D46" s="1741" t="str">
        <f t="shared" si="6"/>
        <v>-</v>
      </c>
      <c r="J46" s="1703"/>
      <c r="K46" s="1703"/>
      <c r="L46" s="1703"/>
      <c r="M46" s="1703"/>
    </row>
    <row r="47" spans="1:21" s="1644" customFormat="1" x14ac:dyDescent="0.2">
      <c r="A47" s="1742">
        <v>2014</v>
      </c>
      <c r="B47" s="1740">
        <f>L15</f>
        <v>1690999.9999999979</v>
      </c>
      <c r="C47" s="1760" t="s">
        <v>187</v>
      </c>
      <c r="D47" s="1741" t="str">
        <f t="shared" si="6"/>
        <v>-</v>
      </c>
      <c r="J47" s="1703"/>
      <c r="K47" s="1703"/>
      <c r="L47" s="1703"/>
      <c r="M47" s="1703"/>
    </row>
    <row r="48" spans="1:21" s="1644" customFormat="1" x14ac:dyDescent="0.2">
      <c r="A48" s="1742">
        <v>2015</v>
      </c>
      <c r="B48" s="1740">
        <f>M15</f>
        <v>2104999.9999999972</v>
      </c>
      <c r="C48" s="1760" t="s">
        <v>187</v>
      </c>
      <c r="D48" s="1741" t="str">
        <f t="shared" si="6"/>
        <v>-</v>
      </c>
      <c r="J48" s="1703"/>
      <c r="K48" s="1703"/>
      <c r="L48" s="1703"/>
      <c r="M48" s="1703"/>
    </row>
    <row r="49" spans="1:15" s="1644" customFormat="1" x14ac:dyDescent="0.2">
      <c r="A49" s="1742"/>
      <c r="J49" s="1703"/>
      <c r="K49" s="1703"/>
      <c r="L49" s="1703"/>
      <c r="M49" s="1703"/>
      <c r="O49" s="1703"/>
    </row>
    <row r="50" spans="1:15" s="1644" customFormat="1" x14ac:dyDescent="0.2">
      <c r="A50" s="1743" t="s">
        <v>193</v>
      </c>
      <c r="J50" s="1703"/>
      <c r="K50" s="1703"/>
      <c r="L50" s="1703"/>
      <c r="M50" s="1703"/>
      <c r="O50" s="1703"/>
    </row>
    <row r="51" spans="1:15" s="1644" customFormat="1" x14ac:dyDescent="0.2">
      <c r="A51" s="1742" t="s">
        <v>185</v>
      </c>
      <c r="B51" s="1736" t="s">
        <v>188</v>
      </c>
      <c r="C51" s="1736" t="s">
        <v>186</v>
      </c>
      <c r="D51" s="1736" t="s">
        <v>189</v>
      </c>
      <c r="J51" s="1703"/>
      <c r="K51" s="1703"/>
      <c r="L51" s="1703"/>
      <c r="M51" s="1703"/>
      <c r="O51" s="1703"/>
    </row>
    <row r="52" spans="1:15" s="1644" customFormat="1" x14ac:dyDescent="0.2">
      <c r="A52" s="1742">
        <v>2006</v>
      </c>
      <c r="B52" s="1761" t="s">
        <v>195</v>
      </c>
      <c r="C52" s="1703" t="s">
        <v>195</v>
      </c>
      <c r="D52" s="1741" t="str">
        <f t="shared" ref="D52:D62" si="7">IF(ISERROR(C52/B52),"-",(C52/B52))</f>
        <v>-</v>
      </c>
      <c r="J52" s="1703"/>
      <c r="K52" s="1703"/>
      <c r="L52" s="1703"/>
      <c r="M52" s="1703"/>
      <c r="O52" s="1703"/>
    </row>
    <row r="53" spans="1:15" s="1644" customFormat="1" x14ac:dyDescent="0.2">
      <c r="A53" s="1742">
        <v>2007</v>
      </c>
      <c r="B53" s="1761" t="s">
        <v>195</v>
      </c>
      <c r="C53" s="1703" t="s">
        <v>195</v>
      </c>
      <c r="D53" s="1741" t="str">
        <f t="shared" si="7"/>
        <v>-</v>
      </c>
      <c r="J53" s="1703"/>
      <c r="K53" s="1703"/>
      <c r="L53" s="1703"/>
      <c r="M53" s="1703"/>
      <c r="O53" s="1703"/>
    </row>
    <row r="54" spans="1:15" s="1644" customFormat="1" x14ac:dyDescent="0.2">
      <c r="A54" s="1742">
        <v>2008</v>
      </c>
      <c r="B54" s="1761" t="s">
        <v>195</v>
      </c>
      <c r="C54" s="1703">
        <v>2</v>
      </c>
      <c r="D54" s="1741" t="str">
        <f t="shared" si="7"/>
        <v>-</v>
      </c>
      <c r="J54" s="1703"/>
      <c r="K54" s="1703"/>
      <c r="L54" s="1703"/>
      <c r="M54" s="1703"/>
      <c r="O54" s="1703"/>
    </row>
    <row r="55" spans="1:15" s="1644" customFormat="1" x14ac:dyDescent="0.2">
      <c r="A55" s="1742">
        <v>2009</v>
      </c>
      <c r="B55" s="1745">
        <v>30</v>
      </c>
      <c r="C55" s="1703">
        <v>18</v>
      </c>
      <c r="D55" s="1741">
        <f t="shared" si="7"/>
        <v>0.6</v>
      </c>
      <c r="J55" s="1703"/>
      <c r="K55" s="1703"/>
      <c r="L55" s="1703"/>
      <c r="M55" s="1703"/>
      <c r="O55" s="1703"/>
    </row>
    <row r="56" spans="1:15" s="1644" customFormat="1" x14ac:dyDescent="0.2">
      <c r="A56" s="1742">
        <v>2010</v>
      </c>
      <c r="B56" s="1745">
        <v>51</v>
      </c>
      <c r="C56" s="1703">
        <v>28</v>
      </c>
      <c r="D56" s="1741">
        <f t="shared" si="7"/>
        <v>0.5490196078431373</v>
      </c>
      <c r="J56" s="1703"/>
      <c r="K56" s="1703"/>
      <c r="L56" s="1703"/>
      <c r="M56" s="1703"/>
      <c r="O56" s="1703"/>
    </row>
    <row r="57" spans="1:15" s="1644" customFormat="1" x14ac:dyDescent="0.2">
      <c r="A57" s="1742">
        <v>2011</v>
      </c>
      <c r="B57" s="1745">
        <v>31</v>
      </c>
      <c r="C57" s="1761">
        <f>G28</f>
        <v>42</v>
      </c>
      <c r="D57" s="1741">
        <f t="shared" si="7"/>
        <v>1.3548387096774193</v>
      </c>
      <c r="J57" s="1703"/>
      <c r="K57" s="1703"/>
      <c r="L57" s="1703"/>
      <c r="M57" s="1703"/>
    </row>
    <row r="58" spans="1:15" s="1644" customFormat="1" x14ac:dyDescent="0.2">
      <c r="A58" s="1742" t="s">
        <v>319</v>
      </c>
      <c r="B58" s="1745">
        <f>H28</f>
        <v>154</v>
      </c>
      <c r="C58" s="1745">
        <f>I28</f>
        <v>11</v>
      </c>
      <c r="D58" s="1741">
        <f t="shared" si="7"/>
        <v>7.1428571428571425E-2</v>
      </c>
      <c r="J58" s="1703"/>
      <c r="K58" s="1703"/>
      <c r="L58" s="1703"/>
      <c r="M58" s="1703"/>
    </row>
    <row r="59" spans="1:15" s="1644" customFormat="1" x14ac:dyDescent="0.2">
      <c r="A59" s="1742" t="s">
        <v>318</v>
      </c>
      <c r="B59" s="1745">
        <f>H28</f>
        <v>154</v>
      </c>
      <c r="C59" s="1761">
        <f>J28</f>
        <v>148.68723478752014</v>
      </c>
      <c r="D59" s="1741">
        <f t="shared" si="7"/>
        <v>0.96550152459428662</v>
      </c>
      <c r="J59" s="1703"/>
      <c r="K59" s="1703"/>
      <c r="L59" s="1703"/>
      <c r="M59" s="1703"/>
    </row>
    <row r="60" spans="1:15" s="1644" customFormat="1" x14ac:dyDescent="0.2">
      <c r="A60" s="1742">
        <v>2013</v>
      </c>
      <c r="B60" s="1745">
        <f>K28</f>
        <v>24</v>
      </c>
      <c r="C60" s="1706" t="s">
        <v>187</v>
      </c>
      <c r="D60" s="1741" t="str">
        <f t="shared" si="7"/>
        <v>-</v>
      </c>
      <c r="J60" s="1703"/>
      <c r="K60" s="1703"/>
      <c r="L60" s="1703"/>
      <c r="M60" s="1703"/>
    </row>
    <row r="61" spans="1:15" s="1644" customFormat="1" x14ac:dyDescent="0.2">
      <c r="A61" s="1742">
        <v>2014</v>
      </c>
      <c r="B61" s="1745">
        <f>L28</f>
        <v>28</v>
      </c>
      <c r="C61" s="1706" t="s">
        <v>187</v>
      </c>
      <c r="D61" s="1741" t="str">
        <f t="shared" si="7"/>
        <v>-</v>
      </c>
      <c r="J61" s="1703"/>
      <c r="K61" s="1703"/>
      <c r="L61" s="1703"/>
      <c r="M61" s="1703"/>
    </row>
    <row r="62" spans="1:15" s="1644" customFormat="1" x14ac:dyDescent="0.2">
      <c r="A62" s="1742">
        <v>2015</v>
      </c>
      <c r="B62" s="1745">
        <f>M28</f>
        <v>34</v>
      </c>
      <c r="C62" s="1706" t="s">
        <v>187</v>
      </c>
      <c r="D62" s="1741" t="str">
        <f t="shared" si="7"/>
        <v>-</v>
      </c>
      <c r="J62" s="1703"/>
      <c r="K62" s="1703"/>
      <c r="L62" s="1703"/>
      <c r="M62" s="1703"/>
    </row>
    <row r="63" spans="1:15" s="1644" customFormat="1" x14ac:dyDescent="0.2">
      <c r="J63" s="1703"/>
      <c r="K63" s="1703"/>
      <c r="L63" s="1703"/>
      <c r="M63" s="1703"/>
      <c r="O63" s="1703"/>
    </row>
    <row r="64" spans="1:15" s="1644" customFormat="1" x14ac:dyDescent="0.2">
      <c r="A64" s="1743" t="s">
        <v>191</v>
      </c>
      <c r="J64" s="1703"/>
      <c r="K64" s="1703"/>
      <c r="L64" s="1703"/>
      <c r="M64" s="1703"/>
      <c r="O64" s="1703"/>
    </row>
    <row r="65" spans="1:15" s="1644" customFormat="1" x14ac:dyDescent="0.2">
      <c r="A65" s="1742" t="s">
        <v>185</v>
      </c>
      <c r="B65" s="1736" t="s">
        <v>188</v>
      </c>
      <c r="C65" s="1736" t="s">
        <v>186</v>
      </c>
      <c r="D65" s="1736" t="s">
        <v>189</v>
      </c>
      <c r="J65" s="1703"/>
      <c r="K65" s="1703"/>
      <c r="L65" s="1703"/>
      <c r="M65" s="1703"/>
      <c r="O65" s="1703"/>
    </row>
    <row r="66" spans="1:15" s="1644" customFormat="1" x14ac:dyDescent="0.2">
      <c r="A66" s="1742">
        <v>2006</v>
      </c>
      <c r="B66" s="1703" t="s">
        <v>195</v>
      </c>
      <c r="C66" s="1703" t="s">
        <v>195</v>
      </c>
      <c r="D66" s="1741" t="str">
        <f t="shared" ref="D66:D76" si="8">IF(ISERROR(C66/B66),"-",(C66/B66))</f>
        <v>-</v>
      </c>
      <c r="J66" s="1703"/>
      <c r="K66" s="1703"/>
      <c r="L66" s="1703"/>
      <c r="M66" s="1703"/>
      <c r="O66" s="1703"/>
    </row>
    <row r="67" spans="1:15" s="1644" customFormat="1" x14ac:dyDescent="0.2">
      <c r="A67" s="1742">
        <v>2007</v>
      </c>
      <c r="B67" s="1703" t="s">
        <v>195</v>
      </c>
      <c r="C67" s="1703" t="s">
        <v>195</v>
      </c>
      <c r="D67" s="1741" t="str">
        <f t="shared" si="8"/>
        <v>-</v>
      </c>
      <c r="J67" s="1703"/>
      <c r="K67" s="1703"/>
      <c r="L67" s="1703"/>
      <c r="M67" s="1703"/>
      <c r="O67" s="1703"/>
    </row>
    <row r="68" spans="1:15" s="1644" customFormat="1" x14ac:dyDescent="0.2">
      <c r="A68" s="1742">
        <v>2008</v>
      </c>
      <c r="B68" s="1703" t="s">
        <v>195</v>
      </c>
      <c r="C68" s="1761">
        <v>17218</v>
      </c>
      <c r="D68" s="1741" t="str">
        <f t="shared" si="8"/>
        <v>-</v>
      </c>
      <c r="J68" s="1703"/>
      <c r="K68" s="1703"/>
      <c r="L68" s="1703"/>
      <c r="M68" s="1703"/>
      <c r="O68" s="1703"/>
    </row>
    <row r="69" spans="1:15" s="1644" customFormat="1" x14ac:dyDescent="0.2">
      <c r="A69" s="1742">
        <v>2009</v>
      </c>
      <c r="B69" s="1745">
        <v>158038.1927350857</v>
      </c>
      <c r="C69" s="1761">
        <v>639931</v>
      </c>
      <c r="D69" s="1741">
        <f t="shared" si="8"/>
        <v>4.0492174007120898</v>
      </c>
      <c r="J69" s="1703"/>
      <c r="K69" s="1703"/>
      <c r="L69" s="1703"/>
      <c r="M69" s="1703"/>
      <c r="O69" s="1703"/>
    </row>
    <row r="70" spans="1:15" s="1644" customFormat="1" x14ac:dyDescent="0.2">
      <c r="A70" s="1742">
        <v>2010</v>
      </c>
      <c r="B70" s="1745">
        <v>435940</v>
      </c>
      <c r="C70" s="1761">
        <v>205653</v>
      </c>
      <c r="D70" s="1741">
        <f t="shared" si="8"/>
        <v>0.47174611185025461</v>
      </c>
      <c r="J70" s="1703"/>
      <c r="K70" s="1703"/>
      <c r="L70" s="1703"/>
      <c r="M70" s="1703"/>
      <c r="O70" s="1703"/>
    </row>
    <row r="71" spans="1:15" s="1644" customFormat="1" x14ac:dyDescent="0.2">
      <c r="A71" s="1742">
        <v>2011</v>
      </c>
      <c r="B71" s="1762">
        <v>548792</v>
      </c>
      <c r="C71" s="1745">
        <f>G20</f>
        <v>404921</v>
      </c>
      <c r="D71" s="1741">
        <f t="shared" si="8"/>
        <v>0.7378405661890115</v>
      </c>
      <c r="J71" s="1703"/>
      <c r="K71" s="1703"/>
      <c r="L71" s="1703"/>
      <c r="M71" s="1703"/>
      <c r="O71" s="1703"/>
    </row>
    <row r="72" spans="1:15" s="1644" customFormat="1" x14ac:dyDescent="0.2">
      <c r="A72" s="1742" t="s">
        <v>319</v>
      </c>
      <c r="B72" s="1745">
        <f>H20</f>
        <v>888623</v>
      </c>
      <c r="C72" s="1745">
        <f>I20</f>
        <v>86180</v>
      </c>
      <c r="D72" s="1788">
        <f t="shared" si="8"/>
        <v>9.6981509594057325E-2</v>
      </c>
      <c r="J72" s="1703"/>
      <c r="K72" s="1703"/>
      <c r="L72" s="1703"/>
      <c r="M72" s="1703"/>
    </row>
    <row r="73" spans="1:15" x14ac:dyDescent="0.2">
      <c r="A73" s="1742" t="s">
        <v>318</v>
      </c>
      <c r="B73" s="1745">
        <f>H20</f>
        <v>888623</v>
      </c>
      <c r="C73" s="1745">
        <f>J20</f>
        <v>263141.50653891254</v>
      </c>
      <c r="D73" s="1788">
        <f t="shared" si="8"/>
        <v>0.2961227725806248</v>
      </c>
      <c r="E73" s="1188"/>
      <c r="F73" s="1188"/>
      <c r="H73" s="1644"/>
      <c r="I73" s="1644"/>
      <c r="J73" s="1703"/>
      <c r="K73" s="1703"/>
      <c r="L73" s="1703"/>
      <c r="M73" s="1703"/>
    </row>
    <row r="74" spans="1:15" x14ac:dyDescent="0.2">
      <c r="A74" s="1742">
        <v>2013</v>
      </c>
      <c r="B74" s="1745">
        <f>K20</f>
        <v>329738.76875187107</v>
      </c>
      <c r="C74" s="1787" t="s">
        <v>187</v>
      </c>
      <c r="D74" s="1741" t="str">
        <f t="shared" si="8"/>
        <v>-</v>
      </c>
      <c r="E74" s="1188"/>
      <c r="F74" s="1188"/>
      <c r="H74" s="1644"/>
      <c r="I74" s="1644"/>
      <c r="J74" s="1703"/>
      <c r="K74" s="1703"/>
      <c r="L74" s="1703"/>
      <c r="M74" s="1703"/>
    </row>
    <row r="75" spans="1:15" x14ac:dyDescent="0.2">
      <c r="A75" s="1742">
        <v>2014</v>
      </c>
      <c r="B75" s="1745">
        <f>L20</f>
        <v>385100.24512516829</v>
      </c>
      <c r="C75" s="1787" t="s">
        <v>187</v>
      </c>
      <c r="D75" s="1741" t="str">
        <f t="shared" si="8"/>
        <v>-</v>
      </c>
      <c r="E75" s="1188"/>
      <c r="F75" s="1188"/>
      <c r="H75" s="1644"/>
      <c r="I75" s="1644"/>
      <c r="J75" s="1703"/>
      <c r="K75" s="1703"/>
      <c r="L75" s="1703"/>
      <c r="M75" s="1703"/>
    </row>
    <row r="76" spans="1:15" x14ac:dyDescent="0.2">
      <c r="A76" s="1742">
        <v>2015</v>
      </c>
      <c r="B76" s="1745">
        <f>M20</f>
        <v>467412.17041070329</v>
      </c>
      <c r="C76" s="1787" t="s">
        <v>187</v>
      </c>
      <c r="D76" s="1741" t="str">
        <f t="shared" si="8"/>
        <v>-</v>
      </c>
      <c r="E76" s="1188"/>
      <c r="F76" s="1188"/>
      <c r="H76" s="1644"/>
      <c r="I76" s="1644"/>
      <c r="J76" s="1703"/>
      <c r="K76" s="1703"/>
      <c r="L76" s="1703"/>
      <c r="M76" s="1703"/>
    </row>
    <row r="77" spans="1:15" x14ac:dyDescent="0.2">
      <c r="A77" s="1742"/>
      <c r="B77" s="1789"/>
      <c r="C77" s="1789"/>
      <c r="H77" s="1644"/>
      <c r="I77" s="1644"/>
      <c r="J77" s="1703"/>
      <c r="K77" s="1703"/>
      <c r="L77" s="1703"/>
      <c r="M77" s="1703"/>
    </row>
    <row r="78" spans="1:15" x14ac:dyDescent="0.2">
      <c r="A78" s="1743" t="s">
        <v>190</v>
      </c>
      <c r="B78" s="1789"/>
      <c r="C78" s="1789"/>
      <c r="H78" s="1644"/>
      <c r="I78" s="1644"/>
      <c r="J78" s="1703"/>
      <c r="K78" s="1703"/>
      <c r="L78" s="1703"/>
      <c r="M78" s="1703"/>
    </row>
    <row r="79" spans="1:15" x14ac:dyDescent="0.2">
      <c r="A79" s="1742" t="s">
        <v>185</v>
      </c>
      <c r="B79" s="1748" t="s">
        <v>188</v>
      </c>
      <c r="C79" s="1748" t="s">
        <v>186</v>
      </c>
      <c r="D79" s="1736" t="s">
        <v>189</v>
      </c>
      <c r="H79" s="1644"/>
      <c r="I79" s="1644"/>
      <c r="J79" s="1703"/>
      <c r="K79" s="1703"/>
      <c r="L79" s="1703"/>
      <c r="M79" s="1703"/>
    </row>
    <row r="80" spans="1:15" x14ac:dyDescent="0.2">
      <c r="A80" s="1742">
        <v>2006</v>
      </c>
      <c r="B80" s="1761" t="s">
        <v>195</v>
      </c>
      <c r="C80" s="1761" t="s">
        <v>195</v>
      </c>
      <c r="D80" s="1741" t="str">
        <f t="shared" ref="D80:D90" si="9">IF(ISERROR(C80/B80),"-",(C80/B80))</f>
        <v>-</v>
      </c>
      <c r="H80" s="1644"/>
      <c r="I80" s="1644"/>
      <c r="J80" s="1703"/>
      <c r="K80" s="1703"/>
      <c r="L80" s="1703"/>
      <c r="M80" s="1703"/>
    </row>
    <row r="81" spans="1:13" x14ac:dyDescent="0.2">
      <c r="A81" s="1742">
        <v>2007</v>
      </c>
      <c r="B81" s="1761" t="s">
        <v>195</v>
      </c>
      <c r="C81" s="1761" t="s">
        <v>195</v>
      </c>
      <c r="D81" s="1741" t="str">
        <f t="shared" si="9"/>
        <v>-</v>
      </c>
      <c r="H81" s="1644"/>
      <c r="I81" s="1644"/>
      <c r="J81" s="1703"/>
      <c r="K81" s="1703"/>
      <c r="L81" s="1703"/>
      <c r="M81" s="1703"/>
    </row>
    <row r="82" spans="1:13" x14ac:dyDescent="0.2">
      <c r="A82" s="1742">
        <v>2008</v>
      </c>
      <c r="B82" s="1761" t="s">
        <v>195</v>
      </c>
      <c r="C82" s="1763">
        <v>191374</v>
      </c>
      <c r="D82" s="1741" t="str">
        <f t="shared" si="9"/>
        <v>-</v>
      </c>
      <c r="H82" s="1644"/>
      <c r="I82" s="1644"/>
      <c r="J82" s="1703"/>
      <c r="K82" s="1703"/>
      <c r="L82" s="1703"/>
      <c r="M82" s="1703"/>
    </row>
    <row r="83" spans="1:13" x14ac:dyDescent="0.2">
      <c r="A83" s="1742">
        <v>2009</v>
      </c>
      <c r="B83" s="1745">
        <v>1738420.1200859428</v>
      </c>
      <c r="C83" s="1761">
        <v>9216030</v>
      </c>
      <c r="D83" s="1741">
        <f t="shared" si="9"/>
        <v>5.3013824986933447</v>
      </c>
      <c r="H83" s="1644"/>
      <c r="I83" s="1644"/>
      <c r="J83" s="1703"/>
      <c r="K83" s="1703"/>
      <c r="L83" s="1703"/>
      <c r="M83" s="1703"/>
    </row>
    <row r="84" spans="1:13" x14ac:dyDescent="0.2">
      <c r="A84" s="1742">
        <v>2010</v>
      </c>
      <c r="B84" s="1745">
        <v>6693658</v>
      </c>
      <c r="C84" s="1761">
        <v>2347874</v>
      </c>
      <c r="D84" s="1741">
        <f t="shared" si="9"/>
        <v>0.3507609740443865</v>
      </c>
      <c r="H84" s="1644"/>
      <c r="I84" s="1644"/>
      <c r="J84" s="1703"/>
      <c r="K84" s="1703"/>
      <c r="L84" s="1703"/>
      <c r="M84" s="1703"/>
    </row>
    <row r="85" spans="1:13" x14ac:dyDescent="0.2">
      <c r="A85" s="1742">
        <v>2011</v>
      </c>
      <c r="B85" s="1745">
        <v>3032051</v>
      </c>
      <c r="C85" s="1761">
        <f>G21</f>
        <v>4168922</v>
      </c>
      <c r="D85" s="1741">
        <f t="shared" si="9"/>
        <v>1.3749511469299165</v>
      </c>
      <c r="H85" s="1644"/>
      <c r="I85" s="1644"/>
      <c r="J85" s="1703"/>
      <c r="K85" s="1703"/>
      <c r="L85" s="1703"/>
      <c r="M85" s="1703"/>
    </row>
    <row r="86" spans="1:13" x14ac:dyDescent="0.2">
      <c r="A86" s="1742" t="s">
        <v>319</v>
      </c>
      <c r="B86" s="1761">
        <f>H21</f>
        <v>10221524</v>
      </c>
      <c r="C86" s="1761">
        <f>I21</f>
        <v>1327869</v>
      </c>
      <c r="D86" s="1741">
        <f t="shared" si="9"/>
        <v>0.12990910161733221</v>
      </c>
      <c r="H86" s="1644"/>
      <c r="I86" s="1644"/>
      <c r="J86" s="1703"/>
      <c r="K86" s="1703"/>
      <c r="L86" s="1703"/>
      <c r="M86" s="1703"/>
    </row>
    <row r="87" spans="1:13" x14ac:dyDescent="0.2">
      <c r="A87" s="1742" t="s">
        <v>318</v>
      </c>
      <c r="B87" s="1761">
        <f>H21</f>
        <v>10221524</v>
      </c>
      <c r="C87" s="1761">
        <f>J21</f>
        <v>4054507.4164112234</v>
      </c>
      <c r="D87" s="1741">
        <f t="shared" si="9"/>
        <v>0.39666368893828585</v>
      </c>
      <c r="H87" s="1644"/>
      <c r="I87" s="1644"/>
      <c r="J87" s="1698"/>
      <c r="K87" s="1698"/>
      <c r="L87" s="1698"/>
      <c r="M87" s="1698"/>
    </row>
    <row r="88" spans="1:13" x14ac:dyDescent="0.2">
      <c r="A88" s="1742">
        <v>2013</v>
      </c>
      <c r="B88" s="1761">
        <f>K21</f>
        <v>3711875.2094795601</v>
      </c>
      <c r="C88" s="1761" t="s">
        <v>187</v>
      </c>
      <c r="D88" s="1741" t="str">
        <f t="shared" si="9"/>
        <v>-</v>
      </c>
      <c r="H88" s="1644"/>
      <c r="I88" s="1644"/>
    </row>
    <row r="89" spans="1:13" x14ac:dyDescent="0.2">
      <c r="A89" s="1742">
        <v>2014</v>
      </c>
      <c r="B89" s="1761">
        <f>L21</f>
        <v>4335080.3378545791</v>
      </c>
      <c r="C89" s="1761" t="s">
        <v>187</v>
      </c>
      <c r="D89" s="1741" t="str">
        <f t="shared" si="9"/>
        <v>-</v>
      </c>
      <c r="H89" s="1644"/>
      <c r="I89" s="1644"/>
    </row>
    <row r="90" spans="1:13" x14ac:dyDescent="0.2">
      <c r="A90" s="1742">
        <v>2015</v>
      </c>
      <c r="B90" s="1761">
        <f>M21</f>
        <v>5261667.151010978</v>
      </c>
      <c r="C90" s="1761" t="s">
        <v>187</v>
      </c>
      <c r="D90" s="1741" t="str">
        <f t="shared" si="9"/>
        <v>-</v>
      </c>
      <c r="H90" s="1644"/>
      <c r="I90" s="1644"/>
    </row>
    <row r="91" spans="1:13" x14ac:dyDescent="0.2">
      <c r="B91" s="1789"/>
      <c r="C91" s="1789"/>
      <c r="H91" s="1644"/>
      <c r="I91" s="1644"/>
    </row>
    <row r="92" spans="1:13" x14ac:dyDescent="0.2">
      <c r="B92" s="1789"/>
      <c r="C92" s="1789"/>
      <c r="H92" s="1644"/>
      <c r="I92" s="1644"/>
    </row>
    <row r="93" spans="1:13" x14ac:dyDescent="0.2">
      <c r="B93" s="1789"/>
      <c r="C93" s="1789"/>
      <c r="H93" s="1644"/>
      <c r="I93" s="1644"/>
    </row>
    <row r="94" spans="1:13" x14ac:dyDescent="0.2">
      <c r="B94" s="1789"/>
      <c r="C94" s="1789"/>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O1"/>
  </mergeCells>
  <pageMargins left="0.98" right="0.75" top="1.1499999999999999" bottom="1" header="0.5" footer="0.5"/>
  <pageSetup scale="47" orientation="portrait" r:id="rId1"/>
  <headerFooter alignWithMargins="0">
    <oddFooter>&amp;C&amp;1#&amp;"Calibri"&amp;12&amp;K008000Internal Use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FFCC99"/>
    <pageSetUpPr fitToPage="1"/>
  </sheetPr>
  <dimension ref="A1:U49"/>
  <sheetViews>
    <sheetView topLeftCell="A10" workbookViewId="0">
      <selection activeCell="M47" sqref="M47:M49"/>
    </sheetView>
  </sheetViews>
  <sheetFormatPr defaultRowHeight="12.75" x14ac:dyDescent="0.2"/>
  <cols>
    <col min="1" max="1" width="32.5703125" customWidth="1"/>
    <col min="2" max="2" width="3.5703125" customWidth="1"/>
    <col min="3" max="3" width="14.42578125" customWidth="1"/>
    <col min="4" max="6" width="13.28515625" customWidth="1"/>
    <col min="7" max="7" width="14" customWidth="1"/>
    <col min="8" max="9" width="12.28515625" bestFit="1" customWidth="1"/>
    <col min="19" max="19" width="12.85546875" customWidth="1"/>
  </cols>
  <sheetData>
    <row r="1" spans="1:19" ht="15" x14ac:dyDescent="0.25">
      <c r="A1" s="2855" t="s">
        <v>467</v>
      </c>
      <c r="B1" s="2855"/>
      <c r="C1" s="2855"/>
      <c r="D1" s="2855"/>
      <c r="E1" s="2855"/>
      <c r="F1" s="29"/>
      <c r="O1" s="3"/>
      <c r="P1" s="3"/>
      <c r="Q1" s="3"/>
      <c r="R1" s="3"/>
      <c r="S1" s="3"/>
    </row>
    <row r="2" spans="1:19" ht="15" x14ac:dyDescent="0.25">
      <c r="A2" s="31"/>
      <c r="O2" s="3"/>
      <c r="P2" s="3"/>
      <c r="Q2" s="3"/>
      <c r="R2" s="3"/>
      <c r="S2" s="3"/>
    </row>
    <row r="3" spans="1:19" x14ac:dyDescent="0.2">
      <c r="O3" s="138"/>
      <c r="P3" s="98"/>
      <c r="Q3" s="15"/>
      <c r="R3" s="15"/>
      <c r="S3" s="3"/>
    </row>
    <row r="4" spans="1:19" x14ac:dyDescent="0.2">
      <c r="O4" s="139"/>
      <c r="P4" s="98"/>
      <c r="Q4" s="15"/>
      <c r="R4" s="15"/>
      <c r="S4" s="3"/>
    </row>
    <row r="5" spans="1:19" x14ac:dyDescent="0.2">
      <c r="O5" s="139"/>
      <c r="P5" s="98"/>
      <c r="Q5" s="15"/>
      <c r="R5" s="15"/>
      <c r="S5" s="3"/>
    </row>
    <row r="6" spans="1:19" x14ac:dyDescent="0.2">
      <c r="O6" s="139"/>
      <c r="P6" s="98"/>
      <c r="Q6" s="15"/>
      <c r="R6" s="15"/>
      <c r="S6" s="3"/>
    </row>
    <row r="7" spans="1:19" x14ac:dyDescent="0.2">
      <c r="O7" s="139"/>
      <c r="P7" s="98"/>
      <c r="Q7" s="15"/>
      <c r="R7" s="15"/>
      <c r="S7" s="3"/>
    </row>
    <row r="8" spans="1:19" x14ac:dyDescent="0.2">
      <c r="O8" s="15"/>
      <c r="P8" s="15"/>
      <c r="Q8" s="15"/>
      <c r="R8" s="15"/>
      <c r="S8" s="3"/>
    </row>
    <row r="9" spans="1:19" x14ac:dyDescent="0.2">
      <c r="O9" s="138"/>
      <c r="P9" s="15"/>
      <c r="Q9" s="15"/>
      <c r="R9" s="15"/>
      <c r="S9" s="3"/>
    </row>
    <row r="10" spans="1:19" x14ac:dyDescent="0.2">
      <c r="O10" s="15"/>
      <c r="P10" s="15"/>
      <c r="Q10" s="15"/>
      <c r="R10" s="15"/>
      <c r="S10" s="3"/>
    </row>
    <row r="11" spans="1:19" x14ac:dyDescent="0.2">
      <c r="O11" s="15"/>
      <c r="P11" s="98"/>
      <c r="Q11" s="15"/>
      <c r="R11" s="15"/>
      <c r="S11" s="3"/>
    </row>
    <row r="12" spans="1:19" x14ac:dyDescent="0.2">
      <c r="O12" s="15"/>
      <c r="P12" s="98"/>
      <c r="Q12" s="15"/>
      <c r="R12" s="15"/>
      <c r="S12" s="3"/>
    </row>
    <row r="13" spans="1:19" x14ac:dyDescent="0.2">
      <c r="O13" s="15"/>
      <c r="P13" s="15"/>
      <c r="Q13" s="15"/>
      <c r="R13" s="15"/>
      <c r="S13" s="3"/>
    </row>
    <row r="14" spans="1:19" x14ac:dyDescent="0.2">
      <c r="O14" s="3"/>
      <c r="P14" s="3"/>
      <c r="Q14" s="3"/>
      <c r="R14" s="3"/>
      <c r="S14" s="3"/>
    </row>
    <row r="15" spans="1:19" x14ac:dyDescent="0.2">
      <c r="O15" s="138"/>
      <c r="P15" s="98"/>
      <c r="Q15" s="15"/>
      <c r="R15" s="15"/>
      <c r="S15" s="3"/>
    </row>
    <row r="16" spans="1:19" x14ac:dyDescent="0.2">
      <c r="O16" s="139"/>
      <c r="P16" s="98"/>
      <c r="Q16" s="15"/>
      <c r="R16" s="15"/>
      <c r="S16" s="3"/>
    </row>
    <row r="17" spans="1:21" x14ac:dyDescent="0.2">
      <c r="O17" s="139"/>
      <c r="P17" s="98"/>
      <c r="Q17" s="15"/>
      <c r="R17" s="15"/>
      <c r="S17" s="3"/>
    </row>
    <row r="18" spans="1:21" x14ac:dyDescent="0.2">
      <c r="O18" s="139"/>
      <c r="P18" s="98"/>
      <c r="Q18" s="15"/>
      <c r="R18" s="15"/>
      <c r="S18" s="3"/>
    </row>
    <row r="19" spans="1:21" x14ac:dyDescent="0.2">
      <c r="O19" s="139"/>
      <c r="P19" s="98"/>
      <c r="Q19" s="15"/>
      <c r="R19" s="15"/>
      <c r="S19" s="3"/>
    </row>
    <row r="20" spans="1:21" x14ac:dyDescent="0.2">
      <c r="O20" s="15"/>
      <c r="P20" s="15"/>
      <c r="Q20" s="15"/>
      <c r="R20" s="15"/>
      <c r="S20" s="3"/>
    </row>
    <row r="21" spans="1:21" x14ac:dyDescent="0.2">
      <c r="O21" s="138"/>
      <c r="P21" s="15"/>
      <c r="Q21" s="15"/>
      <c r="R21" s="15"/>
      <c r="S21" s="3"/>
    </row>
    <row r="22" spans="1:21" x14ac:dyDescent="0.2">
      <c r="O22" s="15"/>
      <c r="P22" s="15"/>
      <c r="Q22" s="15"/>
      <c r="R22" s="15"/>
      <c r="S22" s="3"/>
    </row>
    <row r="23" spans="1:21" ht="13.5" customHeight="1" x14ac:dyDescent="0.2">
      <c r="O23" s="15"/>
      <c r="P23" s="98"/>
      <c r="Q23" s="15"/>
      <c r="R23" s="15"/>
      <c r="S23" s="3"/>
    </row>
    <row r="24" spans="1:21" ht="13.5" customHeight="1" x14ac:dyDescent="0.2">
      <c r="O24" s="15"/>
      <c r="P24" s="98"/>
      <c r="Q24" s="15"/>
      <c r="R24" s="15"/>
      <c r="S24" s="3"/>
    </row>
    <row r="25" spans="1:21" s="3" customFormat="1" ht="13.5" customHeight="1" x14ac:dyDescent="0.2">
      <c r="O25"/>
      <c r="P25"/>
      <c r="Q25"/>
      <c r="R25"/>
      <c r="S25"/>
      <c r="T25"/>
    </row>
    <row r="26" spans="1:21" s="3" customFormat="1" ht="13.5" customHeight="1" x14ac:dyDescent="0.2">
      <c r="O26"/>
      <c r="P26"/>
      <c r="Q26"/>
      <c r="R26"/>
      <c r="S26"/>
      <c r="T26"/>
    </row>
    <row r="27" spans="1:21" x14ac:dyDescent="0.2">
      <c r="O27" s="7"/>
      <c r="T27" s="28"/>
    </row>
    <row r="28" spans="1:21" ht="44.25" customHeight="1" x14ac:dyDescent="0.2">
      <c r="A28" s="209" t="s">
        <v>20</v>
      </c>
      <c r="B28" s="209"/>
      <c r="C28" s="209" t="s">
        <v>26</v>
      </c>
      <c r="D28" s="209" t="s">
        <v>57</v>
      </c>
      <c r="E28" s="209" t="s">
        <v>21</v>
      </c>
      <c r="F28" s="206"/>
      <c r="G28" s="206"/>
      <c r="H28" s="53"/>
      <c r="I28" s="49"/>
      <c r="O28" s="15"/>
      <c r="P28" s="15"/>
      <c r="Q28" s="13"/>
      <c r="R28" s="13"/>
      <c r="S28" s="44"/>
      <c r="T28" s="25"/>
      <c r="U28" s="13"/>
    </row>
    <row r="29" spans="1:21" x14ac:dyDescent="0.2">
      <c r="A29" s="176" t="s">
        <v>228</v>
      </c>
      <c r="B29" s="54"/>
      <c r="C29" s="55" t="e">
        <f>+'2012-2013 Combined Table A1 '!H12</f>
        <v>#REF!</v>
      </c>
      <c r="D29" s="56" t="e">
        <f>C29/C42</f>
        <v>#REF!</v>
      </c>
      <c r="E29" s="57" t="e">
        <f>C29/C36</f>
        <v>#REF!</v>
      </c>
      <c r="F29" s="207"/>
      <c r="G29" s="207"/>
      <c r="H29" s="49"/>
      <c r="I29" s="49"/>
      <c r="O29" s="15"/>
      <c r="P29" s="15"/>
      <c r="Q29" s="13"/>
      <c r="R29" s="13"/>
      <c r="S29" s="44"/>
      <c r="T29" s="25"/>
      <c r="U29" s="13"/>
    </row>
    <row r="30" spans="1:21" x14ac:dyDescent="0.2">
      <c r="A30" s="176" t="s">
        <v>229</v>
      </c>
      <c r="B30" s="54"/>
      <c r="C30" s="55" t="e">
        <f>+'CNG Table A'!#REF!-'CNG 2013 Table A Pie Charts'!C29</f>
        <v>#REF!</v>
      </c>
      <c r="D30" s="56" t="e">
        <f>C30/C42</f>
        <v>#REF!</v>
      </c>
      <c r="E30" s="57" t="e">
        <f>C30/C36</f>
        <v>#REF!</v>
      </c>
      <c r="F30" s="207"/>
      <c r="G30" s="207"/>
      <c r="H30" s="49"/>
      <c r="I30" s="58"/>
      <c r="J30" s="32"/>
      <c r="K30" s="32"/>
      <c r="L30" s="32"/>
      <c r="M30" s="32"/>
      <c r="O30" s="15"/>
      <c r="P30" s="15"/>
      <c r="Q30" s="13"/>
      <c r="R30" s="13"/>
      <c r="S30" s="44"/>
      <c r="T30" s="25"/>
      <c r="U30" s="13"/>
    </row>
    <row r="31" spans="1:21" x14ac:dyDescent="0.2">
      <c r="A31" s="108" t="s">
        <v>22</v>
      </c>
      <c r="B31" s="60"/>
      <c r="C31" s="61" t="e">
        <f>SUM(C29:C30)</f>
        <v>#REF!</v>
      </c>
      <c r="D31" s="62" t="e">
        <f>SUM(D29:D30)</f>
        <v>#REF!</v>
      </c>
      <c r="E31" s="62" t="e">
        <f>SUM(E29:E30)</f>
        <v>#REF!</v>
      </c>
      <c r="F31" s="207"/>
      <c r="G31" s="207"/>
      <c r="H31" s="49"/>
      <c r="I31" s="49"/>
      <c r="O31" s="15"/>
      <c r="P31" s="15"/>
      <c r="Q31" s="13"/>
      <c r="R31" s="13"/>
      <c r="S31" s="44"/>
      <c r="T31" s="25"/>
      <c r="U31" s="13"/>
    </row>
    <row r="32" spans="1:21" x14ac:dyDescent="0.2">
      <c r="A32" s="54"/>
      <c r="B32" s="54"/>
      <c r="C32" s="55"/>
      <c r="D32" s="56"/>
      <c r="E32" s="57"/>
      <c r="F32" s="207"/>
      <c r="G32" s="207"/>
      <c r="H32" s="65"/>
      <c r="I32" s="65"/>
      <c r="O32" s="13"/>
      <c r="P32" s="13"/>
      <c r="Q32" s="13"/>
      <c r="R32" s="13"/>
      <c r="S32" s="13"/>
      <c r="T32" s="13"/>
      <c r="U32" s="13"/>
    </row>
    <row r="33" spans="1:21" x14ac:dyDescent="0.2">
      <c r="A33" s="176" t="s">
        <v>56</v>
      </c>
      <c r="B33" s="54"/>
      <c r="C33" s="55" t="e">
        <f>+'2012-2013 Combined Table A1 '!H55</f>
        <v>#REF!</v>
      </c>
      <c r="D33" s="56" t="e">
        <f>SUM(C33/C42)</f>
        <v>#REF!</v>
      </c>
      <c r="E33" s="57" t="e">
        <f>SUM(C33/C36)</f>
        <v>#REF!</v>
      </c>
      <c r="F33" s="207"/>
      <c r="G33" s="207"/>
      <c r="H33" s="65"/>
      <c r="I33" s="65"/>
      <c r="O33" s="13"/>
      <c r="P33" s="13"/>
      <c r="Q33" s="13"/>
      <c r="R33" s="13"/>
      <c r="S33" s="13"/>
      <c r="T33" s="13"/>
      <c r="U33" s="13"/>
    </row>
    <row r="34" spans="1:21" x14ac:dyDescent="0.2">
      <c r="A34" s="108" t="s">
        <v>23</v>
      </c>
      <c r="B34" s="60"/>
      <c r="C34" s="61" t="e">
        <f>SUM(C32:C33)</f>
        <v>#REF!</v>
      </c>
      <c r="D34" s="62" t="e">
        <f>SUM(D32:D33)</f>
        <v>#REF!</v>
      </c>
      <c r="E34" s="62" t="e">
        <f>SUM(E32:E33)</f>
        <v>#REF!</v>
      </c>
      <c r="F34" s="207"/>
      <c r="G34" s="207"/>
      <c r="H34" s="49"/>
      <c r="I34" s="50"/>
      <c r="O34" s="13"/>
      <c r="P34" s="13"/>
      <c r="Q34" s="13"/>
      <c r="R34" s="13"/>
      <c r="S34" s="13"/>
      <c r="T34" s="13"/>
      <c r="U34" s="13"/>
    </row>
    <row r="35" spans="1:21" x14ac:dyDescent="0.2">
      <c r="A35" s="49"/>
      <c r="B35" s="49"/>
      <c r="C35" s="49"/>
      <c r="D35" s="63"/>
      <c r="E35" s="63"/>
      <c r="F35" s="165"/>
      <c r="G35" s="165"/>
      <c r="H35" s="49"/>
      <c r="I35" s="50"/>
    </row>
    <row r="36" spans="1:21" x14ac:dyDescent="0.2">
      <c r="A36" s="108" t="s">
        <v>29</v>
      </c>
      <c r="B36" s="59"/>
      <c r="C36" s="61" t="e">
        <f>C31+C34</f>
        <v>#REF!</v>
      </c>
      <c r="D36" s="62" t="e">
        <f>D31+D34</f>
        <v>#REF!</v>
      </c>
      <c r="E36" s="62" t="e">
        <f>E31+E34</f>
        <v>#REF!</v>
      </c>
      <c r="F36" s="207"/>
      <c r="G36" s="208"/>
      <c r="H36" s="49"/>
      <c r="I36" s="50"/>
    </row>
    <row r="37" spans="1:21" x14ac:dyDescent="0.2">
      <c r="A37" s="54"/>
      <c r="B37" s="54"/>
      <c r="C37" s="55"/>
      <c r="D37" s="57"/>
      <c r="E37" s="66"/>
      <c r="F37" s="203"/>
      <c r="G37" s="203"/>
      <c r="H37" s="49"/>
      <c r="I37" s="137"/>
    </row>
    <row r="38" spans="1:21" s="34" customFormat="1" ht="15" customHeight="1" x14ac:dyDescent="0.25">
      <c r="A38" s="177" t="s">
        <v>24</v>
      </c>
      <c r="B38" s="67"/>
      <c r="C38" s="68"/>
      <c r="D38" s="69"/>
      <c r="E38" s="51"/>
      <c r="F38" s="68"/>
      <c r="G38" s="202"/>
      <c r="H38" s="51"/>
      <c r="I38" s="51"/>
    </row>
    <row r="39" spans="1:21" s="34" customFormat="1" ht="15" customHeight="1" x14ac:dyDescent="0.2">
      <c r="A39" s="176" t="s">
        <v>24</v>
      </c>
      <c r="B39" s="54"/>
      <c r="C39" s="70" t="e">
        <f>+'2012-2013 Combined Table A1 '!H56</f>
        <v>#REF!</v>
      </c>
      <c r="D39" s="56" t="e">
        <f>C39/C42</f>
        <v>#REF!</v>
      </c>
      <c r="E39" s="51"/>
      <c r="F39" s="68"/>
      <c r="G39" s="202"/>
      <c r="H39" s="51"/>
      <c r="I39" s="51"/>
    </row>
    <row r="40" spans="1:21" s="34" customFormat="1" ht="15" customHeight="1" x14ac:dyDescent="0.2">
      <c r="A40" s="108" t="s">
        <v>25</v>
      </c>
      <c r="B40" s="71"/>
      <c r="C40" s="72" t="e">
        <f>SUM(C39)</f>
        <v>#REF!</v>
      </c>
      <c r="D40" s="73" t="e">
        <f>SUM(D39)</f>
        <v>#REF!</v>
      </c>
      <c r="E40" s="74"/>
      <c r="F40" s="68"/>
      <c r="G40" s="203"/>
      <c r="H40" s="51"/>
      <c r="I40" s="51"/>
    </row>
    <row r="41" spans="1:21" s="34" customFormat="1" x14ac:dyDescent="0.2">
      <c r="A41" s="75"/>
      <c r="B41" s="75"/>
      <c r="C41" s="76"/>
      <c r="D41" s="77"/>
      <c r="E41" s="78"/>
      <c r="F41" s="204"/>
      <c r="G41" s="205"/>
      <c r="H41" s="51"/>
      <c r="I41" s="51"/>
    </row>
    <row r="42" spans="1:21" s="34" customFormat="1" x14ac:dyDescent="0.2">
      <c r="A42" s="79" t="s">
        <v>16</v>
      </c>
      <c r="B42" s="79"/>
      <c r="C42" s="80" t="e">
        <f>C40+C36</f>
        <v>#REF!</v>
      </c>
      <c r="D42" s="57" t="e">
        <f>D36+D40</f>
        <v>#REF!</v>
      </c>
      <c r="E42" s="51"/>
      <c r="F42" s="52"/>
      <c r="G42" s="52"/>
      <c r="H42" s="51"/>
      <c r="I42" s="51"/>
    </row>
    <row r="43" spans="1:21" s="37" customFormat="1" x14ac:dyDescent="0.2">
      <c r="A43" s="35"/>
      <c r="B43" s="35"/>
      <c r="C43" s="38"/>
      <c r="D43" s="30"/>
      <c r="F43" s="201"/>
      <c r="G43" s="201"/>
    </row>
    <row r="44" spans="1:21" s="37" customFormat="1" x14ac:dyDescent="0.2">
      <c r="A44" s="33"/>
      <c r="B44" s="33"/>
      <c r="C44" s="33"/>
      <c r="D44" s="33"/>
      <c r="E44" s="33"/>
      <c r="F44" s="201"/>
      <c r="G44" s="201"/>
    </row>
    <row r="45" spans="1:21" s="37" customFormat="1" x14ac:dyDescent="0.2">
      <c r="A45" s="35"/>
      <c r="B45" s="35"/>
      <c r="C45" s="38"/>
      <c r="D45" s="39"/>
      <c r="E45" s="39"/>
      <c r="F45" s="36"/>
      <c r="G45" s="40"/>
    </row>
    <row r="46" spans="1:21" s="37" customFormat="1" x14ac:dyDescent="0.2">
      <c r="A46" s="35"/>
      <c r="B46" s="35"/>
      <c r="C46" s="38"/>
      <c r="D46" s="40"/>
      <c r="E46" s="40"/>
      <c r="F46" s="40"/>
      <c r="G46" s="40"/>
    </row>
    <row r="47" spans="1:21" s="37" customFormat="1" x14ac:dyDescent="0.2">
      <c r="A47" s="35"/>
      <c r="B47" s="35"/>
      <c r="C47" s="38"/>
      <c r="D47" s="34"/>
      <c r="E47" s="34"/>
      <c r="F47" s="34"/>
      <c r="G47" s="34"/>
    </row>
    <row r="48" spans="1:21" x14ac:dyDescent="0.2">
      <c r="A48" s="41"/>
      <c r="B48" s="41"/>
      <c r="C48" s="42"/>
      <c r="D48" s="13"/>
      <c r="E48" s="13"/>
      <c r="F48" s="13"/>
      <c r="G48" s="13"/>
    </row>
    <row r="49" spans="1:7" x14ac:dyDescent="0.2">
      <c r="A49" s="13"/>
      <c r="B49" s="13"/>
      <c r="C49" s="43"/>
      <c r="D49" s="13"/>
      <c r="E49" s="13"/>
      <c r="F49" s="13"/>
      <c r="G49" s="13"/>
    </row>
  </sheetData>
  <mergeCells count="1">
    <mergeCell ref="A1:E1"/>
  </mergeCells>
  <phoneticPr fontId="10" type="noConversion"/>
  <pageMargins left="0.75" right="0.75" top="1" bottom="1" header="0.5" footer="0.5"/>
  <pageSetup orientation="portrait" r:id="rId1"/>
  <headerFooter alignWithMargins="0">
    <oddHeader xml:space="preserve">&amp;R&amp;12
</oddHeader>
    <oddFooter>&amp;C&amp;"Arial"&amp;11&amp;K000000Totals may vary due to rounding
_x000D_&amp;1#&amp;"Calibri"&amp;12&amp;K008000Internal Use</oddFoot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49">
    <tabColor indexed="11"/>
    <pageSetUpPr fitToPage="1"/>
  </sheetPr>
  <dimension ref="A1:T127"/>
  <sheetViews>
    <sheetView topLeftCell="D1" workbookViewId="0">
      <selection activeCell="J67" sqref="J67"/>
    </sheetView>
  </sheetViews>
  <sheetFormatPr defaultRowHeight="12.75" x14ac:dyDescent="0.2"/>
  <cols>
    <col min="1" max="1" width="40.140625" style="1635" customWidth="1"/>
    <col min="2" max="2" width="12" style="1635" customWidth="1"/>
    <col min="3" max="3" width="10.5703125" style="1635" customWidth="1"/>
    <col min="4" max="4" width="11.7109375" style="1635" bestFit="1" customWidth="1"/>
    <col min="5" max="5" width="10.7109375" style="1635" customWidth="1"/>
    <col min="6" max="6" width="12.7109375" style="1635" customWidth="1"/>
    <col min="7" max="7" width="10.7109375" style="1635" customWidth="1"/>
    <col min="8" max="8" width="12" style="1188" customWidth="1"/>
    <col min="9" max="9" width="13.28515625" style="1188" customWidth="1"/>
    <col min="10" max="10" width="11.42578125" style="1635" customWidth="1"/>
    <col min="11" max="11" width="12" style="1635" customWidth="1"/>
    <col min="12" max="12" width="12.140625" style="1635" customWidth="1"/>
    <col min="13" max="13" width="12.42578125" style="1635" customWidth="1"/>
    <col min="14" max="14" width="6.85546875" style="1635" customWidth="1"/>
    <col min="15" max="15" width="2.42578125" style="1635" customWidth="1"/>
    <col min="16" max="16" width="11.42578125" style="1635" customWidth="1"/>
    <col min="17" max="17" width="10.7109375" style="1635" customWidth="1"/>
    <col min="18" max="18" width="12.28515625" style="1635" customWidth="1"/>
    <col min="19" max="16384" width="9.140625" style="1635"/>
  </cols>
  <sheetData>
    <row r="1" spans="1:14" ht="15.75" x14ac:dyDescent="0.25">
      <c r="A1" s="2976" t="s">
        <v>48</v>
      </c>
      <c r="B1" s="2976"/>
      <c r="C1" s="2976"/>
      <c r="D1" s="2976"/>
      <c r="E1" s="2976"/>
      <c r="F1" s="2976"/>
      <c r="G1" s="2976"/>
      <c r="H1" s="2976"/>
      <c r="I1" s="2976"/>
      <c r="J1" s="2976"/>
      <c r="K1" s="2976"/>
      <c r="L1" s="2976"/>
    </row>
    <row r="2" spans="1:14" x14ac:dyDescent="0.2">
      <c r="A2" s="1699"/>
    </row>
    <row r="3" spans="1:14" ht="15.75" x14ac:dyDescent="0.25">
      <c r="A3" s="1700" t="s">
        <v>205</v>
      </c>
    </row>
    <row r="4" spans="1:14" x14ac:dyDescent="0.2">
      <c r="A4" s="1699"/>
    </row>
    <row r="5" spans="1:14" x14ac:dyDescent="0.2">
      <c r="A5" s="1749"/>
      <c r="H5" s="1702"/>
      <c r="I5" s="1702"/>
      <c r="J5" s="1644"/>
    </row>
    <row r="6" spans="1:14" s="1644" customFormat="1" x14ac:dyDescent="0.2">
      <c r="A6" s="1701"/>
      <c r="B6" s="1790">
        <v>2006</v>
      </c>
      <c r="C6" s="1790">
        <v>2007</v>
      </c>
      <c r="D6" s="1790">
        <v>2008</v>
      </c>
      <c r="E6" s="1790">
        <v>2009</v>
      </c>
      <c r="F6" s="1790">
        <v>2010</v>
      </c>
      <c r="G6" s="1634">
        <v>2011</v>
      </c>
      <c r="H6" s="1634">
        <v>2012</v>
      </c>
      <c r="I6" s="1634">
        <v>2012</v>
      </c>
      <c r="J6" s="1634">
        <v>2012</v>
      </c>
      <c r="K6" s="1634">
        <v>2013</v>
      </c>
      <c r="L6" s="1634">
        <v>2014</v>
      </c>
      <c r="M6" s="1634">
        <v>2015</v>
      </c>
    </row>
    <row r="7" spans="1:14" s="1644" customFormat="1" x14ac:dyDescent="0.2">
      <c r="A7" s="1704" t="s">
        <v>44</v>
      </c>
      <c r="B7" s="1738" t="s">
        <v>148</v>
      </c>
      <c r="C7" s="1738" t="s">
        <v>148</v>
      </c>
      <c r="D7" s="1738" t="s">
        <v>148</v>
      </c>
      <c r="E7" s="1738" t="s">
        <v>148</v>
      </c>
      <c r="F7" s="1738" t="s">
        <v>148</v>
      </c>
      <c r="G7" s="1645" t="s">
        <v>148</v>
      </c>
      <c r="H7" s="1645" t="s">
        <v>1</v>
      </c>
      <c r="I7" s="1645" t="s">
        <v>442</v>
      </c>
      <c r="J7" s="1645" t="s">
        <v>212</v>
      </c>
      <c r="K7" s="1645" t="s">
        <v>1</v>
      </c>
      <c r="L7" s="1645" t="s">
        <v>1</v>
      </c>
      <c r="M7" s="1645" t="s">
        <v>1</v>
      </c>
    </row>
    <row r="8" spans="1:14" s="1644" customFormat="1" x14ac:dyDescent="0.2">
      <c r="A8" s="1286"/>
      <c r="H8" s="1705"/>
      <c r="I8" s="1705"/>
    </row>
    <row r="9" spans="1:14" s="1644" customFormat="1" x14ac:dyDescent="0.2">
      <c r="A9" s="1286" t="s">
        <v>53</v>
      </c>
      <c r="B9" s="1703" t="s">
        <v>195</v>
      </c>
      <c r="C9" s="1703" t="s">
        <v>195</v>
      </c>
      <c r="D9" s="1707">
        <v>5316.5</v>
      </c>
      <c r="E9" s="1707">
        <v>10774.68</v>
      </c>
      <c r="F9" s="1707">
        <v>5006.4399999999996</v>
      </c>
      <c r="G9" s="1707">
        <v>5181.9699999999993</v>
      </c>
      <c r="H9" s="1708">
        <v>75170</v>
      </c>
      <c r="I9" s="1708">
        <v>3398.1000000000004</v>
      </c>
      <c r="J9" s="1707">
        <v>5825.3142857142857</v>
      </c>
      <c r="K9" s="1707">
        <v>39236.967071284482</v>
      </c>
      <c r="L9" s="1707">
        <v>43979.983182899203</v>
      </c>
      <c r="M9" s="1707">
        <v>50668.776828215094</v>
      </c>
    </row>
    <row r="10" spans="1:14" s="1644" customFormat="1" x14ac:dyDescent="0.2">
      <c r="A10" s="1286" t="s">
        <v>45</v>
      </c>
      <c r="B10" s="1703" t="s">
        <v>195</v>
      </c>
      <c r="C10" s="1703" t="s">
        <v>195</v>
      </c>
      <c r="D10" s="1707">
        <v>2090</v>
      </c>
      <c r="E10" s="1707">
        <v>3430.7</v>
      </c>
      <c r="F10" s="1707">
        <v>618.34</v>
      </c>
      <c r="G10" s="1707">
        <v>980.58</v>
      </c>
      <c r="H10" s="1708">
        <v>15000</v>
      </c>
      <c r="I10" s="1708">
        <v>113.95</v>
      </c>
      <c r="J10" s="1707">
        <v>195.34285714285718</v>
      </c>
      <c r="K10" s="1707">
        <v>13230.690369757602</v>
      </c>
      <c r="L10" s="1707">
        <v>15033.210968081457</v>
      </c>
      <c r="M10" s="1707">
        <v>17575.207837573857</v>
      </c>
    </row>
    <row r="11" spans="1:14" s="1644" customFormat="1" x14ac:dyDescent="0.2">
      <c r="A11" s="1286" t="s">
        <v>202</v>
      </c>
      <c r="B11" s="1703" t="s">
        <v>195</v>
      </c>
      <c r="C11" s="1703" t="s">
        <v>195</v>
      </c>
      <c r="D11" s="1707">
        <v>100.5</v>
      </c>
      <c r="E11" s="1707">
        <v>0</v>
      </c>
      <c r="F11" s="1707">
        <v>516.80999999999995</v>
      </c>
      <c r="G11" s="1707"/>
      <c r="H11" s="1708">
        <v>1500</v>
      </c>
      <c r="I11" s="1708">
        <v>0</v>
      </c>
      <c r="J11" s="1707">
        <v>0</v>
      </c>
      <c r="K11" s="1707">
        <v>1730.2539291011378</v>
      </c>
      <c r="L11" s="1707">
        <v>1910.5075746651846</v>
      </c>
      <c r="M11" s="1707">
        <v>2164.7072616144246</v>
      </c>
    </row>
    <row r="12" spans="1:14" s="1644" customFormat="1" x14ac:dyDescent="0.2">
      <c r="A12" s="1286" t="s">
        <v>2</v>
      </c>
      <c r="B12" s="1703" t="s">
        <v>195</v>
      </c>
      <c r="C12" s="1703" t="s">
        <v>195</v>
      </c>
      <c r="D12" s="1707">
        <v>0</v>
      </c>
      <c r="E12" s="1707">
        <v>3250</v>
      </c>
      <c r="F12" s="1707">
        <v>116347.18</v>
      </c>
      <c r="G12" s="1707">
        <v>18524.080000000002</v>
      </c>
      <c r="H12" s="1708">
        <v>220378</v>
      </c>
      <c r="I12" s="1708">
        <v>24891.599999999999</v>
      </c>
      <c r="J12" s="1707">
        <v>42671.314285714288</v>
      </c>
      <c r="K12" s="1707">
        <v>278696.41100854101</v>
      </c>
      <c r="L12" s="1707">
        <v>309468.60162441299</v>
      </c>
      <c r="M12" s="1707">
        <v>352865.28069807903</v>
      </c>
    </row>
    <row r="13" spans="1:14" s="1644" customFormat="1" x14ac:dyDescent="0.2">
      <c r="A13" s="1286" t="s">
        <v>14</v>
      </c>
      <c r="B13" s="1703" t="s">
        <v>195</v>
      </c>
      <c r="C13" s="1703" t="s">
        <v>195</v>
      </c>
      <c r="D13" s="1707">
        <v>742</v>
      </c>
      <c r="E13" s="1707">
        <v>430</v>
      </c>
      <c r="F13" s="1707">
        <v>827.92</v>
      </c>
      <c r="G13" s="1707">
        <v>791.2</v>
      </c>
      <c r="H13" s="1708">
        <v>5000</v>
      </c>
      <c r="I13" s="1708">
        <v>5030.1900000000014</v>
      </c>
      <c r="J13" s="1707">
        <v>8623.1828571428596</v>
      </c>
      <c r="K13" s="1707">
        <v>19023.610845161897</v>
      </c>
      <c r="L13" s="1707">
        <v>19624.507954623517</v>
      </c>
      <c r="M13" s="1707">
        <v>20471.840244454299</v>
      </c>
    </row>
    <row r="14" spans="1:14" s="1644" customFormat="1" ht="15" x14ac:dyDescent="0.35">
      <c r="A14" s="1286" t="s">
        <v>46</v>
      </c>
      <c r="B14" s="1703" t="s">
        <v>195</v>
      </c>
      <c r="C14" s="1703" t="s">
        <v>195</v>
      </c>
      <c r="D14" s="1712">
        <v>0</v>
      </c>
      <c r="E14" s="1724">
        <v>0</v>
      </c>
      <c r="F14" s="1724">
        <v>20.92</v>
      </c>
      <c r="G14" s="1712">
        <v>0</v>
      </c>
      <c r="H14" s="1712">
        <v>7500</v>
      </c>
      <c r="I14" s="1712">
        <v>0</v>
      </c>
      <c r="J14" s="1712">
        <v>0</v>
      </c>
      <c r="K14" s="1724">
        <v>8082.1345592704492</v>
      </c>
      <c r="L14" s="1724">
        <v>8983.4005706638436</v>
      </c>
      <c r="M14" s="1724">
        <v>10254.244020631184</v>
      </c>
    </row>
    <row r="15" spans="1:14" s="1644" customFormat="1" x14ac:dyDescent="0.2">
      <c r="A15" s="1286" t="s">
        <v>86</v>
      </c>
      <c r="C15" s="1714"/>
      <c r="D15" s="1707">
        <f t="shared" ref="D15:M15" si="0">SUM(D9:D14)</f>
        <v>8249</v>
      </c>
      <c r="E15" s="1707">
        <f t="shared" si="0"/>
        <v>17885.38</v>
      </c>
      <c r="F15" s="1707">
        <f t="shared" si="0"/>
        <v>123337.60999999999</v>
      </c>
      <c r="G15" s="1707">
        <f t="shared" si="0"/>
        <v>25477.83</v>
      </c>
      <c r="H15" s="1716">
        <f t="shared" si="0"/>
        <v>324548</v>
      </c>
      <c r="I15" s="1715">
        <f>SUM(I9:I14)</f>
        <v>33433.839999999997</v>
      </c>
      <c r="J15" s="1717">
        <f t="shared" si="0"/>
        <v>57315.154285714292</v>
      </c>
      <c r="K15" s="1717">
        <f t="shared" si="0"/>
        <v>360000.0677831166</v>
      </c>
      <c r="L15" s="1717">
        <f t="shared" si="0"/>
        <v>399000.2118753462</v>
      </c>
      <c r="M15" s="1717">
        <f t="shared" si="0"/>
        <v>454000.05689056788</v>
      </c>
      <c r="N15" s="1703" t="s">
        <v>201</v>
      </c>
    </row>
    <row r="16" spans="1:14" s="1644" customFormat="1" x14ac:dyDescent="0.2">
      <c r="A16" s="1286"/>
      <c r="B16" s="1718"/>
      <c r="C16" s="1719"/>
      <c r="D16" s="1720"/>
      <c r="H16" s="1721"/>
      <c r="I16" s="1721"/>
    </row>
    <row r="17" spans="1:20" s="1644" customFormat="1" ht="15" x14ac:dyDescent="0.35">
      <c r="A17" s="1722"/>
      <c r="C17" s="1723"/>
      <c r="D17" s="1723"/>
      <c r="N17" s="1724"/>
    </row>
    <row r="18" spans="1:20"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O18" s="1286"/>
      <c r="P18" s="1286"/>
      <c r="Q18" s="1286"/>
      <c r="R18" s="1286"/>
      <c r="S18" s="1286"/>
      <c r="T18" s="1286"/>
    </row>
    <row r="19" spans="1:20" s="1644" customFormat="1" x14ac:dyDescent="0.2">
      <c r="N19" s="1703"/>
      <c r="O19" s="1725"/>
      <c r="P19" s="1229"/>
      <c r="Q19" s="1229"/>
      <c r="R19" s="1229"/>
      <c r="S19" s="1286"/>
      <c r="T19" s="1286"/>
    </row>
    <row r="20" spans="1:20" s="1644" customFormat="1" x14ac:dyDescent="0.2">
      <c r="A20" s="1644" t="s">
        <v>49</v>
      </c>
      <c r="B20" s="1703" t="s">
        <v>195</v>
      </c>
      <c r="C20" s="1703" t="s">
        <v>195</v>
      </c>
      <c r="D20" s="1703" t="s">
        <v>195</v>
      </c>
      <c r="E20" s="1727">
        <v>6683</v>
      </c>
      <c r="F20" s="1727">
        <v>66979</v>
      </c>
      <c r="G20" s="1727">
        <v>15428</v>
      </c>
      <c r="H20" s="1726">
        <v>143392</v>
      </c>
      <c r="I20" s="1727">
        <v>16901</v>
      </c>
      <c r="J20" s="1727">
        <f>I20/I15*J15</f>
        <v>28973.142857142862</v>
      </c>
      <c r="K20" s="1727">
        <v>84856.038216410001</v>
      </c>
      <c r="L20" s="1727">
        <v>103726.58249709476</v>
      </c>
      <c r="M20" s="1727">
        <v>126830.23481596577</v>
      </c>
      <c r="N20" s="1703" t="s">
        <v>64</v>
      </c>
      <c r="O20" s="1725"/>
      <c r="P20" s="1728"/>
      <c r="Q20" s="1728"/>
      <c r="R20" s="1728"/>
      <c r="S20" s="1286"/>
      <c r="T20" s="1286"/>
    </row>
    <row r="21" spans="1:20" s="1644" customFormat="1" x14ac:dyDescent="0.2">
      <c r="A21" s="1644" t="s">
        <v>50</v>
      </c>
      <c r="B21" s="1703" t="s">
        <v>195</v>
      </c>
      <c r="C21" s="1703" t="s">
        <v>195</v>
      </c>
      <c r="D21" s="1703" t="s">
        <v>195</v>
      </c>
      <c r="E21" s="1727">
        <v>66830</v>
      </c>
      <c r="F21" s="1727">
        <v>669798</v>
      </c>
      <c r="G21" s="1727">
        <v>77145</v>
      </c>
      <c r="H21" s="1726">
        <v>1433932</v>
      </c>
      <c r="I21" s="1727">
        <v>84504</v>
      </c>
      <c r="J21" s="1727">
        <f>I21/I15*J15</f>
        <v>144864.00000000003</v>
      </c>
      <c r="K21" s="1727">
        <v>576424.79794385307</v>
      </c>
      <c r="L21" s="1727">
        <v>671426.15703510074</v>
      </c>
      <c r="M21" s="1727">
        <v>803139.43107580254</v>
      </c>
      <c r="N21" s="1703" t="s">
        <v>10</v>
      </c>
      <c r="O21" s="1674"/>
      <c r="P21" s="1675"/>
      <c r="Q21" s="1675"/>
      <c r="R21" s="1675"/>
      <c r="S21" s="1286"/>
      <c r="T21" s="1286"/>
    </row>
    <row r="22" spans="1:20" s="1644" customFormat="1" x14ac:dyDescent="0.2">
      <c r="C22" s="1729" t="s">
        <v>3</v>
      </c>
      <c r="K22" s="1782"/>
      <c r="L22" s="1782"/>
      <c r="M22" s="1782"/>
      <c r="N22" s="1703"/>
      <c r="O22" s="1674"/>
      <c r="P22" s="1678"/>
      <c r="Q22" s="1678"/>
      <c r="R22" s="1678"/>
      <c r="S22" s="1286"/>
      <c r="T22" s="1286"/>
    </row>
    <row r="23" spans="1:20" s="1644" customFormat="1" x14ac:dyDescent="0.2">
      <c r="A23" s="1644" t="s">
        <v>51</v>
      </c>
      <c r="B23" s="1703" t="s">
        <v>195</v>
      </c>
      <c r="C23" s="1703" t="s">
        <v>195</v>
      </c>
      <c r="D23" s="1703" t="s">
        <v>195</v>
      </c>
      <c r="E23" s="1731">
        <f>SUM(E15/E20)</f>
        <v>2.6762501870417479</v>
      </c>
      <c r="F23" s="1731">
        <f>SUM(F15/F20)</f>
        <v>1.8414370175726718</v>
      </c>
      <c r="G23" s="1731">
        <f>SUM(G15/G20)</f>
        <v>1.651401996370236</v>
      </c>
      <c r="H23" s="1754">
        <f>IF(ISERROR(SUM(H15/H20)),"-",(H15/H20))</f>
        <v>2.2633619727739345</v>
      </c>
      <c r="I23" s="1783">
        <f>IF(ISERROR(SUM(I15/I20)),"-",(I15/I20))</f>
        <v>1.978216673569611</v>
      </c>
      <c r="J23" s="1731">
        <f>SUM(J15/J20)</f>
        <v>1.9782166735696112</v>
      </c>
      <c r="K23" s="1783">
        <f>SUM(K15/K20)</f>
        <v>4.2424802683458003</v>
      </c>
      <c r="L23" s="1783">
        <f>SUM(L15/L20)</f>
        <v>3.8466534061943252</v>
      </c>
      <c r="M23" s="1783">
        <f>SUM(M15/M20)</f>
        <v>3.5795885543327639</v>
      </c>
      <c r="N23" s="1703" t="s">
        <v>65</v>
      </c>
      <c r="O23" s="1674"/>
      <c r="P23" s="1678"/>
      <c r="Q23" s="1678"/>
      <c r="R23" s="1678"/>
      <c r="S23" s="1286"/>
      <c r="T23" s="1286"/>
    </row>
    <row r="24" spans="1:20" s="1644" customFormat="1" x14ac:dyDescent="0.2">
      <c r="A24" s="1644" t="s">
        <v>52</v>
      </c>
      <c r="B24" s="1703" t="s">
        <v>195</v>
      </c>
      <c r="C24" s="1703" t="s">
        <v>195</v>
      </c>
      <c r="D24" s="1703" t="s">
        <v>195</v>
      </c>
      <c r="E24" s="1731">
        <f>SUM(E15/E21)</f>
        <v>0.26762501870417477</v>
      </c>
      <c r="F24" s="1731">
        <f>SUM(F15/F21)</f>
        <v>0.1841415023633991</v>
      </c>
      <c r="G24" s="1731">
        <f>SUM(G15/G21)</f>
        <v>0.33025899280575544</v>
      </c>
      <c r="H24" s="1754">
        <f>IF(ISERROR(SUM(H15/H21)),"-",(H15/H21))</f>
        <v>0.22633430316081934</v>
      </c>
      <c r="I24" s="1783">
        <f>IF(ISERROR(SUM(I15/I21)),"-",(I15/I21))</f>
        <v>0.39564801666193311</v>
      </c>
      <c r="J24" s="1731">
        <f>SUM(J15/J21)</f>
        <v>0.39564801666193311</v>
      </c>
      <c r="K24" s="1783">
        <f>SUM(K15/K21)</f>
        <v>0.62453952201095719</v>
      </c>
      <c r="L24" s="1783">
        <f>SUM(L15/L21)</f>
        <v>0.59425777160255511</v>
      </c>
      <c r="M24" s="1783">
        <f>SUM(M15/M21)</f>
        <v>0.56528174227784622</v>
      </c>
      <c r="N24" s="1703" t="s">
        <v>66</v>
      </c>
      <c r="O24" s="1674"/>
      <c r="P24" s="1682"/>
      <c r="Q24" s="1682"/>
      <c r="R24" s="1682"/>
      <c r="S24" s="1286"/>
      <c r="T24" s="1286"/>
    </row>
    <row r="25" spans="1:20" s="1644" customFormat="1" x14ac:dyDescent="0.2">
      <c r="C25" s="1729"/>
      <c r="K25" s="1782"/>
      <c r="L25" s="1782"/>
      <c r="M25" s="1782"/>
      <c r="N25" s="1703"/>
      <c r="O25" s="1674"/>
      <c r="P25" s="1675"/>
      <c r="Q25" s="1675"/>
      <c r="R25" s="1675"/>
      <c r="S25" s="1286"/>
      <c r="T25" s="1286"/>
    </row>
    <row r="26" spans="1:20" s="1644" customFormat="1" x14ac:dyDescent="0.2">
      <c r="A26" s="1644" t="s">
        <v>84</v>
      </c>
      <c r="B26" s="1703" t="s">
        <v>195</v>
      </c>
      <c r="C26" s="1703" t="s">
        <v>195</v>
      </c>
      <c r="D26" s="1703" t="s">
        <v>195</v>
      </c>
      <c r="E26" s="1714">
        <v>60492.442311276303</v>
      </c>
      <c r="F26" s="1717">
        <f>E26/E21*F21</f>
        <v>606280.36623085802</v>
      </c>
      <c r="G26" s="1714">
        <v>600936</v>
      </c>
      <c r="H26" s="1714">
        <v>857446</v>
      </c>
      <c r="I26" s="1714">
        <f>H26/H21*I21</f>
        <v>50530.720274043677</v>
      </c>
      <c r="J26" s="1714">
        <f>H26/H21*J21</f>
        <v>86624.09189836061</v>
      </c>
      <c r="K26" s="523">
        <v>340166.21592502622</v>
      </c>
      <c r="L26" s="523">
        <v>434055.34489414684</v>
      </c>
      <c r="M26" s="523">
        <v>550267.43892812415</v>
      </c>
      <c r="N26" s="1703" t="s">
        <v>67</v>
      </c>
      <c r="O26" s="1674"/>
      <c r="P26" s="1674"/>
      <c r="Q26" s="1674"/>
      <c r="R26" s="1674"/>
      <c r="S26" s="1286"/>
      <c r="T26" s="1286"/>
    </row>
    <row r="27" spans="1:20" s="1644" customFormat="1" x14ac:dyDescent="0.2">
      <c r="A27" s="1644" t="s">
        <v>85</v>
      </c>
      <c r="B27" s="1703" t="s">
        <v>195</v>
      </c>
      <c r="C27" s="1703" t="s">
        <v>195</v>
      </c>
      <c r="D27" s="1703" t="s">
        <v>195</v>
      </c>
      <c r="E27" s="1732">
        <f t="shared" ref="E27:M27" si="1">SUM(E26/E15)</f>
        <v>3.3822285191187609</v>
      </c>
      <c r="F27" s="1732">
        <f t="shared" si="1"/>
        <v>4.9156163009065779</v>
      </c>
      <c r="G27" s="1732">
        <f t="shared" si="1"/>
        <v>23.586624135571984</v>
      </c>
      <c r="H27" s="1732">
        <f t="shared" si="1"/>
        <v>2.6419697548590655</v>
      </c>
      <c r="I27" s="1732">
        <f t="shared" si="1"/>
        <v>1.5113645418547101</v>
      </c>
      <c r="J27" s="1732">
        <f t="shared" si="1"/>
        <v>1.5113645418547101</v>
      </c>
      <c r="K27" s="1774">
        <f t="shared" si="1"/>
        <v>0.94490597743431715</v>
      </c>
      <c r="L27" s="1773">
        <f t="shared" si="1"/>
        <v>1.0878574295839032</v>
      </c>
      <c r="M27" s="1773">
        <f t="shared" si="1"/>
        <v>1.2120426651416931</v>
      </c>
      <c r="N27" s="1703" t="s">
        <v>68</v>
      </c>
      <c r="O27" s="1674"/>
      <c r="P27" s="1678"/>
      <c r="Q27" s="1674"/>
      <c r="R27" s="1678"/>
      <c r="S27" s="1286"/>
      <c r="T27" s="1286"/>
    </row>
    <row r="28" spans="1:20" s="1644" customFormat="1" x14ac:dyDescent="0.2">
      <c r="A28" s="1644" t="s">
        <v>214</v>
      </c>
      <c r="B28" s="1703" t="s">
        <v>195</v>
      </c>
      <c r="C28" s="1703" t="s">
        <v>195</v>
      </c>
      <c r="D28" s="1703" t="s">
        <v>195</v>
      </c>
      <c r="E28" s="1733">
        <v>1</v>
      </c>
      <c r="F28" s="1733">
        <v>3</v>
      </c>
      <c r="G28" s="1733">
        <v>1</v>
      </c>
      <c r="H28" s="1733">
        <v>9</v>
      </c>
      <c r="I28" s="1727">
        <v>2</v>
      </c>
      <c r="J28" s="1726">
        <f>H28/H23*J23</f>
        <v>7.8661523328088387</v>
      </c>
      <c r="K28" s="1727">
        <v>7</v>
      </c>
      <c r="L28" s="1727">
        <v>8</v>
      </c>
      <c r="M28" s="1727">
        <v>10</v>
      </c>
      <c r="N28" s="1703" t="s">
        <v>69</v>
      </c>
      <c r="O28" s="1674"/>
      <c r="P28" s="1678"/>
      <c r="Q28" s="1678"/>
      <c r="R28" s="1678"/>
      <c r="S28" s="1286"/>
      <c r="T28" s="1286"/>
    </row>
    <row r="29" spans="1:20" s="1644" customFormat="1" x14ac:dyDescent="0.2">
      <c r="A29" s="1644" t="s">
        <v>215</v>
      </c>
      <c r="B29" s="1703" t="s">
        <v>195</v>
      </c>
      <c r="C29" s="1703" t="s">
        <v>195</v>
      </c>
      <c r="D29" s="1703" t="s">
        <v>195</v>
      </c>
      <c r="E29" s="1734">
        <f>SUM(E21/E28)</f>
        <v>66830</v>
      </c>
      <c r="F29" s="1734">
        <f>SUM(F21/F28)</f>
        <v>223266</v>
      </c>
      <c r="G29" s="1734">
        <f>SUM(G21/G28)</f>
        <v>77145</v>
      </c>
      <c r="H29" s="1734">
        <f>SUM(H21/H28)</f>
        <v>159325.77777777778</v>
      </c>
      <c r="I29" s="1734">
        <f>SUM(I21/I28)</f>
        <v>42252</v>
      </c>
      <c r="J29" s="1757">
        <f>J21/J28</f>
        <v>18416.119326317716</v>
      </c>
      <c r="K29" s="1734">
        <f>SUM(K21/K28)</f>
        <v>82346.399706264725</v>
      </c>
      <c r="L29" s="1734">
        <f>SUM(L21/L28)</f>
        <v>83928.269629387592</v>
      </c>
      <c r="M29" s="1734">
        <f>SUM(M21/M28)</f>
        <v>80313.943107580257</v>
      </c>
      <c r="N29" s="1703" t="s">
        <v>70</v>
      </c>
      <c r="O29" s="1674"/>
      <c r="P29" s="1675"/>
      <c r="Q29" s="1675"/>
      <c r="R29" s="1675"/>
      <c r="S29" s="1286"/>
      <c r="T29" s="1286"/>
    </row>
    <row r="30" spans="1:20" s="1644" customFormat="1" x14ac:dyDescent="0.2">
      <c r="A30" s="1644" t="s">
        <v>216</v>
      </c>
      <c r="B30" s="1703" t="s">
        <v>195</v>
      </c>
      <c r="C30" s="1703" t="s">
        <v>195</v>
      </c>
      <c r="D30" s="1703" t="s">
        <v>195</v>
      </c>
      <c r="E30" s="1714">
        <f>SUM(E15/E28)</f>
        <v>17885.38</v>
      </c>
      <c r="F30" s="1714">
        <f>SUM(F15/F28)</f>
        <v>41112.53666666666</v>
      </c>
      <c r="G30" s="1714">
        <f>SUM(G15/G28)</f>
        <v>25477.83</v>
      </c>
      <c r="H30" s="1714">
        <f>SUM(H15/H28)</f>
        <v>36060.888888888891</v>
      </c>
      <c r="I30" s="1714">
        <f>SUM(I15/I28)</f>
        <v>16716.919999999998</v>
      </c>
      <c r="J30" s="1706">
        <f>J15/J28</f>
        <v>7286.3010860671002</v>
      </c>
      <c r="K30" s="1707">
        <f>SUM(K15/K28)</f>
        <v>51428.581111873798</v>
      </c>
      <c r="L30" s="1714">
        <f>SUM(L15/L28)</f>
        <v>49875.026484418275</v>
      </c>
      <c r="M30" s="1714">
        <f>SUM(M15/M28)</f>
        <v>45400.005689056787</v>
      </c>
      <c r="N30" s="1703" t="s">
        <v>72</v>
      </c>
      <c r="O30" s="1674"/>
      <c r="P30" s="1675"/>
      <c r="Q30" s="1675"/>
      <c r="R30" s="1675"/>
      <c r="S30" s="1286"/>
      <c r="T30" s="1286"/>
    </row>
    <row r="31" spans="1:20" s="1644" customFormat="1" x14ac:dyDescent="0.2">
      <c r="A31" s="1644" t="s">
        <v>217</v>
      </c>
      <c r="B31" s="1703" t="s">
        <v>195</v>
      </c>
      <c r="C31" s="1703" t="s">
        <v>195</v>
      </c>
      <c r="D31" s="1703" t="s">
        <v>195</v>
      </c>
      <c r="E31" s="1714">
        <f>SUM(E26/E28)</f>
        <v>60492.442311276303</v>
      </c>
      <c r="F31" s="1714">
        <f>SUM(F26/F28)</f>
        <v>202093.455410286</v>
      </c>
      <c r="G31" s="1714">
        <f>SUM(G26/G28)</f>
        <v>600936</v>
      </c>
      <c r="H31" s="1714">
        <f>SUM(H26/H28)</f>
        <v>95271.777777777781</v>
      </c>
      <c r="I31" s="1714">
        <f>SUM(I26/I28)</f>
        <v>25265.360137021838</v>
      </c>
      <c r="J31" s="1706">
        <f>J26/J28</f>
        <v>11012.25710275928</v>
      </c>
      <c r="K31" s="1707">
        <f>SUM(K26/K28)</f>
        <v>48595.173703575172</v>
      </c>
      <c r="L31" s="1714">
        <f>SUM(L26/L28)</f>
        <v>54256.918111768355</v>
      </c>
      <c r="M31" s="1714">
        <f>SUM(M26/M28)</f>
        <v>55026.743892812417</v>
      </c>
      <c r="N31" s="1703" t="s">
        <v>73</v>
      </c>
      <c r="O31" s="1286"/>
      <c r="P31" s="1286"/>
      <c r="Q31" s="1286"/>
      <c r="R31" s="1286"/>
      <c r="S31" s="1286"/>
      <c r="T31" s="1286"/>
    </row>
    <row r="32" spans="1:20" s="1644" customFormat="1" ht="13.5" x14ac:dyDescent="0.2">
      <c r="A32" s="1644" t="s">
        <v>450</v>
      </c>
      <c r="B32" s="1706" t="s">
        <v>187</v>
      </c>
      <c r="C32" s="1703" t="s">
        <v>195</v>
      </c>
      <c r="D32" s="1703" t="s">
        <v>195</v>
      </c>
      <c r="E32" s="1776">
        <f t="shared" ref="E32:M32" si="2">E12/E21</f>
        <v>4.8630854406703575E-2</v>
      </c>
      <c r="F32" s="1776">
        <f t="shared" si="2"/>
        <v>0.17370487818715491</v>
      </c>
      <c r="G32" s="1776">
        <f t="shared" si="2"/>
        <v>0.24012029295482534</v>
      </c>
      <c r="H32" s="1776">
        <f t="shared" si="2"/>
        <v>0.15368790151834258</v>
      </c>
      <c r="I32" s="1776">
        <f t="shared" si="2"/>
        <v>0.2945612042033513</v>
      </c>
      <c r="J32" s="1776">
        <f t="shared" si="2"/>
        <v>0.2945612042033513</v>
      </c>
      <c r="K32" s="1776">
        <f t="shared" si="2"/>
        <v>0.48349136262470022</v>
      </c>
      <c r="L32" s="1776">
        <f t="shared" si="2"/>
        <v>0.46091234066747061</v>
      </c>
      <c r="M32" s="1776">
        <f t="shared" si="2"/>
        <v>0.4393574353900383</v>
      </c>
      <c r="N32" s="1639" t="s">
        <v>451</v>
      </c>
    </row>
    <row r="33" spans="1:18" s="1644" customFormat="1" ht="13.5" x14ac:dyDescent="0.2">
      <c r="A33" s="1644" t="s">
        <v>452</v>
      </c>
      <c r="B33" s="1706" t="s">
        <v>187</v>
      </c>
      <c r="C33" s="1703" t="s">
        <v>195</v>
      </c>
      <c r="D33" s="1703" t="s">
        <v>195</v>
      </c>
      <c r="E33" s="1776">
        <f t="shared" ref="E33:M33" si="3">E13/E21</f>
        <v>6.4342361215023189E-3</v>
      </c>
      <c r="F33" s="1776">
        <f t="shared" si="3"/>
        <v>1.2360741596720204E-3</v>
      </c>
      <c r="G33" s="1776">
        <f t="shared" si="3"/>
        <v>1.0256011407090544E-2</v>
      </c>
      <c r="H33" s="1776">
        <f t="shared" si="3"/>
        <v>3.4869156975365638E-3</v>
      </c>
      <c r="I33" s="1776">
        <f t="shared" si="3"/>
        <v>5.952605793808579E-2</v>
      </c>
      <c r="J33" s="1776">
        <f t="shared" si="3"/>
        <v>5.9526057938085776E-2</v>
      </c>
      <c r="K33" s="1776">
        <f t="shared" si="3"/>
        <v>3.3002762742027104E-2</v>
      </c>
      <c r="L33" s="1776">
        <f t="shared" si="3"/>
        <v>2.9228095672176189E-2</v>
      </c>
      <c r="M33" s="1776">
        <f t="shared" si="3"/>
        <v>2.548977108125838E-2</v>
      </c>
      <c r="N33" s="1639" t="s">
        <v>453</v>
      </c>
    </row>
    <row r="34" spans="1:18" s="1644" customFormat="1" x14ac:dyDescent="0.2">
      <c r="A34" s="1704"/>
      <c r="B34" s="1735"/>
      <c r="C34" s="1736"/>
      <c r="D34" s="1736"/>
      <c r="H34" s="1727"/>
      <c r="I34" s="1737"/>
      <c r="J34" s="1703"/>
      <c r="L34" s="1703"/>
      <c r="M34" s="1229"/>
      <c r="N34" s="1674"/>
      <c r="O34" s="1675"/>
      <c r="P34" s="1675"/>
      <c r="Q34" s="1675"/>
      <c r="R34" s="1286"/>
    </row>
    <row r="35" spans="1:18" s="1644" customFormat="1" x14ac:dyDescent="0.2">
      <c r="A35" s="1738" t="s">
        <v>194</v>
      </c>
      <c r="B35" s="1739"/>
      <c r="C35" s="1286"/>
      <c r="H35" s="1714"/>
      <c r="J35" s="1703"/>
      <c r="L35" s="1703"/>
      <c r="M35" s="1229"/>
      <c r="N35" s="1674"/>
      <c r="O35" s="1675"/>
      <c r="P35" s="1675"/>
      <c r="Q35" s="1675"/>
      <c r="R35" s="1286"/>
    </row>
    <row r="36" spans="1:18" s="1644" customFormat="1" x14ac:dyDescent="0.2">
      <c r="A36" s="1738"/>
      <c r="J36" s="1703"/>
      <c r="L36" s="1703"/>
    </row>
    <row r="37" spans="1:18" s="1644" customFormat="1" x14ac:dyDescent="0.2">
      <c r="A37" s="1742" t="s">
        <v>185</v>
      </c>
      <c r="B37" s="1736" t="s">
        <v>1</v>
      </c>
      <c r="C37" s="1736" t="s">
        <v>186</v>
      </c>
      <c r="D37" s="1736" t="s">
        <v>18</v>
      </c>
      <c r="J37" s="1703"/>
      <c r="L37" s="1703"/>
    </row>
    <row r="38" spans="1:18" s="1644" customFormat="1" x14ac:dyDescent="0.2">
      <c r="A38" s="1742">
        <v>2006</v>
      </c>
      <c r="B38" s="1703" t="s">
        <v>195</v>
      </c>
      <c r="C38" s="1706" t="s">
        <v>195</v>
      </c>
      <c r="D38" s="1745" t="str">
        <f>IF(ISERROR(C38/B38),"-",(C38/B38))</f>
        <v>-</v>
      </c>
      <c r="J38" s="1703"/>
      <c r="L38" s="1703"/>
    </row>
    <row r="39" spans="1:18" s="1644" customFormat="1" x14ac:dyDescent="0.2">
      <c r="A39" s="1742">
        <v>2007</v>
      </c>
      <c r="B39" s="1703" t="s">
        <v>195</v>
      </c>
      <c r="C39" s="1706" t="s">
        <v>195</v>
      </c>
      <c r="D39" s="1745" t="str">
        <f>IF(ISERROR(C39/B39),"-",(C39/B39))</f>
        <v>-</v>
      </c>
      <c r="J39" s="1703"/>
      <c r="L39" s="1703"/>
    </row>
    <row r="40" spans="1:18" s="1644" customFormat="1" x14ac:dyDescent="0.2">
      <c r="A40" s="1742">
        <v>2008</v>
      </c>
      <c r="B40" s="1760">
        <v>136969</v>
      </c>
      <c r="C40" s="1706">
        <v>8249</v>
      </c>
      <c r="D40" s="1793">
        <f>IF(ISERROR(C40/B40),"-",(C40/B40))</f>
        <v>6.022530645620542E-2</v>
      </c>
      <c r="J40" s="1703"/>
      <c r="L40" s="1703"/>
    </row>
    <row r="41" spans="1:18" s="1644" customFormat="1" x14ac:dyDescent="0.2">
      <c r="A41" s="1742">
        <v>2009</v>
      </c>
      <c r="B41" s="1740">
        <v>100000</v>
      </c>
      <c r="C41" s="1706">
        <f>E15</f>
        <v>17885.38</v>
      </c>
      <c r="D41" s="1741">
        <f>IF(ISERROR(C41/B41),"-",(C41/B41))</f>
        <v>0.17885380000000001</v>
      </c>
      <c r="J41" s="1703"/>
      <c r="L41" s="1703"/>
    </row>
    <row r="42" spans="1:18" s="1644" customFormat="1" x14ac:dyDescent="0.2">
      <c r="A42" s="1742">
        <v>2010</v>
      </c>
      <c r="B42" s="1740">
        <v>100000</v>
      </c>
      <c r="C42" s="1706">
        <v>123337.61</v>
      </c>
      <c r="D42" s="1741">
        <f>IF(ISERROR(C42/B42),"-",(C42/B42))</f>
        <v>1.2333761000000001</v>
      </c>
      <c r="J42" s="1703"/>
      <c r="L42" s="1703"/>
    </row>
    <row r="43" spans="1:18" s="1644" customFormat="1" x14ac:dyDescent="0.2">
      <c r="A43" s="1742">
        <v>2011</v>
      </c>
      <c r="B43" s="1740">
        <v>200000</v>
      </c>
      <c r="C43" s="1706">
        <f>G15</f>
        <v>25477.83</v>
      </c>
      <c r="D43" s="1741">
        <f t="shared" ref="D43:D48" si="4">IF(ISERROR(C43/B43),"-",(C43/B43))</f>
        <v>0.12738915000000001</v>
      </c>
      <c r="J43" s="1703"/>
      <c r="L43" s="1703"/>
    </row>
    <row r="44" spans="1:18" s="1644" customFormat="1" x14ac:dyDescent="0.2">
      <c r="A44" s="1742" t="s">
        <v>319</v>
      </c>
      <c r="B44" s="1706">
        <f>H15</f>
        <v>324548</v>
      </c>
      <c r="C44" s="1706">
        <f>I15</f>
        <v>33433.839999999997</v>
      </c>
      <c r="D44" s="1741">
        <f t="shared" si="4"/>
        <v>0.10301662620013063</v>
      </c>
      <c r="J44" s="1703"/>
      <c r="L44" s="1703"/>
    </row>
    <row r="45" spans="1:18" s="1644" customFormat="1" x14ac:dyDescent="0.2">
      <c r="A45" s="1742" t="s">
        <v>318</v>
      </c>
      <c r="B45" s="1760">
        <f>H15</f>
        <v>324548</v>
      </c>
      <c r="C45" s="1706">
        <f>J15</f>
        <v>57315.154285714292</v>
      </c>
      <c r="D45" s="1741">
        <f t="shared" si="4"/>
        <v>0.17659993062879542</v>
      </c>
      <c r="J45" s="1703"/>
      <c r="L45" s="1703"/>
    </row>
    <row r="46" spans="1:18" s="1644" customFormat="1" x14ac:dyDescent="0.2">
      <c r="A46" s="1742">
        <v>2013</v>
      </c>
      <c r="B46" s="1760">
        <f>K15</f>
        <v>360000.0677831166</v>
      </c>
      <c r="C46" s="1706" t="s">
        <v>187</v>
      </c>
      <c r="D46" s="1741" t="str">
        <f t="shared" si="4"/>
        <v>-</v>
      </c>
      <c r="J46" s="1703"/>
      <c r="L46" s="1703"/>
    </row>
    <row r="47" spans="1:18" s="1644" customFormat="1" x14ac:dyDescent="0.2">
      <c r="A47" s="1742">
        <v>2014</v>
      </c>
      <c r="B47" s="1760">
        <f>L15</f>
        <v>399000.2118753462</v>
      </c>
      <c r="C47" s="1706" t="s">
        <v>187</v>
      </c>
      <c r="D47" s="1741" t="str">
        <f t="shared" si="4"/>
        <v>-</v>
      </c>
      <c r="J47" s="1703"/>
      <c r="L47" s="1703"/>
    </row>
    <row r="48" spans="1:18" s="1644" customFormat="1" x14ac:dyDescent="0.2">
      <c r="A48" s="1742">
        <v>2015</v>
      </c>
      <c r="B48" s="1760">
        <f>M15</f>
        <v>454000.05689056788</v>
      </c>
      <c r="C48" s="1706" t="s">
        <v>187</v>
      </c>
      <c r="D48" s="1741" t="str">
        <f t="shared" si="4"/>
        <v>-</v>
      </c>
      <c r="J48" s="1703"/>
      <c r="L48" s="1703"/>
    </row>
    <row r="49" spans="1:12" s="1644" customFormat="1" x14ac:dyDescent="0.2">
      <c r="A49" s="1742"/>
      <c r="C49" s="1761"/>
      <c r="J49" s="1703"/>
      <c r="L49" s="1703"/>
    </row>
    <row r="50" spans="1:12" s="1644" customFormat="1" x14ac:dyDescent="0.2">
      <c r="A50" s="1743" t="s">
        <v>193</v>
      </c>
      <c r="J50" s="1703"/>
      <c r="L50" s="1703"/>
    </row>
    <row r="51" spans="1:12" s="1644" customFormat="1" x14ac:dyDescent="0.2">
      <c r="A51" s="1742" t="s">
        <v>185</v>
      </c>
      <c r="B51" s="1736" t="s">
        <v>188</v>
      </c>
      <c r="C51" s="1736" t="s">
        <v>186</v>
      </c>
      <c r="D51" s="1736" t="s">
        <v>189</v>
      </c>
      <c r="J51" s="1703"/>
      <c r="L51" s="1703"/>
    </row>
    <row r="52" spans="1:12" s="1644" customFormat="1" x14ac:dyDescent="0.2">
      <c r="A52" s="1742">
        <v>2006</v>
      </c>
      <c r="B52" s="1703" t="s">
        <v>195</v>
      </c>
      <c r="C52" s="1703" t="s">
        <v>195</v>
      </c>
      <c r="D52" s="1745" t="str">
        <f t="shared" ref="D52:D62" si="5">IF(ISERROR(C52/B52),"-",(C52/B52))</f>
        <v>-</v>
      </c>
      <c r="J52" s="1703"/>
      <c r="L52" s="1703"/>
    </row>
    <row r="53" spans="1:12" s="1644" customFormat="1" x14ac:dyDescent="0.2">
      <c r="A53" s="1742">
        <v>2007</v>
      </c>
      <c r="B53" s="1703" t="s">
        <v>195</v>
      </c>
      <c r="C53" s="1703" t="s">
        <v>195</v>
      </c>
      <c r="D53" s="1745" t="str">
        <f t="shared" si="5"/>
        <v>-</v>
      </c>
      <c r="J53" s="1703"/>
      <c r="L53" s="1703"/>
    </row>
    <row r="54" spans="1:12" s="1644" customFormat="1" x14ac:dyDescent="0.2">
      <c r="A54" s="1742">
        <v>2008</v>
      </c>
      <c r="B54" s="1703" t="s">
        <v>195</v>
      </c>
      <c r="C54" s="1703" t="s">
        <v>195</v>
      </c>
      <c r="D54" s="1745" t="str">
        <f t="shared" si="5"/>
        <v>-</v>
      </c>
      <c r="J54" s="1703"/>
      <c r="L54" s="1703"/>
    </row>
    <row r="55" spans="1:12" s="1644" customFormat="1" x14ac:dyDescent="0.2">
      <c r="A55" s="1742">
        <v>2009</v>
      </c>
      <c r="B55" s="1745">
        <v>6</v>
      </c>
      <c r="C55" s="1703">
        <v>1</v>
      </c>
      <c r="D55" s="1741">
        <f t="shared" si="5"/>
        <v>0.16666666666666666</v>
      </c>
      <c r="J55" s="1703"/>
      <c r="L55" s="1703"/>
    </row>
    <row r="56" spans="1:12" s="1644" customFormat="1" x14ac:dyDescent="0.2">
      <c r="A56" s="1742">
        <v>2010</v>
      </c>
      <c r="B56" s="1745">
        <v>12</v>
      </c>
      <c r="C56" s="1703">
        <v>3</v>
      </c>
      <c r="D56" s="1741">
        <f t="shared" si="5"/>
        <v>0.25</v>
      </c>
      <c r="J56" s="1703"/>
      <c r="L56" s="1703"/>
    </row>
    <row r="57" spans="1:12" s="1644" customFormat="1" x14ac:dyDescent="0.2">
      <c r="A57" s="1742">
        <v>2011</v>
      </c>
      <c r="B57" s="1745">
        <v>23</v>
      </c>
      <c r="C57" s="1761">
        <f>G28</f>
        <v>1</v>
      </c>
      <c r="D57" s="1741">
        <f t="shared" si="5"/>
        <v>4.3478260869565216E-2</v>
      </c>
      <c r="J57" s="1703"/>
      <c r="L57" s="1703"/>
    </row>
    <row r="58" spans="1:12" s="1644" customFormat="1" x14ac:dyDescent="0.2">
      <c r="A58" s="1742" t="s">
        <v>319</v>
      </c>
      <c r="B58" s="1703">
        <f>H28</f>
        <v>9</v>
      </c>
      <c r="C58" s="1745">
        <f>I28</f>
        <v>2</v>
      </c>
      <c r="D58" s="1741">
        <f t="shared" si="5"/>
        <v>0.22222222222222221</v>
      </c>
      <c r="J58" s="1703"/>
      <c r="L58" s="1703"/>
    </row>
    <row r="59" spans="1:12" s="1644" customFormat="1" x14ac:dyDescent="0.2">
      <c r="A59" s="1742" t="s">
        <v>318</v>
      </c>
      <c r="B59" s="1761">
        <f>H28</f>
        <v>9</v>
      </c>
      <c r="C59" s="1794">
        <f>J28</f>
        <v>7.8661523328088387</v>
      </c>
      <c r="D59" s="1741">
        <f t="shared" si="5"/>
        <v>0.87401692586764879</v>
      </c>
      <c r="J59" s="1703"/>
      <c r="L59" s="1703"/>
    </row>
    <row r="60" spans="1:12" s="1644" customFormat="1" x14ac:dyDescent="0.2">
      <c r="A60" s="1742">
        <v>2013</v>
      </c>
      <c r="B60" s="1761">
        <f>K28</f>
        <v>7</v>
      </c>
      <c r="C60" s="1794" t="s">
        <v>187</v>
      </c>
      <c r="D60" s="1741" t="str">
        <f t="shared" si="5"/>
        <v>-</v>
      </c>
      <c r="J60" s="1703"/>
      <c r="L60" s="1703"/>
    </row>
    <row r="61" spans="1:12" s="1644" customFormat="1" x14ac:dyDescent="0.2">
      <c r="A61" s="1742">
        <v>2014</v>
      </c>
      <c r="B61" s="1761">
        <f>L28</f>
        <v>8</v>
      </c>
      <c r="C61" s="1794" t="s">
        <v>187</v>
      </c>
      <c r="D61" s="1741" t="str">
        <f t="shared" si="5"/>
        <v>-</v>
      </c>
      <c r="J61" s="1703"/>
      <c r="L61" s="1703"/>
    </row>
    <row r="62" spans="1:12" s="1644" customFormat="1" x14ac:dyDescent="0.2">
      <c r="A62" s="1742">
        <v>2015</v>
      </c>
      <c r="B62" s="1761">
        <f>M28</f>
        <v>10</v>
      </c>
      <c r="C62" s="1794" t="s">
        <v>187</v>
      </c>
      <c r="D62" s="1741" t="str">
        <f t="shared" si="5"/>
        <v>-</v>
      </c>
      <c r="J62" s="1703"/>
      <c r="L62" s="1703"/>
    </row>
    <row r="63" spans="1:12" s="1644" customFormat="1" x14ac:dyDescent="0.2">
      <c r="J63" s="1703"/>
      <c r="L63" s="1703"/>
    </row>
    <row r="64" spans="1:12" s="1644" customFormat="1" x14ac:dyDescent="0.2">
      <c r="A64" s="1743" t="s">
        <v>191</v>
      </c>
      <c r="J64" s="1703"/>
      <c r="L64" s="1703"/>
    </row>
    <row r="65" spans="1:12" s="1644" customFormat="1" x14ac:dyDescent="0.2">
      <c r="A65" s="1742" t="s">
        <v>185</v>
      </c>
      <c r="B65" s="1736" t="s">
        <v>188</v>
      </c>
      <c r="C65" s="1736" t="s">
        <v>186</v>
      </c>
      <c r="D65" s="1736" t="s">
        <v>189</v>
      </c>
      <c r="J65" s="1703"/>
      <c r="L65" s="1703"/>
    </row>
    <row r="66" spans="1:12" s="1644" customFormat="1" x14ac:dyDescent="0.2">
      <c r="A66" s="1742">
        <v>2006</v>
      </c>
      <c r="B66" s="1703" t="s">
        <v>195</v>
      </c>
      <c r="C66" s="1703" t="s">
        <v>195</v>
      </c>
      <c r="D66" s="1745" t="str">
        <f t="shared" ref="D66:D76" si="6">IF(ISERROR(C66/B66),"-",(C66/B66))</f>
        <v>-</v>
      </c>
      <c r="J66" s="1703"/>
      <c r="L66" s="1703"/>
    </row>
    <row r="67" spans="1:12" s="1644" customFormat="1" x14ac:dyDescent="0.2">
      <c r="A67" s="1742">
        <v>2007</v>
      </c>
      <c r="B67" s="1703" t="s">
        <v>195</v>
      </c>
      <c r="C67" s="1703" t="s">
        <v>195</v>
      </c>
      <c r="D67" s="1745" t="str">
        <f t="shared" si="6"/>
        <v>-</v>
      </c>
      <c r="J67" s="1703"/>
      <c r="L67" s="1703"/>
    </row>
    <row r="68" spans="1:12" s="1644" customFormat="1" x14ac:dyDescent="0.2">
      <c r="A68" s="1742">
        <v>2008</v>
      </c>
      <c r="B68" s="1703" t="s">
        <v>195</v>
      </c>
      <c r="C68" s="1703" t="s">
        <v>195</v>
      </c>
      <c r="D68" s="1745" t="str">
        <f t="shared" si="6"/>
        <v>-</v>
      </c>
      <c r="J68" s="1703"/>
      <c r="L68" s="1703"/>
    </row>
    <row r="69" spans="1:12" s="1644" customFormat="1" x14ac:dyDescent="0.2">
      <c r="A69" s="1742">
        <v>2009</v>
      </c>
      <c r="B69" s="1745">
        <v>29042.383082909775</v>
      </c>
      <c r="C69" s="1761">
        <v>6683</v>
      </c>
      <c r="D69" s="1788">
        <f t="shared" si="6"/>
        <v>0.23011197052671153</v>
      </c>
      <c r="J69" s="1703"/>
      <c r="L69" s="1703"/>
    </row>
    <row r="70" spans="1:12" s="1644" customFormat="1" x14ac:dyDescent="0.2">
      <c r="A70" s="1742">
        <v>2010</v>
      </c>
      <c r="B70" s="1745">
        <v>17973</v>
      </c>
      <c r="C70" s="1761">
        <v>66979</v>
      </c>
      <c r="D70" s="1788">
        <f t="shared" si="6"/>
        <v>3.7266455238413174</v>
      </c>
      <c r="J70" s="1703"/>
      <c r="L70" s="1703"/>
    </row>
    <row r="71" spans="1:12" s="1644" customFormat="1" x14ac:dyDescent="0.2">
      <c r="A71" s="1742">
        <v>2011</v>
      </c>
      <c r="B71" s="1745">
        <v>81669</v>
      </c>
      <c r="C71" s="1745">
        <f>G20</f>
        <v>15428</v>
      </c>
      <c r="D71" s="1788">
        <f t="shared" si="6"/>
        <v>0.18890888831747665</v>
      </c>
      <c r="J71" s="1703"/>
      <c r="L71" s="1703"/>
    </row>
    <row r="72" spans="1:12" s="1644" customFormat="1" x14ac:dyDescent="0.2">
      <c r="A72" s="1742" t="s">
        <v>319</v>
      </c>
      <c r="B72" s="1795">
        <f>H20</f>
        <v>143392</v>
      </c>
      <c r="C72" s="1745">
        <f>I20</f>
        <v>16901</v>
      </c>
      <c r="D72" s="1788">
        <f t="shared" si="6"/>
        <v>0.117865710778844</v>
      </c>
      <c r="J72" s="1703"/>
      <c r="L72" s="1703"/>
    </row>
    <row r="73" spans="1:12" s="1644" customFormat="1" x14ac:dyDescent="0.2">
      <c r="A73" s="1742" t="s">
        <v>318</v>
      </c>
      <c r="B73" s="1795">
        <f>H20</f>
        <v>143392</v>
      </c>
      <c r="C73" s="1745">
        <f>J20</f>
        <v>28973.142857142862</v>
      </c>
      <c r="D73" s="1788">
        <f t="shared" si="6"/>
        <v>0.20205550419230406</v>
      </c>
      <c r="J73" s="1703"/>
      <c r="L73" s="1703"/>
    </row>
    <row r="74" spans="1:12" s="1644" customFormat="1" x14ac:dyDescent="0.2">
      <c r="A74" s="1742">
        <v>2013</v>
      </c>
      <c r="B74" s="1795">
        <f>K20</f>
        <v>84856.038216410001</v>
      </c>
      <c r="C74" s="1745" t="s">
        <v>187</v>
      </c>
      <c r="D74" s="1788" t="str">
        <f t="shared" si="6"/>
        <v>-</v>
      </c>
      <c r="J74" s="1703"/>
      <c r="L74" s="1703"/>
    </row>
    <row r="75" spans="1:12" s="1644" customFormat="1" x14ac:dyDescent="0.2">
      <c r="A75" s="1742">
        <v>2014</v>
      </c>
      <c r="B75" s="1795">
        <f>L20</f>
        <v>103726.58249709476</v>
      </c>
      <c r="C75" s="1745" t="s">
        <v>187</v>
      </c>
      <c r="D75" s="1788" t="str">
        <f t="shared" si="6"/>
        <v>-</v>
      </c>
      <c r="J75" s="1703"/>
      <c r="L75" s="1703"/>
    </row>
    <row r="76" spans="1:12" s="1644" customFormat="1" x14ac:dyDescent="0.2">
      <c r="A76" s="1742">
        <v>2015</v>
      </c>
      <c r="B76" s="1795">
        <f>M20</f>
        <v>126830.23481596577</v>
      </c>
      <c r="C76" s="1745" t="s">
        <v>187</v>
      </c>
      <c r="D76" s="1788" t="str">
        <f t="shared" si="6"/>
        <v>-</v>
      </c>
      <c r="J76" s="1703"/>
      <c r="L76" s="1703"/>
    </row>
    <row r="77" spans="1:12" x14ac:dyDescent="0.2">
      <c r="A77" s="1742"/>
      <c r="H77" s="1644"/>
      <c r="I77" s="1644"/>
      <c r="J77" s="1703"/>
    </row>
    <row r="78" spans="1:12" x14ac:dyDescent="0.2">
      <c r="A78" s="1743" t="s">
        <v>190</v>
      </c>
      <c r="H78" s="1644"/>
      <c r="I78" s="1644"/>
      <c r="J78" s="1703"/>
    </row>
    <row r="79" spans="1:12" x14ac:dyDescent="0.2">
      <c r="A79" s="1742" t="s">
        <v>185</v>
      </c>
      <c r="B79" s="1736" t="s">
        <v>188</v>
      </c>
      <c r="C79" s="1736" t="s">
        <v>186</v>
      </c>
      <c r="D79" s="1736" t="s">
        <v>189</v>
      </c>
      <c r="H79" s="1644"/>
      <c r="I79" s="1644"/>
      <c r="J79" s="1703"/>
    </row>
    <row r="80" spans="1:12" x14ac:dyDescent="0.2">
      <c r="A80" s="1742">
        <v>2006</v>
      </c>
      <c r="B80" s="1703" t="s">
        <v>195</v>
      </c>
      <c r="C80" s="1703" t="s">
        <v>195</v>
      </c>
      <c r="D80" s="1745" t="str">
        <f t="shared" ref="D80:D90" si="7">IF(ISERROR(C80/B80),"-",(C80/B80))</f>
        <v>-</v>
      </c>
      <c r="H80" s="1644"/>
      <c r="I80" s="1644"/>
      <c r="J80" s="1703"/>
    </row>
    <row r="81" spans="1:10" x14ac:dyDescent="0.2">
      <c r="A81" s="1742">
        <v>2007</v>
      </c>
      <c r="B81" s="1703" t="s">
        <v>195</v>
      </c>
      <c r="C81" s="1703" t="s">
        <v>195</v>
      </c>
      <c r="D81" s="1745" t="str">
        <f t="shared" si="7"/>
        <v>-</v>
      </c>
      <c r="H81" s="1644"/>
      <c r="I81" s="1644"/>
      <c r="J81" s="1703"/>
    </row>
    <row r="82" spans="1:10" x14ac:dyDescent="0.2">
      <c r="A82" s="1742">
        <v>2008</v>
      </c>
      <c r="B82" s="1703" t="s">
        <v>195</v>
      </c>
      <c r="C82" s="1703" t="s">
        <v>195</v>
      </c>
      <c r="D82" s="1793" t="str">
        <f t="shared" si="7"/>
        <v>-</v>
      </c>
      <c r="H82" s="1644"/>
      <c r="I82" s="1644"/>
      <c r="J82" s="1703"/>
    </row>
    <row r="83" spans="1:10" x14ac:dyDescent="0.2">
      <c r="A83" s="1742">
        <v>2009</v>
      </c>
      <c r="B83" s="1745">
        <v>232339.0646632782</v>
      </c>
      <c r="C83" s="1761">
        <f>E29</f>
        <v>66830</v>
      </c>
      <c r="D83" s="1793">
        <f t="shared" si="7"/>
        <v>0.28763996315838941</v>
      </c>
      <c r="H83" s="1644"/>
      <c r="I83" s="1644"/>
      <c r="J83" s="1703"/>
    </row>
    <row r="84" spans="1:10" x14ac:dyDescent="0.2">
      <c r="A84" s="1742">
        <v>2010</v>
      </c>
      <c r="B84" s="1745">
        <v>179732</v>
      </c>
      <c r="C84" s="1761">
        <v>669798</v>
      </c>
      <c r="D84" s="1793">
        <f t="shared" si="7"/>
        <v>3.7266485656421784</v>
      </c>
      <c r="H84" s="1644"/>
      <c r="I84" s="1644"/>
      <c r="J84" s="1703"/>
    </row>
    <row r="85" spans="1:10" x14ac:dyDescent="0.2">
      <c r="A85" s="1742">
        <v>2011</v>
      </c>
      <c r="B85" s="1745">
        <v>3032051</v>
      </c>
      <c r="C85" s="1761">
        <f>G21</f>
        <v>77145</v>
      </c>
      <c r="D85" s="1793">
        <f t="shared" si="7"/>
        <v>2.5443173614164143E-2</v>
      </c>
      <c r="H85" s="1644"/>
      <c r="I85" s="1644"/>
      <c r="J85" s="1703"/>
    </row>
    <row r="86" spans="1:10" x14ac:dyDescent="0.2">
      <c r="A86" s="1742" t="s">
        <v>319</v>
      </c>
      <c r="B86" s="1745">
        <f>H21</f>
        <v>1433932</v>
      </c>
      <c r="C86" s="1761">
        <f>I21</f>
        <v>84504</v>
      </c>
      <c r="D86" s="1793">
        <f t="shared" si="7"/>
        <v>5.8931664820925961E-2</v>
      </c>
      <c r="H86" s="1644"/>
      <c r="I86" s="1644"/>
      <c r="J86" s="1703"/>
    </row>
    <row r="87" spans="1:10" x14ac:dyDescent="0.2">
      <c r="A87" s="1742" t="s">
        <v>318</v>
      </c>
      <c r="B87" s="1745">
        <f>H21</f>
        <v>1433932</v>
      </c>
      <c r="C87" s="1761">
        <f>J21</f>
        <v>144864.00000000003</v>
      </c>
      <c r="D87" s="1793">
        <f t="shared" si="7"/>
        <v>0.10102571112158737</v>
      </c>
      <c r="H87" s="1644"/>
      <c r="I87" s="1644"/>
      <c r="J87" s="1698"/>
    </row>
    <row r="88" spans="1:10" x14ac:dyDescent="0.2">
      <c r="A88" s="1742">
        <v>2013</v>
      </c>
      <c r="B88" s="1745">
        <f>K21</f>
        <v>576424.79794385307</v>
      </c>
      <c r="C88" s="1761" t="s">
        <v>187</v>
      </c>
      <c r="D88" s="1793" t="str">
        <f t="shared" si="7"/>
        <v>-</v>
      </c>
      <c r="H88" s="1644"/>
      <c r="I88" s="1644"/>
    </row>
    <row r="89" spans="1:10" x14ac:dyDescent="0.2">
      <c r="A89" s="1742">
        <v>2014</v>
      </c>
      <c r="B89" s="1745">
        <f>L21</f>
        <v>671426.15703510074</v>
      </c>
      <c r="C89" s="1761" t="s">
        <v>187</v>
      </c>
      <c r="D89" s="1793" t="str">
        <f t="shared" si="7"/>
        <v>-</v>
      </c>
      <c r="H89" s="1644"/>
      <c r="I89" s="1644"/>
    </row>
    <row r="90" spans="1:10" x14ac:dyDescent="0.2">
      <c r="A90" s="1742">
        <v>2015</v>
      </c>
      <c r="B90" s="1745">
        <f>M21</f>
        <v>803139.43107580254</v>
      </c>
      <c r="C90" s="1761" t="s">
        <v>187</v>
      </c>
      <c r="D90" s="1793" t="str">
        <f t="shared" si="7"/>
        <v>-</v>
      </c>
      <c r="H90" s="1644"/>
      <c r="I90" s="1644"/>
    </row>
    <row r="91" spans="1:10" x14ac:dyDescent="0.2">
      <c r="H91" s="1644"/>
      <c r="I91" s="1644"/>
    </row>
    <row r="92" spans="1:10" x14ac:dyDescent="0.2">
      <c r="H92" s="1644"/>
      <c r="I92" s="1644"/>
    </row>
    <row r="93" spans="1:10" x14ac:dyDescent="0.2">
      <c r="H93" s="1644"/>
      <c r="I93" s="1644"/>
    </row>
    <row r="94" spans="1:10" x14ac:dyDescent="0.2">
      <c r="H94" s="1644"/>
      <c r="I94" s="1644"/>
    </row>
    <row r="95" spans="1:10" x14ac:dyDescent="0.2">
      <c r="H95" s="1644"/>
      <c r="I95" s="1644"/>
    </row>
    <row r="96" spans="1:10"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x14ac:dyDescent="0.2">
      <c r="H117" s="1644"/>
      <c r="I117" s="1644"/>
    </row>
    <row r="118" spans="8:9" x14ac:dyDescent="0.2">
      <c r="H118" s="1644"/>
      <c r="I118" s="1644"/>
    </row>
    <row r="119" spans="8:9" x14ac:dyDescent="0.2">
      <c r="H119" s="1644"/>
      <c r="I119" s="1644"/>
    </row>
    <row r="120" spans="8:9" x14ac:dyDescent="0.2">
      <c r="H120" s="1644"/>
      <c r="I120" s="1644"/>
    </row>
    <row r="121" spans="8:9" x14ac:dyDescent="0.2">
      <c r="H121" s="1644"/>
      <c r="I121" s="1644"/>
    </row>
    <row r="122" spans="8:9" x14ac:dyDescent="0.2">
      <c r="H122" s="1644"/>
      <c r="I122" s="1644"/>
    </row>
    <row r="123" spans="8:9" x14ac:dyDescent="0.2">
      <c r="H123" s="1644"/>
      <c r="I123" s="1644"/>
    </row>
    <row r="124" spans="8:9" x14ac:dyDescent="0.2">
      <c r="H124" s="1644"/>
      <c r="I124" s="1644"/>
    </row>
    <row r="125" spans="8:9" x14ac:dyDescent="0.2">
      <c r="H125" s="1644"/>
      <c r="I125" s="1644"/>
    </row>
    <row r="126" spans="8:9" ht="11.25" x14ac:dyDescent="0.2">
      <c r="H126" s="1635"/>
      <c r="I126" s="1635"/>
    </row>
    <row r="127" spans="8:9" ht="11.25" x14ac:dyDescent="0.2">
      <c r="H127" s="1635"/>
      <c r="I127" s="1635"/>
    </row>
  </sheetData>
  <mergeCells count="1">
    <mergeCell ref="A1:L1"/>
  </mergeCells>
  <pageMargins left="0.98" right="0.75" top="1.1499999999999999" bottom="1" header="0.5" footer="0.5"/>
  <pageSetup scale="55" orientation="portrait" r:id="rId1"/>
  <headerFooter alignWithMargins="0">
    <oddFooter>&amp;C&amp;1#&amp;"Calibri"&amp;12&amp;K008000Internal Use</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50">
    <tabColor indexed="11"/>
    <pageSetUpPr fitToPage="1"/>
  </sheetPr>
  <dimension ref="A1:W118"/>
  <sheetViews>
    <sheetView topLeftCell="A8" workbookViewId="0">
      <selection activeCell="J67" sqref="J67"/>
    </sheetView>
  </sheetViews>
  <sheetFormatPr defaultRowHeight="12.75" x14ac:dyDescent="0.2"/>
  <cols>
    <col min="1" max="1" width="40.140625" style="1635" customWidth="1"/>
    <col min="2" max="2" width="10.7109375" style="1635" customWidth="1"/>
    <col min="3" max="3" width="10.5703125" style="1635" customWidth="1"/>
    <col min="4" max="4" width="11.7109375" style="1635" bestFit="1" customWidth="1"/>
    <col min="5" max="5" width="10.7109375" style="1635" customWidth="1"/>
    <col min="6" max="6" width="10.85546875" style="1635" customWidth="1"/>
    <col min="7" max="7" width="10.7109375" style="1635" customWidth="1"/>
    <col min="8" max="8" width="12" style="1188" customWidth="1"/>
    <col min="9" max="9" width="13.28515625" style="1188" customWidth="1"/>
    <col min="10" max="13" width="11.42578125" style="1635" customWidth="1"/>
    <col min="14" max="14" width="5.85546875" style="1635" customWidth="1"/>
    <col min="15" max="15" width="9.140625" style="1635"/>
    <col min="16" max="16" width="4.42578125" style="1635" customWidth="1"/>
    <col min="17" max="17" width="18.85546875" style="1635" customWidth="1"/>
    <col min="18" max="18" width="2.42578125" style="1635" customWidth="1"/>
    <col min="19" max="19" width="11.42578125" style="1635" customWidth="1"/>
    <col min="20" max="20" width="10.7109375" style="1635" customWidth="1"/>
    <col min="21" max="21" width="12.28515625" style="1635" customWidth="1"/>
    <col min="22" max="16384" width="9.140625" style="1635"/>
  </cols>
  <sheetData>
    <row r="1" spans="1:15" ht="15.75" x14ac:dyDescent="0.25">
      <c r="A1" s="2976" t="s">
        <v>48</v>
      </c>
      <c r="B1" s="2976"/>
      <c r="C1" s="2976"/>
      <c r="D1" s="2976"/>
      <c r="E1" s="2976"/>
      <c r="F1" s="2976"/>
      <c r="G1" s="2976"/>
      <c r="H1" s="2976"/>
      <c r="I1" s="2976"/>
      <c r="J1" s="2976"/>
      <c r="K1" s="2976"/>
      <c r="L1" s="2976"/>
      <c r="M1" s="2976"/>
      <c r="N1" s="2976"/>
      <c r="O1" s="2976"/>
    </row>
    <row r="2" spans="1:15" x14ac:dyDescent="0.2">
      <c r="A2" s="1699"/>
    </row>
    <row r="3" spans="1:15" ht="15.75" x14ac:dyDescent="0.25">
      <c r="A3" s="1700" t="s">
        <v>245</v>
      </c>
    </row>
    <row r="4" spans="1:15" x14ac:dyDescent="0.2">
      <c r="A4" s="1699"/>
    </row>
    <row r="5" spans="1:15" x14ac:dyDescent="0.2">
      <c r="A5" s="1749"/>
      <c r="H5" s="1702"/>
      <c r="I5" s="1702"/>
      <c r="J5" s="1644"/>
      <c r="K5" s="1644"/>
      <c r="L5" s="1644"/>
      <c r="M5" s="1644"/>
    </row>
    <row r="6" spans="1:15" s="1644" customFormat="1" x14ac:dyDescent="0.2">
      <c r="A6" s="1701"/>
      <c r="B6" s="1790">
        <v>2006</v>
      </c>
      <c r="C6" s="1790">
        <v>2007</v>
      </c>
      <c r="D6" s="1790">
        <v>2008</v>
      </c>
      <c r="E6" s="1790">
        <v>2009</v>
      </c>
      <c r="F6" s="1790">
        <v>2010</v>
      </c>
      <c r="G6" s="1790">
        <v>2011</v>
      </c>
      <c r="H6" s="1790">
        <v>2012</v>
      </c>
      <c r="I6" s="1634">
        <v>2012</v>
      </c>
      <c r="J6" s="1634">
        <v>2012</v>
      </c>
      <c r="K6" s="1634">
        <v>2013</v>
      </c>
      <c r="L6" s="1634">
        <v>2014</v>
      </c>
      <c r="M6" s="1634">
        <v>2015</v>
      </c>
    </row>
    <row r="7" spans="1:15" s="1644" customFormat="1" x14ac:dyDescent="0.2">
      <c r="A7" s="1704" t="s">
        <v>44</v>
      </c>
      <c r="B7" s="1738" t="s">
        <v>148</v>
      </c>
      <c r="C7" s="1738" t="s">
        <v>148</v>
      </c>
      <c r="D7" s="1738" t="s">
        <v>148</v>
      </c>
      <c r="E7" s="1738" t="s">
        <v>148</v>
      </c>
      <c r="F7" s="1738" t="s">
        <v>148</v>
      </c>
      <c r="G7" s="1738" t="s">
        <v>148</v>
      </c>
      <c r="H7" s="1738" t="s">
        <v>1</v>
      </c>
      <c r="I7" s="1645" t="s">
        <v>442</v>
      </c>
      <c r="J7" s="1645" t="s">
        <v>212</v>
      </c>
      <c r="K7" s="1645" t="s">
        <v>1</v>
      </c>
      <c r="L7" s="1645" t="s">
        <v>1</v>
      </c>
      <c r="M7" s="1645" t="s">
        <v>1</v>
      </c>
    </row>
    <row r="8" spans="1:15" s="1644" customFormat="1" x14ac:dyDescent="0.2">
      <c r="A8" s="1286"/>
      <c r="H8" s="1705"/>
      <c r="I8" s="1705"/>
    </row>
    <row r="9" spans="1:15" s="1644" customFormat="1" x14ac:dyDescent="0.2">
      <c r="A9" s="1286" t="s">
        <v>53</v>
      </c>
      <c r="B9" s="1703" t="s">
        <v>195</v>
      </c>
      <c r="C9" s="1703" t="s">
        <v>195</v>
      </c>
      <c r="D9" s="1703" t="s">
        <v>195</v>
      </c>
      <c r="E9" s="1703" t="s">
        <v>195</v>
      </c>
      <c r="F9" s="1703" t="s">
        <v>195</v>
      </c>
      <c r="G9" s="1703" t="s">
        <v>195</v>
      </c>
      <c r="H9" s="1707">
        <v>25000</v>
      </c>
      <c r="I9" s="1707">
        <v>644.96</v>
      </c>
      <c r="J9" s="1707">
        <v>1105.6457142857143</v>
      </c>
      <c r="K9" s="1707">
        <v>13504.991819766499</v>
      </c>
      <c r="L9" s="1707">
        <v>16069.5935070534</v>
      </c>
      <c r="M9" s="1707">
        <v>20466.036629439895</v>
      </c>
    </row>
    <row r="10" spans="1:15" s="1644" customFormat="1" x14ac:dyDescent="0.2">
      <c r="A10" s="1286" t="s">
        <v>45</v>
      </c>
      <c r="B10" s="1703" t="s">
        <v>195</v>
      </c>
      <c r="C10" s="1703" t="s">
        <v>195</v>
      </c>
      <c r="D10" s="1703" t="s">
        <v>195</v>
      </c>
      <c r="E10" s="1703" t="s">
        <v>195</v>
      </c>
      <c r="F10" s="1703" t="s">
        <v>195</v>
      </c>
      <c r="G10" s="1703" t="s">
        <v>195</v>
      </c>
      <c r="H10" s="1707">
        <v>1250</v>
      </c>
      <c r="I10" s="1707">
        <v>86.03</v>
      </c>
      <c r="J10" s="1707">
        <v>147.48000000000002</v>
      </c>
      <c r="K10" s="1707">
        <v>3476.1341021858698</v>
      </c>
      <c r="L10" s="1707">
        <v>4135.1815367326817</v>
      </c>
      <c r="M10" s="1707">
        <v>5266.516341126362</v>
      </c>
    </row>
    <row r="11" spans="1:15" s="1644" customFormat="1" x14ac:dyDescent="0.2">
      <c r="A11" s="1286" t="s">
        <v>202</v>
      </c>
      <c r="B11" s="1703" t="s">
        <v>195</v>
      </c>
      <c r="C11" s="1703" t="s">
        <v>195</v>
      </c>
      <c r="D11" s="1703" t="s">
        <v>195</v>
      </c>
      <c r="E11" s="1703" t="s">
        <v>195</v>
      </c>
      <c r="F11" s="1703" t="s">
        <v>195</v>
      </c>
      <c r="G11" s="1703" t="s">
        <v>195</v>
      </c>
      <c r="H11" s="1707">
        <v>5800</v>
      </c>
      <c r="I11" s="1707">
        <v>0</v>
      </c>
      <c r="J11" s="1707">
        <v>0</v>
      </c>
      <c r="K11" s="1707">
        <v>748.64959098832992</v>
      </c>
      <c r="L11" s="1707">
        <v>891.2029173992853</v>
      </c>
      <c r="M11" s="1707">
        <v>1135.0250735186153</v>
      </c>
    </row>
    <row r="12" spans="1:15" s="1644" customFormat="1" x14ac:dyDescent="0.2">
      <c r="A12" s="1286" t="s">
        <v>2</v>
      </c>
      <c r="B12" s="1703" t="s">
        <v>195</v>
      </c>
      <c r="C12" s="1703" t="s">
        <v>195</v>
      </c>
      <c r="D12" s="1703" t="s">
        <v>195</v>
      </c>
      <c r="E12" s="1703" t="s">
        <v>195</v>
      </c>
      <c r="F12" s="1703" t="s">
        <v>195</v>
      </c>
      <c r="G12" s="1703" t="s">
        <v>195</v>
      </c>
      <c r="H12" s="1707">
        <v>179031</v>
      </c>
      <c r="I12" s="1707">
        <v>2025</v>
      </c>
      <c r="J12" s="1707">
        <v>136025</v>
      </c>
      <c r="K12" s="1707">
        <v>110520.865388226</v>
      </c>
      <c r="L12" s="1707">
        <v>131593.539566241</v>
      </c>
      <c r="M12" s="1707">
        <v>167718.123871408</v>
      </c>
    </row>
    <row r="13" spans="1:15" s="1644" customFormat="1" x14ac:dyDescent="0.2">
      <c r="A13" s="1286" t="s">
        <v>14</v>
      </c>
      <c r="B13" s="1703" t="s">
        <v>195</v>
      </c>
      <c r="C13" s="1703" t="s">
        <v>195</v>
      </c>
      <c r="D13" s="1703" t="s">
        <v>195</v>
      </c>
      <c r="E13" s="1703" t="s">
        <v>195</v>
      </c>
      <c r="F13" s="1703" t="s">
        <v>195</v>
      </c>
      <c r="G13" s="1703" t="s">
        <v>195</v>
      </c>
      <c r="H13" s="1707">
        <v>10000</v>
      </c>
      <c r="I13" s="1707">
        <v>9487.8200000000015</v>
      </c>
      <c r="J13" s="1707">
        <v>16264.834285714287</v>
      </c>
      <c r="K13" s="1707">
        <v>15565.367279066799</v>
      </c>
      <c r="L13" s="1707">
        <v>18521.930976700125</v>
      </c>
      <c r="M13" s="1707">
        <v>23589.303466246325</v>
      </c>
    </row>
    <row r="14" spans="1:15" s="1644" customFormat="1" ht="15" x14ac:dyDescent="0.35">
      <c r="A14" s="1286" t="s">
        <v>46</v>
      </c>
      <c r="B14" s="1703" t="s">
        <v>195</v>
      </c>
      <c r="C14" s="1703" t="s">
        <v>195</v>
      </c>
      <c r="D14" s="1703" t="s">
        <v>195</v>
      </c>
      <c r="E14" s="1703" t="s">
        <v>195</v>
      </c>
      <c r="F14" s="1703" t="s">
        <v>195</v>
      </c>
      <c r="G14" s="1703" t="s">
        <v>195</v>
      </c>
      <c r="H14" s="1712">
        <v>25000</v>
      </c>
      <c r="I14" s="1712">
        <v>22</v>
      </c>
      <c r="J14" s="1712">
        <v>37.714285714285715</v>
      </c>
      <c r="K14" s="1712">
        <v>3183.9918197665402</v>
      </c>
      <c r="L14" s="1712">
        <v>3788.3396205274958</v>
      </c>
      <c r="M14" s="1712">
        <v>4824.755979368816</v>
      </c>
    </row>
    <row r="15" spans="1:15" s="1644" customFormat="1" x14ac:dyDescent="0.2">
      <c r="A15" s="1286" t="s">
        <v>86</v>
      </c>
      <c r="C15" s="1714"/>
      <c r="D15" s="1714"/>
      <c r="E15" s="1714"/>
      <c r="F15" s="1714"/>
      <c r="G15" s="1714"/>
      <c r="H15" s="1714">
        <f t="shared" ref="H15:M15" si="0">SUM(H9:H14)</f>
        <v>246081</v>
      </c>
      <c r="I15" s="1714">
        <f t="shared" si="0"/>
        <v>12265.810000000001</v>
      </c>
      <c r="J15" s="1717">
        <f t="shared" si="0"/>
        <v>153580.67428571428</v>
      </c>
      <c r="K15" s="1717">
        <f t="shared" si="0"/>
        <v>147000.00000000006</v>
      </c>
      <c r="L15" s="1717">
        <f t="shared" si="0"/>
        <v>174999.78812465398</v>
      </c>
      <c r="M15" s="1717">
        <f t="shared" si="0"/>
        <v>222999.76136110799</v>
      </c>
      <c r="N15" s="1703" t="s">
        <v>201</v>
      </c>
    </row>
    <row r="16" spans="1:15" s="1644" customFormat="1" x14ac:dyDescent="0.2">
      <c r="A16" s="1286"/>
      <c r="B16" s="1718"/>
      <c r="C16" s="1719"/>
      <c r="D16" s="1720"/>
      <c r="H16" s="1721"/>
      <c r="I16" s="1721"/>
    </row>
    <row r="17" spans="1:23" s="1644" customFormat="1" ht="15" x14ac:dyDescent="0.35">
      <c r="A17" s="1722"/>
      <c r="C17" s="1723"/>
      <c r="D17" s="1723"/>
      <c r="N17" s="1724"/>
    </row>
    <row r="18" spans="1:23" s="1644" customFormat="1" ht="25.5" x14ac:dyDescent="0.2">
      <c r="A18" s="1704" t="s">
        <v>83</v>
      </c>
      <c r="B18" s="1791" t="s">
        <v>196</v>
      </c>
      <c r="C18" s="1791" t="s">
        <v>177</v>
      </c>
      <c r="D18" s="1791" t="s">
        <v>210</v>
      </c>
      <c r="E18" s="1791" t="s">
        <v>219</v>
      </c>
      <c r="F18" s="1791" t="s">
        <v>259</v>
      </c>
      <c r="G18" s="1658" t="s">
        <v>321</v>
      </c>
      <c r="H18" s="1658" t="s">
        <v>445</v>
      </c>
      <c r="I18" s="1658" t="s">
        <v>317</v>
      </c>
      <c r="J18" s="1658" t="s">
        <v>446</v>
      </c>
      <c r="K18" s="1658" t="s">
        <v>447</v>
      </c>
      <c r="L18" s="1658" t="s">
        <v>448</v>
      </c>
      <c r="M18" s="1658" t="s">
        <v>449</v>
      </c>
      <c r="N18" s="1703"/>
      <c r="Q18" s="1286"/>
      <c r="R18" s="1286"/>
      <c r="S18" s="1286"/>
      <c r="T18" s="1286"/>
      <c r="U18" s="1286"/>
      <c r="V18" s="1286"/>
      <c r="W18" s="1286"/>
    </row>
    <row r="19" spans="1:23" s="1644" customFormat="1" x14ac:dyDescent="0.2">
      <c r="N19" s="1703"/>
      <c r="Q19" s="1725"/>
      <c r="R19" s="1725"/>
      <c r="S19" s="1229"/>
      <c r="T19" s="1229"/>
      <c r="U19" s="1229"/>
      <c r="V19" s="1286"/>
      <c r="W19" s="1286"/>
    </row>
    <row r="20" spans="1:23" s="1644" customFormat="1" x14ac:dyDescent="0.2">
      <c r="A20" s="1644" t="s">
        <v>49</v>
      </c>
      <c r="B20" s="1703" t="s">
        <v>195</v>
      </c>
      <c r="C20" s="1703" t="s">
        <v>195</v>
      </c>
      <c r="D20" s="1703" t="s">
        <v>195</v>
      </c>
      <c r="E20" s="1703" t="s">
        <v>195</v>
      </c>
      <c r="F20" s="1703" t="s">
        <v>195</v>
      </c>
      <c r="G20" s="1703" t="s">
        <v>195</v>
      </c>
      <c r="H20" s="1796">
        <v>78912</v>
      </c>
      <c r="I20" s="1703">
        <v>1830</v>
      </c>
      <c r="J20" s="1727">
        <f>I20/I15*J15</f>
        <v>22913.499715294558</v>
      </c>
      <c r="K20" s="1727">
        <v>80864.230850060383</v>
      </c>
      <c r="L20" s="1727">
        <v>95229.797427612066</v>
      </c>
      <c r="M20" s="1727">
        <v>117160.18219620183</v>
      </c>
      <c r="N20" s="1703" t="s">
        <v>64</v>
      </c>
      <c r="Q20" s="1725"/>
      <c r="R20" s="1725"/>
      <c r="S20" s="1728"/>
      <c r="T20" s="1728"/>
      <c r="U20" s="1728"/>
      <c r="V20" s="1286"/>
      <c r="W20" s="1286"/>
    </row>
    <row r="21" spans="1:23" s="1644" customFormat="1" x14ac:dyDescent="0.2">
      <c r="A21" s="1644" t="s">
        <v>50</v>
      </c>
      <c r="B21" s="1703" t="s">
        <v>195</v>
      </c>
      <c r="C21" s="1703" t="s">
        <v>195</v>
      </c>
      <c r="D21" s="1703" t="s">
        <v>195</v>
      </c>
      <c r="E21" s="1703" t="s">
        <v>195</v>
      </c>
      <c r="F21" s="1703" t="s">
        <v>195</v>
      </c>
      <c r="G21" s="1703" t="s">
        <v>195</v>
      </c>
      <c r="H21" s="1796">
        <v>907700</v>
      </c>
      <c r="I21" s="1703">
        <v>24737</v>
      </c>
      <c r="J21" s="1727">
        <f>I21/I15*J15</f>
        <v>309732.91937554174</v>
      </c>
      <c r="K21" s="1727">
        <v>910290.09103822033</v>
      </c>
      <c r="L21" s="1727">
        <v>1072003.5305927545</v>
      </c>
      <c r="M21" s="1727">
        <v>1318874.2636430508</v>
      </c>
      <c r="N21" s="1703" t="s">
        <v>10</v>
      </c>
      <c r="Q21" s="1229"/>
      <c r="R21" s="1674"/>
      <c r="S21" s="1675"/>
      <c r="T21" s="1675"/>
      <c r="U21" s="1675"/>
      <c r="V21" s="1286"/>
      <c r="W21" s="1286"/>
    </row>
    <row r="22" spans="1:23" s="1644" customFormat="1" x14ac:dyDescent="0.2">
      <c r="C22" s="1729" t="s">
        <v>3</v>
      </c>
      <c r="N22" s="1703"/>
      <c r="Q22" s="1229"/>
      <c r="R22" s="1674"/>
      <c r="S22" s="1678"/>
      <c r="T22" s="1678"/>
      <c r="U22" s="1678"/>
      <c r="V22" s="1286"/>
      <c r="W22" s="1286"/>
    </row>
    <row r="23" spans="1:23" s="1644" customFormat="1" x14ac:dyDescent="0.2">
      <c r="A23" s="1644" t="s">
        <v>51</v>
      </c>
      <c r="B23" s="1703" t="s">
        <v>195</v>
      </c>
      <c r="C23" s="1703" t="s">
        <v>195</v>
      </c>
      <c r="D23" s="1703" t="s">
        <v>195</v>
      </c>
      <c r="E23" s="1703" t="s">
        <v>195</v>
      </c>
      <c r="F23" s="1703" t="s">
        <v>195</v>
      </c>
      <c r="G23" s="1703" t="s">
        <v>195</v>
      </c>
      <c r="H23" s="1731">
        <f t="shared" ref="H23:M23" si="1">SUM(H15/H20)</f>
        <v>3.1184230535279807</v>
      </c>
      <c r="I23" s="1731">
        <f t="shared" si="1"/>
        <v>6.7026284153005475</v>
      </c>
      <c r="J23" s="1731">
        <f t="shared" si="1"/>
        <v>6.7026284153005466</v>
      </c>
      <c r="K23" s="1731">
        <f t="shared" si="1"/>
        <v>1.8178618463900258</v>
      </c>
      <c r="L23" s="1731">
        <f t="shared" si="1"/>
        <v>1.8376578849459198</v>
      </c>
      <c r="M23" s="1731">
        <f t="shared" si="1"/>
        <v>1.9033749963589364</v>
      </c>
      <c r="N23" s="1703" t="s">
        <v>65</v>
      </c>
      <c r="Q23" s="1229"/>
      <c r="R23" s="1674"/>
      <c r="S23" s="1678"/>
      <c r="T23" s="1678"/>
      <c r="U23" s="1678"/>
      <c r="V23" s="1286"/>
      <c r="W23" s="1286"/>
    </row>
    <row r="24" spans="1:23" s="1644" customFormat="1" x14ac:dyDescent="0.2">
      <c r="A24" s="1644" t="s">
        <v>52</v>
      </c>
      <c r="B24" s="1703" t="s">
        <v>195</v>
      </c>
      <c r="C24" s="1703" t="s">
        <v>195</v>
      </c>
      <c r="D24" s="1703" t="s">
        <v>195</v>
      </c>
      <c r="E24" s="1703" t="s">
        <v>195</v>
      </c>
      <c r="F24" s="1703" t="s">
        <v>195</v>
      </c>
      <c r="G24" s="1703" t="s">
        <v>195</v>
      </c>
      <c r="H24" s="1731">
        <f t="shared" ref="H24:M24" si="2">SUM(H15/H21)</f>
        <v>0.27110388895009363</v>
      </c>
      <c r="I24" s="1731">
        <f t="shared" si="2"/>
        <v>0.49584872862513651</v>
      </c>
      <c r="J24" s="1731">
        <f t="shared" si="2"/>
        <v>0.49584872862513651</v>
      </c>
      <c r="K24" s="1731">
        <f t="shared" si="2"/>
        <v>0.16148698249844837</v>
      </c>
      <c r="L24" s="1731">
        <f t="shared" si="2"/>
        <v>0.1632455333686163</v>
      </c>
      <c r="M24" s="1731">
        <f t="shared" si="2"/>
        <v>0.16908341265613033</v>
      </c>
      <c r="N24" s="1703" t="s">
        <v>66</v>
      </c>
      <c r="Q24" s="1229"/>
      <c r="R24" s="1674"/>
      <c r="S24" s="1682"/>
      <c r="T24" s="1682"/>
      <c r="U24" s="1682"/>
      <c r="V24" s="1286"/>
      <c r="W24" s="1286"/>
    </row>
    <row r="25" spans="1:23" s="1644" customFormat="1" x14ac:dyDescent="0.2">
      <c r="C25" s="1729"/>
      <c r="N25" s="1703"/>
      <c r="Q25" s="1229"/>
      <c r="R25" s="1674"/>
      <c r="S25" s="1675"/>
      <c r="T25" s="1675"/>
      <c r="U25" s="1675"/>
      <c r="V25" s="1286"/>
      <c r="W25" s="1286"/>
    </row>
    <row r="26" spans="1:23" s="1644" customFormat="1" x14ac:dyDescent="0.2">
      <c r="A26" s="1644" t="s">
        <v>84</v>
      </c>
      <c r="B26" s="1703" t="s">
        <v>195</v>
      </c>
      <c r="C26" s="1703" t="s">
        <v>195</v>
      </c>
      <c r="D26" s="1703" t="s">
        <v>195</v>
      </c>
      <c r="E26" s="1703" t="s">
        <v>195</v>
      </c>
      <c r="F26" s="1703" t="s">
        <v>195</v>
      </c>
      <c r="G26" s="1703" t="s">
        <v>195</v>
      </c>
      <c r="H26" s="579">
        <v>505760</v>
      </c>
      <c r="I26" s="579">
        <f>H26/H21*I21</f>
        <v>13783.171884984025</v>
      </c>
      <c r="J26" s="523">
        <f>I26/I21*J21</f>
        <v>172579.62025269802</v>
      </c>
      <c r="K26" s="1714">
        <v>564867.90426218382</v>
      </c>
      <c r="L26" s="1714">
        <v>693248.39080204931</v>
      </c>
      <c r="M26" s="1714">
        <v>885176.66567077767</v>
      </c>
      <c r="N26" s="1703" t="s">
        <v>67</v>
      </c>
      <c r="Q26" s="1229"/>
      <c r="R26" s="1674"/>
      <c r="S26" s="1674"/>
      <c r="T26" s="1674"/>
      <c r="U26" s="1674"/>
      <c r="V26" s="1286"/>
      <c r="W26" s="1286"/>
    </row>
    <row r="27" spans="1:23" s="1644" customFormat="1" x14ac:dyDescent="0.2">
      <c r="A27" s="1644" t="s">
        <v>85</v>
      </c>
      <c r="B27" s="1703" t="s">
        <v>195</v>
      </c>
      <c r="C27" s="1703" t="s">
        <v>195</v>
      </c>
      <c r="D27" s="1703" t="s">
        <v>195</v>
      </c>
      <c r="E27" s="1703" t="s">
        <v>195</v>
      </c>
      <c r="F27" s="1703" t="s">
        <v>195</v>
      </c>
      <c r="G27" s="1703" t="s">
        <v>195</v>
      </c>
      <c r="H27" s="1732">
        <f t="shared" ref="H27:M27" si="3">SUM(H26/H15)</f>
        <v>2.0552582279818434</v>
      </c>
      <c r="I27" s="1732">
        <f t="shared" si="3"/>
        <v>1.1237066190479084</v>
      </c>
      <c r="J27" s="1732">
        <f t="shared" si="3"/>
        <v>1.1237066190479084</v>
      </c>
      <c r="K27" s="1732">
        <f t="shared" si="3"/>
        <v>3.8426388045046505</v>
      </c>
      <c r="L27" s="1732">
        <f t="shared" si="3"/>
        <v>3.9614241721723804</v>
      </c>
      <c r="M27" s="1732">
        <f t="shared" si="3"/>
        <v>3.9694063359888236</v>
      </c>
      <c r="N27" s="1703" t="s">
        <v>68</v>
      </c>
      <c r="O27" s="1792"/>
      <c r="Q27" s="1229"/>
      <c r="R27" s="1674"/>
      <c r="S27" s="1678"/>
      <c r="T27" s="1674"/>
      <c r="U27" s="1678"/>
      <c r="V27" s="1286"/>
      <c r="W27" s="1286"/>
    </row>
    <row r="28" spans="1:23" s="1644" customFormat="1" x14ac:dyDescent="0.2">
      <c r="A28" s="1644" t="s">
        <v>214</v>
      </c>
      <c r="B28" s="1703" t="s">
        <v>195</v>
      </c>
      <c r="C28" s="1703" t="s">
        <v>195</v>
      </c>
      <c r="D28" s="1703" t="s">
        <v>195</v>
      </c>
      <c r="E28" s="1703" t="s">
        <v>195</v>
      </c>
      <c r="F28" s="1703" t="s">
        <v>195</v>
      </c>
      <c r="G28" s="1703" t="s">
        <v>195</v>
      </c>
      <c r="H28" s="1782">
        <v>27</v>
      </c>
      <c r="I28" s="1782">
        <v>9</v>
      </c>
      <c r="J28" s="1734">
        <f>I28/I23*J23</f>
        <v>8.9999999999999982</v>
      </c>
      <c r="K28" s="1734">
        <v>21</v>
      </c>
      <c r="L28" s="1734">
        <v>25</v>
      </c>
      <c r="M28" s="1734">
        <v>31</v>
      </c>
      <c r="N28" s="1703" t="s">
        <v>69</v>
      </c>
      <c r="Q28" s="1229"/>
      <c r="R28" s="1674"/>
      <c r="S28" s="1678"/>
      <c r="T28" s="1678"/>
      <c r="U28" s="1678"/>
      <c r="V28" s="1286"/>
      <c r="W28" s="1286"/>
    </row>
    <row r="29" spans="1:23" s="1644" customFormat="1" x14ac:dyDescent="0.2">
      <c r="A29" s="1644" t="s">
        <v>215</v>
      </c>
      <c r="B29" s="1703" t="s">
        <v>195</v>
      </c>
      <c r="C29" s="1703" t="s">
        <v>195</v>
      </c>
      <c r="D29" s="1703" t="s">
        <v>195</v>
      </c>
      <c r="E29" s="1703" t="s">
        <v>195</v>
      </c>
      <c r="F29" s="1703" t="s">
        <v>195</v>
      </c>
      <c r="G29" s="1703" t="s">
        <v>195</v>
      </c>
      <c r="H29" s="1757">
        <f t="shared" ref="H29:M29" si="4">H21/H28</f>
        <v>33618.518518518518</v>
      </c>
      <c r="I29" s="1757">
        <f t="shared" si="4"/>
        <v>2748.5555555555557</v>
      </c>
      <c r="J29" s="1757">
        <f t="shared" si="4"/>
        <v>34414.768819504643</v>
      </c>
      <c r="K29" s="1757">
        <f t="shared" si="4"/>
        <v>43347.147192296208</v>
      </c>
      <c r="L29" s="1757">
        <f t="shared" si="4"/>
        <v>42880.141223710176</v>
      </c>
      <c r="M29" s="1757">
        <f t="shared" si="4"/>
        <v>42544.331085259706</v>
      </c>
      <c r="N29" s="1703" t="s">
        <v>70</v>
      </c>
      <c r="Q29" s="1229"/>
      <c r="R29" s="1674"/>
      <c r="S29" s="1675"/>
      <c r="T29" s="1675"/>
      <c r="U29" s="1675"/>
      <c r="V29" s="1286"/>
      <c r="W29" s="1286"/>
    </row>
    <row r="30" spans="1:23" s="1644" customFormat="1" x14ac:dyDescent="0.2">
      <c r="A30" s="1644" t="s">
        <v>216</v>
      </c>
      <c r="B30" s="1703" t="s">
        <v>195</v>
      </c>
      <c r="C30" s="1703" t="s">
        <v>195</v>
      </c>
      <c r="D30" s="1703" t="s">
        <v>195</v>
      </c>
      <c r="E30" s="1703" t="s">
        <v>195</v>
      </c>
      <c r="F30" s="1703" t="s">
        <v>195</v>
      </c>
      <c r="G30" s="1703" t="s">
        <v>195</v>
      </c>
      <c r="H30" s="1706">
        <f t="shared" ref="H30:M30" si="5">H15/H28</f>
        <v>9114.1111111111113</v>
      </c>
      <c r="I30" s="1706">
        <f t="shared" si="5"/>
        <v>1362.867777777778</v>
      </c>
      <c r="J30" s="1706">
        <f t="shared" si="5"/>
        <v>17064.519365079366</v>
      </c>
      <c r="K30" s="1706">
        <f t="shared" si="5"/>
        <v>7000.0000000000027</v>
      </c>
      <c r="L30" s="1706">
        <f t="shared" si="5"/>
        <v>6999.9915249861588</v>
      </c>
      <c r="M30" s="1706">
        <f t="shared" si="5"/>
        <v>7193.5406890679997</v>
      </c>
      <c r="N30" s="1703" t="s">
        <v>72</v>
      </c>
      <c r="Q30" s="1229"/>
      <c r="R30" s="1674"/>
      <c r="S30" s="1675"/>
      <c r="T30" s="1675"/>
      <c r="U30" s="1675"/>
      <c r="V30" s="1286"/>
      <c r="W30" s="1286"/>
    </row>
    <row r="31" spans="1:23" s="1644" customFormat="1" x14ac:dyDescent="0.2">
      <c r="A31" s="1644" t="s">
        <v>217</v>
      </c>
      <c r="B31" s="1703" t="s">
        <v>195</v>
      </c>
      <c r="C31" s="1703" t="s">
        <v>195</v>
      </c>
      <c r="D31" s="1703" t="s">
        <v>195</v>
      </c>
      <c r="E31" s="1703" t="s">
        <v>195</v>
      </c>
      <c r="F31" s="1703" t="s">
        <v>195</v>
      </c>
      <c r="G31" s="1703" t="s">
        <v>195</v>
      </c>
      <c r="H31" s="1706">
        <f t="shared" ref="H31:M31" si="6">H26/H28</f>
        <v>18731.85185185185</v>
      </c>
      <c r="I31" s="1706">
        <f t="shared" si="6"/>
        <v>1531.4635427760029</v>
      </c>
      <c r="J31" s="1706">
        <f t="shared" si="6"/>
        <v>19175.513361410896</v>
      </c>
      <c r="K31" s="1706">
        <f t="shared" si="6"/>
        <v>26898.471631532564</v>
      </c>
      <c r="L31" s="1706">
        <f t="shared" si="6"/>
        <v>27729.935632081972</v>
      </c>
      <c r="M31" s="1706">
        <f t="shared" si="6"/>
        <v>28554.085989379924</v>
      </c>
      <c r="N31" s="1703" t="s">
        <v>73</v>
      </c>
      <c r="Q31" s="1286"/>
      <c r="R31" s="1286"/>
      <c r="S31" s="1286"/>
      <c r="T31" s="1286"/>
      <c r="U31" s="1286"/>
      <c r="V31" s="1286"/>
      <c r="W31" s="1286"/>
    </row>
    <row r="32" spans="1:23" s="1644" customFormat="1" x14ac:dyDescent="0.2">
      <c r="A32" s="1644" t="s">
        <v>450</v>
      </c>
      <c r="B32" s="1703" t="s">
        <v>195</v>
      </c>
      <c r="C32" s="1703" t="s">
        <v>195</v>
      </c>
      <c r="D32" s="1703" t="s">
        <v>195</v>
      </c>
      <c r="E32" s="1703" t="s">
        <v>195</v>
      </c>
      <c r="F32" s="1703" t="s">
        <v>195</v>
      </c>
      <c r="G32" s="1703" t="s">
        <v>195</v>
      </c>
      <c r="H32" s="1776">
        <f t="shared" ref="H32:M32" si="7">H12/H21</f>
        <v>0.19723587088245015</v>
      </c>
      <c r="I32" s="1776">
        <f t="shared" si="7"/>
        <v>8.1861179609491852E-2</v>
      </c>
      <c r="J32" s="1776">
        <f t="shared" si="7"/>
        <v>0.439168688540574</v>
      </c>
      <c r="K32" s="1776">
        <f t="shared" si="7"/>
        <v>0.12141279629021641</v>
      </c>
      <c r="L32" s="1776">
        <f t="shared" si="7"/>
        <v>0.12275476321750318</v>
      </c>
      <c r="M32" s="1776">
        <f t="shared" si="7"/>
        <v>0.12716763720002378</v>
      </c>
      <c r="Q32" s="1286"/>
      <c r="R32" s="1286"/>
      <c r="S32" s="1286"/>
      <c r="T32" s="1286"/>
      <c r="U32" s="1286"/>
      <c r="V32" s="1286"/>
      <c r="W32" s="1286"/>
    </row>
    <row r="33" spans="1:23" s="1644" customFormat="1" x14ac:dyDescent="0.2">
      <c r="A33" s="1644" t="s">
        <v>452</v>
      </c>
      <c r="B33" s="1703" t="s">
        <v>195</v>
      </c>
      <c r="C33" s="1703" t="s">
        <v>195</v>
      </c>
      <c r="D33" s="1703" t="s">
        <v>195</v>
      </c>
      <c r="E33" s="1703" t="s">
        <v>195</v>
      </c>
      <c r="F33" s="1703" t="s">
        <v>195</v>
      </c>
      <c r="G33" s="1703" t="s">
        <v>195</v>
      </c>
      <c r="H33" s="1776">
        <f t="shared" ref="H33:M33" si="8">H13/H21</f>
        <v>1.1016855789357717E-2</v>
      </c>
      <c r="I33" s="1776">
        <f t="shared" si="8"/>
        <v>0.38354772203581683</v>
      </c>
      <c r="J33" s="1776">
        <f t="shared" si="8"/>
        <v>5.2512449495217106E-2</v>
      </c>
      <c r="K33" s="1776">
        <f t="shared" si="8"/>
        <v>1.7099348254262448E-2</v>
      </c>
      <c r="L33" s="1776">
        <f t="shared" si="8"/>
        <v>1.7277863783208433E-2</v>
      </c>
      <c r="M33" s="1776">
        <f t="shared" si="8"/>
        <v>1.7885938118988646E-2</v>
      </c>
      <c r="Q33" s="1286"/>
      <c r="R33" s="1286"/>
      <c r="S33" s="1286"/>
      <c r="T33" s="1286"/>
      <c r="U33" s="1286"/>
      <c r="V33" s="1286"/>
      <c r="W33" s="1286"/>
    </row>
    <row r="34" spans="1:23" s="1644" customFormat="1" x14ac:dyDescent="0.2">
      <c r="A34" s="1704"/>
      <c r="B34" s="1735"/>
      <c r="C34" s="1736"/>
      <c r="D34" s="1736"/>
      <c r="H34" s="1727"/>
      <c r="I34" s="1737"/>
      <c r="J34" s="1703"/>
      <c r="K34" s="1703"/>
      <c r="L34" s="1703"/>
      <c r="M34" s="1703"/>
      <c r="O34" s="1703"/>
      <c r="P34" s="1229"/>
      <c r="Q34" s="1674"/>
      <c r="R34" s="1675"/>
      <c r="S34" s="1675"/>
      <c r="T34" s="1675"/>
      <c r="U34" s="1286"/>
    </row>
    <row r="35" spans="1:23" s="1644" customFormat="1" x14ac:dyDescent="0.2">
      <c r="A35" s="1738" t="s">
        <v>194</v>
      </c>
      <c r="B35" s="1739"/>
      <c r="C35" s="1286"/>
      <c r="H35" s="1714"/>
      <c r="J35" s="1703"/>
      <c r="K35" s="1703"/>
      <c r="L35" s="1703"/>
      <c r="M35" s="1703"/>
      <c r="O35" s="1703"/>
      <c r="P35" s="1229"/>
      <c r="Q35" s="1674"/>
      <c r="R35" s="1675"/>
      <c r="S35" s="1675"/>
      <c r="T35" s="1675"/>
      <c r="U35" s="1286"/>
    </row>
    <row r="36" spans="1:23" s="1644" customFormat="1" x14ac:dyDescent="0.2">
      <c r="A36" s="1738"/>
      <c r="J36" s="1703"/>
      <c r="K36" s="1703"/>
      <c r="L36" s="1703"/>
      <c r="M36" s="1703"/>
      <c r="O36" s="1703"/>
    </row>
    <row r="37" spans="1:23" s="1644" customFormat="1" x14ac:dyDescent="0.2">
      <c r="A37" s="1742" t="s">
        <v>185</v>
      </c>
      <c r="B37" s="1736" t="s">
        <v>1</v>
      </c>
      <c r="C37" s="1736" t="s">
        <v>186</v>
      </c>
      <c r="D37" s="1736" t="s">
        <v>18</v>
      </c>
      <c r="J37" s="1703"/>
      <c r="K37" s="1703"/>
      <c r="L37" s="1703"/>
      <c r="M37" s="1703"/>
      <c r="O37" s="1703"/>
    </row>
    <row r="38" spans="1:23" s="1644" customFormat="1" x14ac:dyDescent="0.2">
      <c r="A38" s="1742">
        <v>2006</v>
      </c>
      <c r="B38" s="1703" t="s">
        <v>195</v>
      </c>
      <c r="C38" s="1706" t="s">
        <v>195</v>
      </c>
      <c r="D38" s="1745" t="str">
        <f t="shared" ref="D38:D47" si="9">IF(ISERROR(C38/B38),"-",(C38/B38))</f>
        <v>-</v>
      </c>
      <c r="J38" s="1703"/>
      <c r="K38" s="1703"/>
      <c r="L38" s="1703"/>
      <c r="M38" s="1703"/>
      <c r="O38" s="1703"/>
    </row>
    <row r="39" spans="1:23" s="1644" customFormat="1" x14ac:dyDescent="0.2">
      <c r="A39" s="1742">
        <v>2007</v>
      </c>
      <c r="B39" s="1703" t="s">
        <v>195</v>
      </c>
      <c r="C39" s="1706" t="s">
        <v>195</v>
      </c>
      <c r="D39" s="1745" t="str">
        <f t="shared" si="9"/>
        <v>-</v>
      </c>
      <c r="J39" s="1703"/>
      <c r="K39" s="1703"/>
      <c r="L39" s="1703"/>
      <c r="M39" s="1703"/>
      <c r="O39" s="1703"/>
    </row>
    <row r="40" spans="1:23" s="1644" customFormat="1" x14ac:dyDescent="0.2">
      <c r="A40" s="1742">
        <v>2008</v>
      </c>
      <c r="B40" s="1703" t="s">
        <v>195</v>
      </c>
      <c r="C40" s="1706" t="s">
        <v>195</v>
      </c>
      <c r="D40" s="1745" t="str">
        <f t="shared" si="9"/>
        <v>-</v>
      </c>
      <c r="J40" s="1703"/>
      <c r="K40" s="1703"/>
      <c r="L40" s="1703"/>
      <c r="M40" s="1703"/>
      <c r="O40" s="1703"/>
    </row>
    <row r="41" spans="1:23" s="1644" customFormat="1" x14ac:dyDescent="0.2">
      <c r="A41" s="1742">
        <v>2009</v>
      </c>
      <c r="B41" s="1703" t="s">
        <v>195</v>
      </c>
      <c r="C41" s="1706" t="s">
        <v>195</v>
      </c>
      <c r="D41" s="1745" t="str">
        <f t="shared" si="9"/>
        <v>-</v>
      </c>
      <c r="J41" s="1703"/>
      <c r="K41" s="1703"/>
      <c r="L41" s="1703"/>
      <c r="M41" s="1703"/>
      <c r="O41" s="1703"/>
    </row>
    <row r="42" spans="1:23" s="1644" customFormat="1" x14ac:dyDescent="0.2">
      <c r="A42" s="1742">
        <v>2010</v>
      </c>
      <c r="B42" s="1703" t="s">
        <v>195</v>
      </c>
      <c r="C42" s="1706" t="s">
        <v>195</v>
      </c>
      <c r="D42" s="1797" t="str">
        <f t="shared" si="9"/>
        <v>-</v>
      </c>
      <c r="J42" s="1703"/>
      <c r="K42" s="1703"/>
      <c r="L42" s="1703"/>
      <c r="M42" s="1703"/>
      <c r="O42" s="1703"/>
    </row>
    <row r="43" spans="1:23" s="1644" customFormat="1" x14ac:dyDescent="0.2">
      <c r="A43" s="1742" t="s">
        <v>319</v>
      </c>
      <c r="B43" s="1798">
        <f>H15</f>
        <v>246081</v>
      </c>
      <c r="C43" s="1706">
        <f>I15</f>
        <v>12265.810000000001</v>
      </c>
      <c r="D43" s="1797">
        <f t="shared" si="9"/>
        <v>4.9844604012499953E-2</v>
      </c>
      <c r="J43" s="1703"/>
      <c r="K43" s="1703"/>
      <c r="L43" s="1703"/>
      <c r="M43" s="1703"/>
      <c r="O43" s="1703"/>
    </row>
    <row r="44" spans="1:23" s="1644" customFormat="1" x14ac:dyDescent="0.2">
      <c r="A44" s="1742" t="s">
        <v>318</v>
      </c>
      <c r="B44" s="1798">
        <f>B43</f>
        <v>246081</v>
      </c>
      <c r="C44" s="1706">
        <f>J15</f>
        <v>153580.67428571428</v>
      </c>
      <c r="D44" s="1797">
        <f t="shared" si="9"/>
        <v>0.62410618571004783</v>
      </c>
      <c r="J44" s="1703"/>
      <c r="K44" s="1703"/>
      <c r="L44" s="1703"/>
      <c r="M44" s="1703"/>
      <c r="O44" s="1703"/>
    </row>
    <row r="45" spans="1:23" s="1644" customFormat="1" x14ac:dyDescent="0.2">
      <c r="A45" s="1742">
        <v>2013</v>
      </c>
      <c r="B45" s="1760">
        <f>K15</f>
        <v>147000.00000000006</v>
      </c>
      <c r="C45" s="1706" t="s">
        <v>187</v>
      </c>
      <c r="D45" s="1797" t="str">
        <f t="shared" si="9"/>
        <v>-</v>
      </c>
      <c r="J45" s="1703"/>
      <c r="K45" s="1703"/>
      <c r="L45" s="1703"/>
      <c r="M45" s="1703"/>
      <c r="O45" s="1703"/>
    </row>
    <row r="46" spans="1:23" s="1644" customFormat="1" x14ac:dyDescent="0.2">
      <c r="A46" s="1742">
        <v>2014</v>
      </c>
      <c r="B46" s="1760">
        <f>L15</f>
        <v>174999.78812465398</v>
      </c>
      <c r="C46" s="1706" t="s">
        <v>187</v>
      </c>
      <c r="D46" s="1797" t="str">
        <f t="shared" si="9"/>
        <v>-</v>
      </c>
      <c r="J46" s="1703"/>
      <c r="K46" s="1703"/>
      <c r="L46" s="1703"/>
      <c r="M46" s="1703"/>
      <c r="O46" s="1703"/>
    </row>
    <row r="47" spans="1:23" s="1644" customFormat="1" x14ac:dyDescent="0.2">
      <c r="A47" s="1742">
        <v>2015</v>
      </c>
      <c r="B47" s="1760">
        <f>M15</f>
        <v>222999.76136110799</v>
      </c>
      <c r="C47" s="1706" t="s">
        <v>187</v>
      </c>
      <c r="D47" s="1797" t="str">
        <f t="shared" si="9"/>
        <v>-</v>
      </c>
      <c r="J47" s="1703"/>
      <c r="K47" s="1703"/>
      <c r="L47" s="1703"/>
      <c r="M47" s="1703"/>
      <c r="O47" s="1703"/>
    </row>
    <row r="48" spans="1:23" s="1644" customFormat="1" x14ac:dyDescent="0.2">
      <c r="A48" s="1742"/>
      <c r="C48" s="1761"/>
      <c r="J48" s="1703"/>
      <c r="K48" s="1703"/>
      <c r="L48" s="1703"/>
      <c r="M48" s="1703"/>
      <c r="O48" s="1703"/>
    </row>
    <row r="49" spans="1:15" s="1644" customFormat="1" x14ac:dyDescent="0.2">
      <c r="A49" s="1743" t="s">
        <v>193</v>
      </c>
      <c r="J49" s="1703"/>
      <c r="K49" s="1703"/>
      <c r="L49" s="1703"/>
      <c r="M49" s="1703"/>
      <c r="O49" s="1703"/>
    </row>
    <row r="50" spans="1:15" s="1644" customFormat="1" x14ac:dyDescent="0.2">
      <c r="A50" s="1742" t="s">
        <v>185</v>
      </c>
      <c r="B50" s="1736" t="s">
        <v>188</v>
      </c>
      <c r="C50" s="1736" t="s">
        <v>186</v>
      </c>
      <c r="D50" s="1736" t="s">
        <v>189</v>
      </c>
      <c r="J50" s="1703"/>
      <c r="K50" s="1703"/>
      <c r="L50" s="1703"/>
      <c r="M50" s="1703"/>
      <c r="O50" s="1703"/>
    </row>
    <row r="51" spans="1:15" s="1644" customFormat="1" x14ac:dyDescent="0.2">
      <c r="A51" s="1742">
        <v>2006</v>
      </c>
      <c r="B51" s="1703" t="s">
        <v>195</v>
      </c>
      <c r="C51" s="1703" t="s">
        <v>195</v>
      </c>
      <c r="D51" s="1745" t="str">
        <f t="shared" ref="D51:D61" si="10">IF(ISERROR(C51/B51),"-",(C51/B51))</f>
        <v>-</v>
      </c>
      <c r="J51" s="1703"/>
      <c r="K51" s="1703"/>
      <c r="L51" s="1703"/>
      <c r="M51" s="1703"/>
      <c r="O51" s="1703"/>
    </row>
    <row r="52" spans="1:15" s="1644" customFormat="1" x14ac:dyDescent="0.2">
      <c r="A52" s="1742">
        <v>2007</v>
      </c>
      <c r="B52" s="1703" t="s">
        <v>195</v>
      </c>
      <c r="C52" s="1703" t="s">
        <v>195</v>
      </c>
      <c r="D52" s="1745" t="str">
        <f t="shared" si="10"/>
        <v>-</v>
      </c>
      <c r="J52" s="1703"/>
      <c r="K52" s="1703"/>
      <c r="L52" s="1703"/>
      <c r="M52" s="1703"/>
      <c r="O52" s="1703"/>
    </row>
    <row r="53" spans="1:15" s="1644" customFormat="1" x14ac:dyDescent="0.2">
      <c r="A53" s="1742">
        <v>2008</v>
      </c>
      <c r="B53" s="1703" t="s">
        <v>195</v>
      </c>
      <c r="C53" s="1703" t="s">
        <v>195</v>
      </c>
      <c r="D53" s="1745" t="str">
        <f t="shared" si="10"/>
        <v>-</v>
      </c>
      <c r="J53" s="1703"/>
      <c r="K53" s="1703"/>
      <c r="L53" s="1703"/>
      <c r="M53" s="1703"/>
      <c r="O53" s="1703"/>
    </row>
    <row r="54" spans="1:15" s="1644" customFormat="1" x14ac:dyDescent="0.2">
      <c r="A54" s="1742">
        <v>2009</v>
      </c>
      <c r="B54" s="1703" t="s">
        <v>195</v>
      </c>
      <c r="C54" s="1703" t="s">
        <v>195</v>
      </c>
      <c r="D54" s="1745" t="str">
        <f t="shared" si="10"/>
        <v>-</v>
      </c>
      <c r="J54" s="1703"/>
      <c r="K54" s="1703"/>
      <c r="L54" s="1703"/>
      <c r="M54" s="1703"/>
      <c r="O54" s="1703"/>
    </row>
    <row r="55" spans="1:15" s="1644" customFormat="1" x14ac:dyDescent="0.2">
      <c r="A55" s="1742">
        <v>2010</v>
      </c>
      <c r="B55" s="1703" t="s">
        <v>195</v>
      </c>
      <c r="C55" s="1703" t="s">
        <v>195</v>
      </c>
      <c r="D55" s="1745" t="str">
        <f t="shared" si="10"/>
        <v>-</v>
      </c>
      <c r="J55" s="1703"/>
      <c r="K55" s="1703"/>
      <c r="L55" s="1703"/>
      <c r="M55" s="1703"/>
      <c r="O55" s="1703"/>
    </row>
    <row r="56" spans="1:15" s="1644" customFormat="1" x14ac:dyDescent="0.2">
      <c r="A56" s="1742">
        <v>2011</v>
      </c>
      <c r="B56" s="1703" t="s">
        <v>195</v>
      </c>
      <c r="C56" s="1703" t="s">
        <v>195</v>
      </c>
      <c r="D56" s="1745" t="str">
        <f t="shared" si="10"/>
        <v>-</v>
      </c>
      <c r="J56" s="1703"/>
      <c r="K56" s="1703"/>
      <c r="L56" s="1703"/>
      <c r="M56" s="1703"/>
      <c r="O56" s="1703"/>
    </row>
    <row r="57" spans="1:15" s="1644" customFormat="1" x14ac:dyDescent="0.2">
      <c r="A57" s="1742" t="s">
        <v>319</v>
      </c>
      <c r="B57" s="1761">
        <f>H28</f>
        <v>27</v>
      </c>
      <c r="C57" s="1745">
        <f>I28</f>
        <v>9</v>
      </c>
      <c r="D57" s="1741">
        <f t="shared" si="10"/>
        <v>0.33333333333333331</v>
      </c>
      <c r="J57" s="1703"/>
      <c r="K57" s="1703"/>
      <c r="L57" s="1703"/>
      <c r="M57" s="1703"/>
      <c r="O57" s="1703"/>
    </row>
    <row r="58" spans="1:15" s="1644" customFormat="1" x14ac:dyDescent="0.2">
      <c r="A58" s="1742" t="s">
        <v>318</v>
      </c>
      <c r="B58" s="1761">
        <f>H28</f>
        <v>27</v>
      </c>
      <c r="C58" s="1794">
        <f>J28</f>
        <v>8.9999999999999982</v>
      </c>
      <c r="D58" s="1741">
        <f t="shared" si="10"/>
        <v>0.33333333333333326</v>
      </c>
      <c r="J58" s="1703"/>
      <c r="K58" s="1703"/>
      <c r="L58" s="1703"/>
      <c r="M58" s="1703"/>
      <c r="O58" s="1703"/>
    </row>
    <row r="59" spans="1:15" s="1644" customFormat="1" x14ac:dyDescent="0.2">
      <c r="A59" s="1742">
        <v>2013</v>
      </c>
      <c r="B59" s="1761">
        <f>K28</f>
        <v>21</v>
      </c>
      <c r="C59" s="1794" t="s">
        <v>187</v>
      </c>
      <c r="D59" s="1741" t="str">
        <f t="shared" si="10"/>
        <v>-</v>
      </c>
      <c r="J59" s="1703"/>
      <c r="K59" s="1703"/>
      <c r="L59" s="1703"/>
      <c r="M59" s="1703"/>
      <c r="O59" s="1703"/>
    </row>
    <row r="60" spans="1:15" s="1644" customFormat="1" x14ac:dyDescent="0.2">
      <c r="A60" s="1742">
        <v>2014</v>
      </c>
      <c r="B60" s="1761">
        <f>L28</f>
        <v>25</v>
      </c>
      <c r="C60" s="1794" t="s">
        <v>187</v>
      </c>
      <c r="D60" s="1741" t="str">
        <f t="shared" si="10"/>
        <v>-</v>
      </c>
      <c r="J60" s="1703"/>
      <c r="K60" s="1703"/>
      <c r="L60" s="1703"/>
      <c r="M60" s="1703"/>
      <c r="O60" s="1703"/>
    </row>
    <row r="61" spans="1:15" s="1644" customFormat="1" x14ac:dyDescent="0.2">
      <c r="A61" s="1742">
        <v>2015</v>
      </c>
      <c r="B61" s="1761">
        <f>M28</f>
        <v>31</v>
      </c>
      <c r="C61" s="1794" t="s">
        <v>187</v>
      </c>
      <c r="D61" s="1741" t="str">
        <f t="shared" si="10"/>
        <v>-</v>
      </c>
      <c r="J61" s="1703"/>
      <c r="K61" s="1703"/>
      <c r="L61" s="1703"/>
      <c r="M61" s="1703"/>
      <c r="O61" s="1703"/>
    </row>
    <row r="62" spans="1:15" s="1644" customFormat="1" x14ac:dyDescent="0.2">
      <c r="J62" s="1703"/>
      <c r="K62" s="1703"/>
      <c r="L62" s="1703"/>
      <c r="M62" s="1703"/>
      <c r="O62" s="1703"/>
    </row>
    <row r="63" spans="1:15" s="1644" customFormat="1" x14ac:dyDescent="0.2">
      <c r="A63" s="1743" t="s">
        <v>191</v>
      </c>
      <c r="J63" s="1703"/>
      <c r="K63" s="1703"/>
      <c r="L63" s="1703"/>
      <c r="M63" s="1703"/>
      <c r="O63" s="1703"/>
    </row>
    <row r="64" spans="1:15" s="1644" customFormat="1" x14ac:dyDescent="0.2">
      <c r="A64" s="1742" t="s">
        <v>185</v>
      </c>
      <c r="B64" s="1736" t="s">
        <v>188</v>
      </c>
      <c r="C64" s="1736" t="s">
        <v>186</v>
      </c>
      <c r="D64" s="1736" t="s">
        <v>189</v>
      </c>
      <c r="J64" s="1703"/>
      <c r="K64" s="1703"/>
      <c r="L64" s="1703"/>
      <c r="M64" s="1703"/>
      <c r="O64" s="1703"/>
    </row>
    <row r="65" spans="1:15" s="1644" customFormat="1" x14ac:dyDescent="0.2">
      <c r="A65" s="1742">
        <v>2006</v>
      </c>
      <c r="B65" s="1703" t="s">
        <v>195</v>
      </c>
      <c r="C65" s="1703" t="s">
        <v>195</v>
      </c>
      <c r="D65" s="1745" t="str">
        <f t="shared" ref="D65:D75" si="11">IF(ISERROR(C65/B65),"-",(C65/B65))</f>
        <v>-</v>
      </c>
      <c r="J65" s="1703"/>
      <c r="K65" s="1703"/>
      <c r="L65" s="1703"/>
      <c r="M65" s="1703"/>
      <c r="O65" s="1703"/>
    </row>
    <row r="66" spans="1:15" s="1644" customFormat="1" x14ac:dyDescent="0.2">
      <c r="A66" s="1742">
        <v>2007</v>
      </c>
      <c r="B66" s="1703" t="s">
        <v>195</v>
      </c>
      <c r="C66" s="1703" t="s">
        <v>195</v>
      </c>
      <c r="D66" s="1745" t="str">
        <f t="shared" si="11"/>
        <v>-</v>
      </c>
      <c r="J66" s="1703"/>
      <c r="K66" s="1703"/>
      <c r="L66" s="1703"/>
      <c r="M66" s="1703"/>
      <c r="O66" s="1703"/>
    </row>
    <row r="67" spans="1:15" s="1644" customFormat="1" x14ac:dyDescent="0.2">
      <c r="A67" s="1742">
        <v>2008</v>
      </c>
      <c r="B67" s="1703" t="s">
        <v>195</v>
      </c>
      <c r="C67" s="1703" t="s">
        <v>195</v>
      </c>
      <c r="D67" s="1745" t="str">
        <f t="shared" si="11"/>
        <v>-</v>
      </c>
      <c r="J67" s="1703"/>
      <c r="K67" s="1703"/>
      <c r="L67" s="1703"/>
      <c r="M67" s="1703"/>
      <c r="O67" s="1703"/>
    </row>
    <row r="68" spans="1:15" s="1644" customFormat="1" x14ac:dyDescent="0.2">
      <c r="A68" s="1742">
        <v>2009</v>
      </c>
      <c r="B68" s="1703" t="s">
        <v>195</v>
      </c>
      <c r="C68" s="1703" t="s">
        <v>195</v>
      </c>
      <c r="D68" s="1745" t="str">
        <f t="shared" si="11"/>
        <v>-</v>
      </c>
      <c r="J68" s="1703"/>
      <c r="K68" s="1703"/>
      <c r="L68" s="1703"/>
      <c r="M68" s="1703"/>
      <c r="O68" s="1703"/>
    </row>
    <row r="69" spans="1:15" s="1644" customFormat="1" x14ac:dyDescent="0.2">
      <c r="A69" s="1742">
        <v>2010</v>
      </c>
      <c r="B69" s="1703" t="s">
        <v>195</v>
      </c>
      <c r="C69" s="1703" t="s">
        <v>195</v>
      </c>
      <c r="D69" s="1745" t="str">
        <f t="shared" si="11"/>
        <v>-</v>
      </c>
      <c r="J69" s="1703"/>
      <c r="K69" s="1703"/>
      <c r="L69" s="1703"/>
      <c r="M69" s="1703"/>
      <c r="O69" s="1703"/>
    </row>
    <row r="70" spans="1:15" s="1644" customFormat="1" x14ac:dyDescent="0.2">
      <c r="A70" s="1742">
        <v>2011</v>
      </c>
      <c r="B70" s="1703" t="s">
        <v>195</v>
      </c>
      <c r="C70" s="1703" t="s">
        <v>195</v>
      </c>
      <c r="D70" s="1745" t="str">
        <f t="shared" si="11"/>
        <v>-</v>
      </c>
      <c r="J70" s="1703"/>
      <c r="K70" s="1703"/>
      <c r="L70" s="1703"/>
      <c r="M70" s="1703"/>
      <c r="O70" s="1703"/>
    </row>
    <row r="71" spans="1:15" s="1644" customFormat="1" x14ac:dyDescent="0.2">
      <c r="A71" s="1742" t="s">
        <v>319</v>
      </c>
      <c r="B71" s="1795">
        <f>H20</f>
        <v>78912</v>
      </c>
      <c r="C71" s="1777">
        <f>I20</f>
        <v>1830</v>
      </c>
      <c r="D71" s="1745">
        <f t="shared" si="11"/>
        <v>2.3190389294403892E-2</v>
      </c>
      <c r="J71" s="1703"/>
      <c r="K71" s="1703"/>
      <c r="L71" s="1703"/>
      <c r="M71" s="1703"/>
      <c r="O71" s="1703"/>
    </row>
    <row r="72" spans="1:15" s="1644" customFormat="1" x14ac:dyDescent="0.2">
      <c r="A72" s="1742" t="s">
        <v>318</v>
      </c>
      <c r="B72" s="1795">
        <f>B71</f>
        <v>78912</v>
      </c>
      <c r="C72" s="1777">
        <f>J20</f>
        <v>22913.499715294558</v>
      </c>
      <c r="D72" s="1788">
        <f t="shared" si="11"/>
        <v>0.29036774781141728</v>
      </c>
      <c r="J72" s="1703"/>
      <c r="K72" s="1703"/>
      <c r="L72" s="1703"/>
      <c r="M72" s="1703"/>
      <c r="O72" s="1703"/>
    </row>
    <row r="73" spans="1:15" s="1644" customFormat="1" x14ac:dyDescent="0.2">
      <c r="A73" s="1742">
        <v>2013</v>
      </c>
      <c r="B73" s="1795">
        <f>K20</f>
        <v>80864.230850060383</v>
      </c>
      <c r="C73" s="1741" t="s">
        <v>187</v>
      </c>
      <c r="D73" s="1788" t="str">
        <f t="shared" si="11"/>
        <v>-</v>
      </c>
      <c r="J73" s="1703"/>
      <c r="K73" s="1703"/>
      <c r="L73" s="1703"/>
      <c r="M73" s="1703"/>
      <c r="O73" s="1703"/>
    </row>
    <row r="74" spans="1:15" s="1644" customFormat="1" x14ac:dyDescent="0.2">
      <c r="A74" s="1742">
        <v>2014</v>
      </c>
      <c r="B74" s="1795">
        <f>L20</f>
        <v>95229.797427612066</v>
      </c>
      <c r="C74" s="1741" t="s">
        <v>187</v>
      </c>
      <c r="D74" s="1788" t="str">
        <f t="shared" si="11"/>
        <v>-</v>
      </c>
      <c r="J74" s="1703"/>
      <c r="K74" s="1703"/>
      <c r="L74" s="1703"/>
      <c r="M74" s="1703"/>
      <c r="O74" s="1703"/>
    </row>
    <row r="75" spans="1:15" s="1644" customFormat="1" x14ac:dyDescent="0.2">
      <c r="A75" s="1742">
        <v>2015</v>
      </c>
      <c r="B75" s="1795">
        <f>M20</f>
        <v>117160.18219620183</v>
      </c>
      <c r="C75" s="1741" t="s">
        <v>187</v>
      </c>
      <c r="D75" s="1788" t="str">
        <f t="shared" si="11"/>
        <v>-</v>
      </c>
      <c r="J75" s="1703"/>
      <c r="K75" s="1703"/>
      <c r="L75" s="1703"/>
      <c r="M75" s="1703"/>
      <c r="O75" s="1703"/>
    </row>
    <row r="76" spans="1:15" x14ac:dyDescent="0.2">
      <c r="A76" s="1742"/>
      <c r="H76" s="1644"/>
      <c r="I76" s="1644"/>
      <c r="J76" s="1703"/>
      <c r="K76" s="1703"/>
      <c r="L76" s="1703"/>
      <c r="M76" s="1703"/>
    </row>
    <row r="77" spans="1:15" x14ac:dyDescent="0.2">
      <c r="A77" s="1743" t="s">
        <v>190</v>
      </c>
      <c r="H77" s="1644"/>
      <c r="I77" s="1644"/>
      <c r="J77" s="1703"/>
      <c r="K77" s="1703"/>
      <c r="L77" s="1703"/>
      <c r="M77" s="1703"/>
    </row>
    <row r="78" spans="1:15" x14ac:dyDescent="0.2">
      <c r="A78" s="1742" t="s">
        <v>185</v>
      </c>
      <c r="B78" s="1736" t="s">
        <v>188</v>
      </c>
      <c r="C78" s="1736" t="s">
        <v>186</v>
      </c>
      <c r="D78" s="1736" t="s">
        <v>189</v>
      </c>
      <c r="H78" s="1644"/>
      <c r="I78" s="1644"/>
      <c r="J78" s="1703"/>
      <c r="K78" s="1703"/>
      <c r="L78" s="1703"/>
      <c r="M78" s="1703"/>
    </row>
    <row r="79" spans="1:15" x14ac:dyDescent="0.2">
      <c r="A79" s="1742">
        <v>2006</v>
      </c>
      <c r="B79" s="1703" t="s">
        <v>195</v>
      </c>
      <c r="C79" s="1703" t="s">
        <v>195</v>
      </c>
      <c r="D79" s="1745" t="str">
        <f t="shared" ref="D79:D89" si="12">IF(ISERROR(C79/B79),"-",(C79/B79))</f>
        <v>-</v>
      </c>
      <c r="H79" s="1644"/>
      <c r="I79" s="1644"/>
      <c r="J79" s="1703"/>
      <c r="K79" s="1703"/>
      <c r="L79" s="1703"/>
      <c r="M79" s="1703"/>
    </row>
    <row r="80" spans="1:15" x14ac:dyDescent="0.2">
      <c r="A80" s="1742">
        <v>2007</v>
      </c>
      <c r="B80" s="1703" t="s">
        <v>195</v>
      </c>
      <c r="C80" s="1703" t="s">
        <v>195</v>
      </c>
      <c r="D80" s="1745" t="str">
        <f t="shared" si="12"/>
        <v>-</v>
      </c>
      <c r="H80" s="1644"/>
      <c r="I80" s="1644"/>
      <c r="J80" s="1703"/>
      <c r="K80" s="1703"/>
      <c r="L80" s="1703"/>
      <c r="M80" s="1703"/>
    </row>
    <row r="81" spans="1:13" x14ac:dyDescent="0.2">
      <c r="A81" s="1742">
        <v>2008</v>
      </c>
      <c r="B81" s="1703" t="s">
        <v>195</v>
      </c>
      <c r="C81" s="1703" t="s">
        <v>195</v>
      </c>
      <c r="D81" s="1745" t="str">
        <f t="shared" si="12"/>
        <v>-</v>
      </c>
      <c r="H81" s="1644"/>
      <c r="I81" s="1644"/>
      <c r="J81" s="1703"/>
      <c r="K81" s="1703"/>
      <c r="L81" s="1703"/>
      <c r="M81" s="1703"/>
    </row>
    <row r="82" spans="1:13" x14ac:dyDescent="0.2">
      <c r="A82" s="1742">
        <v>2009</v>
      </c>
      <c r="B82" s="1703" t="s">
        <v>195</v>
      </c>
      <c r="C82" s="1703" t="s">
        <v>195</v>
      </c>
      <c r="D82" s="1745" t="str">
        <f t="shared" si="12"/>
        <v>-</v>
      </c>
      <c r="H82" s="1644"/>
      <c r="I82" s="1644"/>
      <c r="J82" s="1703"/>
      <c r="K82" s="1703"/>
      <c r="L82" s="1703"/>
      <c r="M82" s="1703"/>
    </row>
    <row r="83" spans="1:13" x14ac:dyDescent="0.2">
      <c r="A83" s="1742">
        <v>2010</v>
      </c>
      <c r="B83" s="1703" t="s">
        <v>195</v>
      </c>
      <c r="C83" s="1703" t="s">
        <v>195</v>
      </c>
      <c r="D83" s="1745" t="str">
        <f t="shared" si="12"/>
        <v>-</v>
      </c>
      <c r="H83" s="1644"/>
      <c r="I83" s="1644"/>
      <c r="J83" s="1703"/>
      <c r="K83" s="1703"/>
      <c r="L83" s="1703"/>
      <c r="M83" s="1703"/>
    </row>
    <row r="84" spans="1:13" x14ac:dyDescent="0.2">
      <c r="A84" s="1742">
        <v>2011</v>
      </c>
      <c r="B84" s="1703" t="s">
        <v>195</v>
      </c>
      <c r="C84" s="1703" t="s">
        <v>195</v>
      </c>
      <c r="D84" s="1745" t="str">
        <f t="shared" si="12"/>
        <v>-</v>
      </c>
      <c r="H84" s="1644"/>
      <c r="I84" s="1644"/>
      <c r="J84" s="1703"/>
      <c r="K84" s="1703"/>
      <c r="L84" s="1703"/>
      <c r="M84" s="1703"/>
    </row>
    <row r="85" spans="1:13" x14ac:dyDescent="0.2">
      <c r="A85" s="1742" t="s">
        <v>319</v>
      </c>
      <c r="B85" s="1777">
        <f>H21</f>
        <v>907700</v>
      </c>
      <c r="C85" s="1777">
        <f>I21</f>
        <v>24737</v>
      </c>
      <c r="D85" s="1745">
        <f t="shared" si="12"/>
        <v>2.7252396166134184E-2</v>
      </c>
      <c r="H85" s="1644"/>
      <c r="I85" s="1644"/>
      <c r="J85" s="1703"/>
      <c r="K85" s="1703"/>
      <c r="L85" s="1703"/>
      <c r="M85" s="1703"/>
    </row>
    <row r="86" spans="1:13" x14ac:dyDescent="0.2">
      <c r="A86" s="1742" t="s">
        <v>318</v>
      </c>
      <c r="B86" s="1777">
        <f>B85</f>
        <v>907700</v>
      </c>
      <c r="C86" s="1777">
        <f>J21</f>
        <v>309732.91937554174</v>
      </c>
      <c r="D86" s="1793">
        <f t="shared" si="12"/>
        <v>0.34122829059771043</v>
      </c>
      <c r="H86" s="1644"/>
      <c r="I86" s="1644"/>
      <c r="J86" s="1698"/>
      <c r="K86" s="1698"/>
      <c r="L86" s="1698"/>
      <c r="M86" s="1698"/>
    </row>
    <row r="87" spans="1:13" x14ac:dyDescent="0.2">
      <c r="A87" s="1742">
        <v>2013</v>
      </c>
      <c r="B87" s="1777">
        <f>K21</f>
        <v>910290.09103822033</v>
      </c>
      <c r="C87" s="1703" t="s">
        <v>187</v>
      </c>
      <c r="D87" s="1793" t="str">
        <f t="shared" si="12"/>
        <v>-</v>
      </c>
      <c r="E87" s="1742"/>
      <c r="H87" s="1644"/>
      <c r="I87" s="1644"/>
    </row>
    <row r="88" spans="1:13" x14ac:dyDescent="0.2">
      <c r="A88" s="1742">
        <v>2014</v>
      </c>
      <c r="B88" s="1777">
        <f>L21</f>
        <v>1072003.5305927545</v>
      </c>
      <c r="C88" s="1703" t="s">
        <v>187</v>
      </c>
      <c r="D88" s="1793" t="str">
        <f t="shared" si="12"/>
        <v>-</v>
      </c>
      <c r="E88" s="1742"/>
      <c r="H88" s="1644"/>
      <c r="I88" s="1644"/>
    </row>
    <row r="89" spans="1:13" x14ac:dyDescent="0.2">
      <c r="A89" s="1742">
        <v>2015</v>
      </c>
      <c r="B89" s="1777">
        <f>M21</f>
        <v>1318874.2636430508</v>
      </c>
      <c r="C89" s="1703" t="s">
        <v>187</v>
      </c>
      <c r="D89" s="1793" t="str">
        <f t="shared" si="12"/>
        <v>-</v>
      </c>
      <c r="E89" s="1742"/>
      <c r="H89" s="1644"/>
      <c r="I89" s="1644"/>
    </row>
    <row r="90" spans="1:13" x14ac:dyDescent="0.2">
      <c r="H90" s="1644"/>
      <c r="I90" s="1644"/>
    </row>
    <row r="91" spans="1:13" x14ac:dyDescent="0.2">
      <c r="H91" s="1644"/>
      <c r="I91" s="1644"/>
    </row>
    <row r="92" spans="1:13" x14ac:dyDescent="0.2">
      <c r="H92" s="1644"/>
      <c r="I92" s="1644"/>
    </row>
    <row r="93" spans="1:13" x14ac:dyDescent="0.2">
      <c r="H93" s="1644"/>
      <c r="I93" s="1644"/>
    </row>
    <row r="94" spans="1:13" x14ac:dyDescent="0.2">
      <c r="H94" s="1644"/>
      <c r="I94" s="1644"/>
    </row>
    <row r="95" spans="1:13" x14ac:dyDescent="0.2">
      <c r="H95" s="1644"/>
      <c r="I95" s="1644"/>
    </row>
    <row r="96" spans="1:13" x14ac:dyDescent="0.2">
      <c r="H96" s="1644"/>
      <c r="I96" s="1644"/>
    </row>
    <row r="97" spans="8:9" x14ac:dyDescent="0.2">
      <c r="H97" s="1644"/>
      <c r="I97" s="1644"/>
    </row>
    <row r="98" spans="8:9" x14ac:dyDescent="0.2">
      <c r="H98" s="1644"/>
      <c r="I98" s="1644"/>
    </row>
    <row r="99" spans="8:9" x14ac:dyDescent="0.2">
      <c r="H99" s="1644"/>
      <c r="I99" s="1644"/>
    </row>
    <row r="100" spans="8:9" x14ac:dyDescent="0.2">
      <c r="H100" s="1644"/>
      <c r="I100" s="1644"/>
    </row>
    <row r="101" spans="8:9" x14ac:dyDescent="0.2">
      <c r="H101" s="1644"/>
      <c r="I101" s="1644"/>
    </row>
    <row r="102" spans="8:9" x14ac:dyDescent="0.2">
      <c r="H102" s="1644"/>
      <c r="I102" s="1644"/>
    </row>
    <row r="103" spans="8:9" x14ac:dyDescent="0.2">
      <c r="H103" s="1644"/>
      <c r="I103" s="1644"/>
    </row>
    <row r="104" spans="8:9" x14ac:dyDescent="0.2">
      <c r="H104" s="1644"/>
      <c r="I104" s="1644"/>
    </row>
    <row r="105" spans="8:9" x14ac:dyDescent="0.2">
      <c r="H105" s="1644"/>
      <c r="I105" s="1644"/>
    </row>
    <row r="106" spans="8:9" x14ac:dyDescent="0.2">
      <c r="H106" s="1644"/>
      <c r="I106" s="1644"/>
    </row>
    <row r="107" spans="8:9" x14ac:dyDescent="0.2">
      <c r="H107" s="1644"/>
      <c r="I107" s="1644"/>
    </row>
    <row r="108" spans="8:9" x14ac:dyDescent="0.2">
      <c r="H108" s="1644"/>
      <c r="I108" s="1644"/>
    </row>
    <row r="109" spans="8:9" x14ac:dyDescent="0.2">
      <c r="H109" s="1644"/>
      <c r="I109" s="1644"/>
    </row>
    <row r="110" spans="8:9" x14ac:dyDescent="0.2">
      <c r="H110" s="1644"/>
      <c r="I110" s="1644"/>
    </row>
    <row r="111" spans="8:9" x14ac:dyDescent="0.2">
      <c r="H111" s="1644"/>
      <c r="I111" s="1644"/>
    </row>
    <row r="112" spans="8:9" x14ac:dyDescent="0.2">
      <c r="H112" s="1644"/>
      <c r="I112" s="1644"/>
    </row>
    <row r="113" spans="8:9" x14ac:dyDescent="0.2">
      <c r="H113" s="1644"/>
      <c r="I113" s="1644"/>
    </row>
    <row r="114" spans="8:9" x14ac:dyDescent="0.2">
      <c r="H114" s="1644"/>
      <c r="I114" s="1644"/>
    </row>
    <row r="115" spans="8:9" x14ac:dyDescent="0.2">
      <c r="H115" s="1644"/>
      <c r="I115" s="1644"/>
    </row>
    <row r="116" spans="8:9" x14ac:dyDescent="0.2">
      <c r="H116" s="1644"/>
      <c r="I116" s="1644"/>
    </row>
    <row r="117" spans="8:9" ht="11.25" x14ac:dyDescent="0.2">
      <c r="H117" s="1635"/>
      <c r="I117" s="1635"/>
    </row>
    <row r="118" spans="8:9" ht="11.25" x14ac:dyDescent="0.2">
      <c r="H118" s="1635"/>
      <c r="I118" s="1635"/>
    </row>
  </sheetData>
  <mergeCells count="1">
    <mergeCell ref="A1:O1"/>
  </mergeCells>
  <pageMargins left="0.98" right="0.75" top="1.1499999999999999" bottom="1" header="0.5" footer="0.5"/>
  <pageSetup scale="48" orientation="portrait" r:id="rId1"/>
  <headerFooter alignWithMargins="0">
    <oddFooter>&amp;C&amp;1#&amp;"Calibri"&amp;12&amp;K008000Internal Use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FFCC99"/>
  </sheetPr>
  <dimension ref="A1:U42"/>
  <sheetViews>
    <sheetView topLeftCell="A7" workbookViewId="0">
      <selection activeCell="C32" sqref="C32"/>
    </sheetView>
  </sheetViews>
  <sheetFormatPr defaultRowHeight="12.75" x14ac:dyDescent="0.2"/>
  <cols>
    <col min="1" max="1" width="27.5703125" bestFit="1" customWidth="1"/>
    <col min="3" max="3" width="10.85546875" bestFit="1" customWidth="1"/>
    <col min="4" max="4" width="10.5703125" bestFit="1" customWidth="1"/>
    <col min="5" max="5" width="13.140625" bestFit="1" customWidth="1"/>
  </cols>
  <sheetData>
    <row r="1" spans="1:5" ht="15" x14ac:dyDescent="0.25">
      <c r="A1" s="2855" t="s">
        <v>468</v>
      </c>
      <c r="B1" s="2855"/>
      <c r="C1" s="2855"/>
      <c r="D1" s="2855"/>
      <c r="E1" s="2855"/>
    </row>
    <row r="26" spans="1:21" ht="44.25" customHeight="1" x14ac:dyDescent="0.2">
      <c r="F26" s="206"/>
      <c r="G26" s="206"/>
      <c r="H26" s="53"/>
      <c r="I26" s="49"/>
      <c r="O26" s="15"/>
      <c r="P26" s="15"/>
      <c r="Q26" s="13"/>
      <c r="R26" s="13"/>
      <c r="S26" s="44"/>
      <c r="T26" s="25"/>
      <c r="U26" s="13"/>
    </row>
    <row r="27" spans="1:21" ht="38.25" x14ac:dyDescent="0.2">
      <c r="A27" s="209" t="s">
        <v>20</v>
      </c>
      <c r="B27" s="209"/>
      <c r="C27" s="209" t="s">
        <v>26</v>
      </c>
      <c r="D27" s="209" t="s">
        <v>57</v>
      </c>
      <c r="E27" s="209" t="s">
        <v>21</v>
      </c>
      <c r="F27" s="207"/>
      <c r="G27" s="207"/>
      <c r="H27" s="49"/>
      <c r="I27" s="49"/>
      <c r="O27" s="15"/>
      <c r="P27" s="15"/>
      <c r="Q27" s="13"/>
      <c r="R27" s="13"/>
      <c r="S27" s="44"/>
      <c r="T27" s="25"/>
      <c r="U27" s="13"/>
    </row>
    <row r="28" spans="1:21" x14ac:dyDescent="0.2">
      <c r="A28" s="176" t="s">
        <v>228</v>
      </c>
      <c r="B28" s="54"/>
      <c r="C28" s="55" t="e">
        <f>+'CNG Table A'!#REF!</f>
        <v>#REF!</v>
      </c>
      <c r="D28" s="56">
        <v>0.16893356448667923</v>
      </c>
      <c r="E28" s="57">
        <v>0.18872757655578001</v>
      </c>
      <c r="F28" s="207"/>
      <c r="G28" s="207"/>
      <c r="H28" s="49"/>
      <c r="I28" s="58"/>
      <c r="J28" s="32"/>
      <c r="K28" s="32"/>
      <c r="L28" s="32"/>
      <c r="M28" s="32"/>
      <c r="O28" s="15"/>
      <c r="P28" s="15"/>
      <c r="Q28" s="13"/>
      <c r="R28" s="13"/>
      <c r="S28" s="44"/>
      <c r="T28" s="25"/>
      <c r="U28" s="13"/>
    </row>
    <row r="29" spans="1:21" x14ac:dyDescent="0.2">
      <c r="A29" s="176" t="s">
        <v>229</v>
      </c>
      <c r="B29" s="54"/>
      <c r="C29" s="55" t="e">
        <f>+'CNG Table A'!#REF!-'CNG 2014 Table A Pie Charts'!C28</f>
        <v>#REF!</v>
      </c>
      <c r="D29" s="56">
        <v>0.39826499111263758</v>
      </c>
      <c r="E29" s="57">
        <v>0.44492985646806832</v>
      </c>
      <c r="F29" s="207"/>
      <c r="G29" s="207"/>
      <c r="H29" s="49"/>
      <c r="I29" s="49"/>
      <c r="O29" s="15"/>
      <c r="P29" s="15"/>
      <c r="Q29" s="13"/>
      <c r="R29" s="13"/>
      <c r="S29" s="44"/>
      <c r="T29" s="25"/>
      <c r="U29" s="13"/>
    </row>
    <row r="30" spans="1:21" x14ac:dyDescent="0.2">
      <c r="A30" s="108" t="s">
        <v>22</v>
      </c>
      <c r="B30" s="60"/>
      <c r="C30" s="61" t="e">
        <f>SUM(C28:C29)</f>
        <v>#REF!</v>
      </c>
      <c r="D30" s="62">
        <v>0.56719855559931687</v>
      </c>
      <c r="E30" s="62">
        <v>0.63365743302384836</v>
      </c>
      <c r="F30" s="207"/>
      <c r="G30" s="207"/>
      <c r="H30" s="65"/>
      <c r="I30" s="65"/>
      <c r="O30" s="13"/>
      <c r="P30" s="13"/>
      <c r="Q30" s="13"/>
      <c r="R30" s="13"/>
      <c r="S30" s="13"/>
      <c r="T30" s="13"/>
      <c r="U30" s="13"/>
    </row>
    <row r="31" spans="1:21" x14ac:dyDescent="0.2">
      <c r="A31" s="54"/>
      <c r="B31" s="54"/>
      <c r="C31" s="55"/>
      <c r="D31" s="56"/>
      <c r="E31" s="57"/>
      <c r="F31" s="207"/>
      <c r="G31" s="207"/>
      <c r="H31" s="65"/>
      <c r="I31" s="65"/>
      <c r="O31" s="13"/>
      <c r="P31" s="13"/>
      <c r="Q31" s="13"/>
      <c r="R31" s="13"/>
      <c r="S31" s="13"/>
      <c r="T31" s="13"/>
      <c r="U31" s="13"/>
    </row>
    <row r="32" spans="1:21" x14ac:dyDescent="0.2">
      <c r="A32" s="176" t="s">
        <v>56</v>
      </c>
      <c r="B32" s="54"/>
      <c r="C32" s="55" t="e">
        <f>+'CNG Table A'!#REF!</f>
        <v>#REF!</v>
      </c>
      <c r="D32" s="56">
        <v>0.32792004640715522</v>
      </c>
      <c r="E32" s="57">
        <v>0.36634256697615164</v>
      </c>
      <c r="F32" s="207"/>
      <c r="G32" s="207"/>
      <c r="H32" s="49"/>
      <c r="I32" s="50"/>
      <c r="O32" s="13"/>
      <c r="P32" s="13"/>
      <c r="Q32" s="13"/>
      <c r="R32" s="13"/>
      <c r="S32" s="13"/>
      <c r="T32" s="13"/>
      <c r="U32" s="13"/>
    </row>
    <row r="33" spans="1:9" x14ac:dyDescent="0.2">
      <c r="A33" s="108" t="s">
        <v>23</v>
      </c>
      <c r="B33" s="60"/>
      <c r="C33" s="61" t="e">
        <f>+C32</f>
        <v>#REF!</v>
      </c>
      <c r="D33" s="62">
        <v>0.32792004640715522</v>
      </c>
      <c r="E33" s="62">
        <v>0.36634256697615164</v>
      </c>
      <c r="F33" s="165"/>
      <c r="G33" s="165"/>
      <c r="H33" s="49"/>
      <c r="I33" s="50"/>
    </row>
    <row r="34" spans="1:9" x14ac:dyDescent="0.2">
      <c r="A34" s="49"/>
      <c r="B34" s="49"/>
      <c r="C34" s="49"/>
      <c r="D34" s="63"/>
      <c r="E34" s="63"/>
      <c r="F34" s="207"/>
      <c r="G34" s="208"/>
      <c r="H34" s="49"/>
      <c r="I34" s="50"/>
    </row>
    <row r="35" spans="1:9" x14ac:dyDescent="0.2">
      <c r="A35" s="108" t="s">
        <v>29</v>
      </c>
      <c r="B35" s="59"/>
      <c r="C35" s="61" t="e">
        <f>+C33+C30</f>
        <v>#REF!</v>
      </c>
      <c r="D35" s="62">
        <v>0.89511860200647209</v>
      </c>
      <c r="E35" s="62">
        <v>1</v>
      </c>
      <c r="F35" s="203"/>
      <c r="G35" s="203"/>
      <c r="H35" s="49"/>
      <c r="I35" s="137"/>
    </row>
    <row r="36" spans="1:9" s="34" customFormat="1" ht="15" customHeight="1" x14ac:dyDescent="0.2">
      <c r="A36" s="54"/>
      <c r="B36" s="54"/>
      <c r="C36" s="55"/>
      <c r="D36" s="57"/>
      <c r="E36" s="66"/>
      <c r="F36" s="68"/>
      <c r="G36" s="202"/>
      <c r="H36" s="51"/>
      <c r="I36" s="51"/>
    </row>
    <row r="37" spans="1:9" s="34" customFormat="1" ht="15" customHeight="1" x14ac:dyDescent="0.25">
      <c r="A37" s="177" t="s">
        <v>24</v>
      </c>
      <c r="B37" s="67"/>
      <c r="C37" s="68"/>
      <c r="D37" s="69"/>
      <c r="E37" s="51"/>
      <c r="F37" s="68"/>
      <c r="G37" s="202"/>
      <c r="H37" s="51"/>
      <c r="I37" s="51"/>
    </row>
    <row r="38" spans="1:9" s="34" customFormat="1" ht="15" customHeight="1" x14ac:dyDescent="0.2">
      <c r="A38" s="176" t="s">
        <v>24</v>
      </c>
      <c r="B38" s="54"/>
      <c r="C38" s="70" t="e">
        <f>+'CNG Table A'!#REF!</f>
        <v>#REF!</v>
      </c>
      <c r="D38" s="56">
        <v>0.1048813979935279</v>
      </c>
      <c r="E38" s="51"/>
      <c r="F38" s="68"/>
      <c r="G38" s="203"/>
      <c r="H38" s="51"/>
      <c r="I38" s="51"/>
    </row>
    <row r="39" spans="1:9" s="34" customFormat="1" x14ac:dyDescent="0.2">
      <c r="A39" s="108" t="s">
        <v>25</v>
      </c>
      <c r="B39" s="71"/>
      <c r="C39" s="72" t="e">
        <f>SUM(C38)</f>
        <v>#REF!</v>
      </c>
      <c r="D39" s="73">
        <v>0.1048813979935279</v>
      </c>
      <c r="E39" s="74"/>
      <c r="F39" s="204"/>
      <c r="G39" s="205"/>
      <c r="H39" s="51"/>
      <c r="I39" s="51"/>
    </row>
    <row r="40" spans="1:9" s="34" customFormat="1" x14ac:dyDescent="0.2">
      <c r="A40" s="75"/>
      <c r="B40" s="75"/>
      <c r="C40" s="76"/>
      <c r="D40" s="77"/>
      <c r="E40" s="78"/>
      <c r="F40" s="52"/>
      <c r="G40" s="52"/>
      <c r="H40" s="51"/>
      <c r="I40" s="51"/>
    </row>
    <row r="41" spans="1:9" s="37" customFormat="1" x14ac:dyDescent="0.2">
      <c r="A41" s="79" t="s">
        <v>16</v>
      </c>
      <c r="B41" s="79"/>
      <c r="C41" s="80" t="e">
        <f>C39+C35</f>
        <v>#REF!</v>
      </c>
      <c r="D41" s="57">
        <v>1</v>
      </c>
      <c r="E41" s="51"/>
      <c r="F41" s="201"/>
      <c r="G41" s="201"/>
    </row>
    <row r="42" spans="1:9" x14ac:dyDescent="0.2">
      <c r="A42" s="35"/>
      <c r="B42" s="35"/>
      <c r="C42" s="38"/>
      <c r="D42" s="30"/>
      <c r="E42" s="37"/>
    </row>
  </sheetData>
  <mergeCells count="1">
    <mergeCell ref="A1:E1"/>
  </mergeCells>
  <pageMargins left="0.7" right="0.7" top="0.75" bottom="0.75" header="0.3" footer="0.3"/>
  <pageSetup orientation="portrait" r:id="rId1"/>
  <headerFooter>
    <oddFooter>&amp;C&amp;1#&amp;"Calibri"&amp;12&amp;K008000Internal Use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indexed="34"/>
    <pageSetUpPr fitToPage="1"/>
  </sheetPr>
  <dimension ref="A1:N73"/>
  <sheetViews>
    <sheetView zoomScale="75" workbookViewId="0">
      <pane xSplit="2" ySplit="11" topLeftCell="G12" activePane="bottomRight" state="frozen"/>
      <selection activeCell="H14" sqref="H14"/>
      <selection pane="topRight" activeCell="H14" sqref="H14"/>
      <selection pane="bottomLeft" activeCell="H14" sqref="H14"/>
      <selection pane="bottomRight" activeCell="H13" sqref="H13"/>
    </sheetView>
  </sheetViews>
  <sheetFormatPr defaultRowHeight="12.75" x14ac:dyDescent="0.2"/>
  <cols>
    <col min="1" max="1" width="4.5703125" customWidth="1"/>
    <col min="2" max="2" width="60.7109375" customWidth="1"/>
    <col min="3" max="14" width="20.7109375" customWidth="1"/>
  </cols>
  <sheetData>
    <row r="1" spans="1:14" ht="23.25" x14ac:dyDescent="0.35">
      <c r="B1" s="501"/>
    </row>
    <row r="2" spans="1:14" ht="20.25" customHeight="1" x14ac:dyDescent="0.3">
      <c r="B2" s="2848" t="s">
        <v>75</v>
      </c>
      <c r="C2" s="2848"/>
      <c r="D2" s="2848"/>
      <c r="E2" s="2848"/>
      <c r="F2" s="2848"/>
      <c r="G2" s="2848"/>
      <c r="H2" s="2848"/>
      <c r="I2" s="2848"/>
      <c r="J2" s="2848"/>
      <c r="K2" s="2848"/>
      <c r="L2" s="2848"/>
      <c r="M2" s="2848"/>
      <c r="N2" s="2848"/>
    </row>
    <row r="3" spans="1:14" ht="20.25" customHeight="1" x14ac:dyDescent="0.3">
      <c r="A3" s="3"/>
      <c r="B3" s="2848" t="s">
        <v>61</v>
      </c>
      <c r="C3" s="2848"/>
      <c r="D3" s="2848"/>
      <c r="E3" s="2848"/>
      <c r="F3" s="2848"/>
      <c r="G3" s="2848"/>
      <c r="H3" s="2848"/>
      <c r="I3" s="2848"/>
      <c r="J3" s="2848"/>
      <c r="K3" s="2848"/>
      <c r="L3" s="2848"/>
      <c r="M3" s="2848"/>
      <c r="N3" s="2848"/>
    </row>
    <row r="4" spans="1:14" ht="20.25" customHeight="1" x14ac:dyDescent="0.3">
      <c r="A4" s="3"/>
      <c r="B4" s="2848" t="s">
        <v>439</v>
      </c>
      <c r="C4" s="2848"/>
      <c r="D4" s="2848"/>
      <c r="E4" s="2848"/>
      <c r="F4" s="2848"/>
      <c r="G4" s="2848"/>
      <c r="H4" s="2848"/>
      <c r="I4" s="2848"/>
      <c r="J4" s="2848"/>
      <c r="K4" s="2848"/>
      <c r="L4" s="2848"/>
      <c r="M4" s="2848"/>
      <c r="N4" s="2848"/>
    </row>
    <row r="5" spans="1:14" ht="20.25" customHeight="1" thickBot="1" x14ac:dyDescent="0.35">
      <c r="A5" s="3"/>
      <c r="B5" s="213"/>
      <c r="C5" s="502"/>
      <c r="D5" s="502"/>
    </row>
    <row r="6" spans="1:14" ht="22.5" customHeight="1" thickBot="1" x14ac:dyDescent="0.35">
      <c r="A6" s="5"/>
      <c r="B6" s="91"/>
      <c r="C6" s="2850">
        <v>2013</v>
      </c>
      <c r="D6" s="2851"/>
      <c r="E6" s="2851"/>
      <c r="F6" s="2852"/>
      <c r="G6" s="2850">
        <v>2014</v>
      </c>
      <c r="H6" s="2851"/>
      <c r="I6" s="2851"/>
      <c r="J6" s="2852"/>
      <c r="K6" s="2850">
        <v>2015</v>
      </c>
      <c r="L6" s="2851"/>
      <c r="M6" s="2851"/>
      <c r="N6" s="2852"/>
    </row>
    <row r="7" spans="1:14" s="6" customFormat="1" ht="17.25" customHeight="1" x14ac:dyDescent="0.25">
      <c r="A7" s="15"/>
      <c r="B7" s="92"/>
      <c r="C7" s="157">
        <v>2013</v>
      </c>
      <c r="D7" s="1891">
        <v>2013</v>
      </c>
      <c r="E7" s="159">
        <v>2013</v>
      </c>
      <c r="F7" s="160">
        <v>2013</v>
      </c>
      <c r="G7" s="157">
        <v>2014</v>
      </c>
      <c r="H7" s="158">
        <v>2014</v>
      </c>
      <c r="I7" s="159">
        <v>2014</v>
      </c>
      <c r="J7" s="160">
        <v>2014</v>
      </c>
      <c r="K7" s="157">
        <v>2015</v>
      </c>
      <c r="L7" s="158">
        <v>2015</v>
      </c>
      <c r="M7" s="159">
        <v>2015</v>
      </c>
      <c r="N7" s="160">
        <v>2015</v>
      </c>
    </row>
    <row r="8" spans="1:14" ht="17.25" customHeight="1" x14ac:dyDescent="0.25">
      <c r="A8" s="15"/>
      <c r="B8" s="93"/>
      <c r="C8" s="94" t="s">
        <v>36</v>
      </c>
      <c r="D8" s="1892" t="s">
        <v>37</v>
      </c>
      <c r="E8" s="153" t="s">
        <v>38</v>
      </c>
      <c r="F8" s="151" t="s">
        <v>39</v>
      </c>
      <c r="G8" s="94" t="s">
        <v>36</v>
      </c>
      <c r="H8" s="149" t="s">
        <v>37</v>
      </c>
      <c r="I8" s="153" t="s">
        <v>38</v>
      </c>
      <c r="J8" s="151" t="s">
        <v>39</v>
      </c>
      <c r="K8" s="94" t="s">
        <v>36</v>
      </c>
      <c r="L8" s="149" t="s">
        <v>37</v>
      </c>
      <c r="M8" s="153" t="s">
        <v>38</v>
      </c>
      <c r="N8" s="151" t="s">
        <v>39</v>
      </c>
    </row>
    <row r="9" spans="1:14" ht="16.5" customHeight="1" x14ac:dyDescent="0.25">
      <c r="A9" s="15"/>
      <c r="B9" s="95" t="s">
        <v>109</v>
      </c>
      <c r="C9" s="94" t="s">
        <v>186</v>
      </c>
      <c r="D9" s="1892" t="s">
        <v>186</v>
      </c>
      <c r="E9" s="153" t="s">
        <v>186</v>
      </c>
      <c r="F9" s="151" t="s">
        <v>40</v>
      </c>
      <c r="G9" s="94" t="s">
        <v>331</v>
      </c>
      <c r="H9" s="149" t="s">
        <v>331</v>
      </c>
      <c r="I9" s="153" t="s">
        <v>331</v>
      </c>
      <c r="J9" s="151" t="s">
        <v>40</v>
      </c>
      <c r="K9" s="94" t="s">
        <v>331</v>
      </c>
      <c r="L9" s="149" t="s">
        <v>331</v>
      </c>
      <c r="M9" s="153" t="s">
        <v>331</v>
      </c>
      <c r="N9" s="151" t="s">
        <v>40</v>
      </c>
    </row>
    <row r="10" spans="1:14" ht="38.25" customHeight="1" thickBot="1" x14ac:dyDescent="0.3">
      <c r="A10" s="15"/>
      <c r="B10" s="1602"/>
      <c r="C10" s="940" t="s">
        <v>474</v>
      </c>
      <c r="D10" s="1852" t="s">
        <v>474</v>
      </c>
      <c r="E10" s="1603" t="s">
        <v>474</v>
      </c>
      <c r="F10" s="1853" t="s">
        <v>475</v>
      </c>
      <c r="G10" s="940" t="s">
        <v>1</v>
      </c>
      <c r="H10" s="150" t="s">
        <v>1</v>
      </c>
      <c r="I10" s="1599" t="s">
        <v>1</v>
      </c>
      <c r="J10" s="1601" t="s">
        <v>1</v>
      </c>
      <c r="K10" s="940" t="s">
        <v>1</v>
      </c>
      <c r="L10" s="1893" t="s">
        <v>1</v>
      </c>
      <c r="M10" s="1599" t="s">
        <v>1</v>
      </c>
      <c r="N10" s="1601" t="s">
        <v>1</v>
      </c>
    </row>
    <row r="11" spans="1:14" s="13" customFormat="1" ht="17.25" customHeight="1" thickBot="1" x14ac:dyDescent="0.3">
      <c r="A11" s="15"/>
      <c r="B11" s="222" t="s">
        <v>115</v>
      </c>
      <c r="C11" s="3"/>
      <c r="D11" s="3"/>
      <c r="E11" s="3"/>
      <c r="F11"/>
      <c r="G11" s="3"/>
      <c r="H11" s="3"/>
      <c r="I11" s="3"/>
      <c r="J11"/>
      <c r="K11" s="3"/>
      <c r="L11" s="3"/>
      <c r="M11" s="3"/>
      <c r="N11"/>
    </row>
    <row r="12" spans="1:14" s="15" customFormat="1" ht="15" x14ac:dyDescent="0.2">
      <c r="A12" s="16" t="s">
        <v>3</v>
      </c>
      <c r="B12" s="156" t="s">
        <v>342</v>
      </c>
      <c r="C12" s="214">
        <f>'YGS Table A '!C12</f>
        <v>2429000</v>
      </c>
      <c r="D12" s="770" t="e">
        <f>'CNG Table A'!#REF!</f>
        <v>#REF!</v>
      </c>
      <c r="E12" s="771" t="e">
        <f>'SCG Table A'!#REF!</f>
        <v>#REF!</v>
      </c>
      <c r="F12" s="97" t="e">
        <f>SUM(C12:E12)</f>
        <v>#REF!</v>
      </c>
      <c r="G12" s="214">
        <f>'YGS Table A '!D12</f>
        <v>2545500</v>
      </c>
      <c r="H12" s="770" t="e">
        <f>'CNG Table A'!#REF!</f>
        <v>#REF!</v>
      </c>
      <c r="I12" s="771" t="e">
        <f>'SCG Table A'!#REF!</f>
        <v>#REF!</v>
      </c>
      <c r="J12" s="97" t="e">
        <f>SUM(G12:I12)</f>
        <v>#REF!</v>
      </c>
      <c r="K12" s="214">
        <f>'YGS Table A '!E12</f>
        <v>2662000</v>
      </c>
      <c r="L12" s="770" t="e">
        <f>'CNG Table A'!#REF!</f>
        <v>#REF!</v>
      </c>
      <c r="M12" s="771" t="e">
        <f>'SCG Table A'!#REF!</f>
        <v>#REF!</v>
      </c>
      <c r="N12" s="97" t="e">
        <f>SUM(K12:M12)</f>
        <v>#REF!</v>
      </c>
    </row>
    <row r="13" spans="1:14" s="3" customFormat="1" ht="15" x14ac:dyDescent="0.2">
      <c r="A13" s="16" t="s">
        <v>9</v>
      </c>
      <c r="B13" s="614" t="s">
        <v>149</v>
      </c>
      <c r="C13" s="464">
        <f>'YGS Table A '!C13</f>
        <v>3635000</v>
      </c>
      <c r="D13" s="763" t="e">
        <f>'CNG Table A'!#REF!</f>
        <v>#REF!</v>
      </c>
      <c r="E13" s="777" t="e">
        <f>'SCG Table A'!#REF!</f>
        <v>#REF!</v>
      </c>
      <c r="F13" s="765" t="e">
        <f>SUM(C13:E13)</f>
        <v>#REF!</v>
      </c>
      <c r="G13" s="464">
        <f>'YGS Table A '!D13</f>
        <v>4062000</v>
      </c>
      <c r="H13" s="763" t="e">
        <f>'CNG Table A'!#REF!</f>
        <v>#REF!</v>
      </c>
      <c r="I13" s="777" t="e">
        <f>'SCG Table A'!#REF!</f>
        <v>#REF!</v>
      </c>
      <c r="J13" s="765" t="e">
        <f>SUM(G13:I13)</f>
        <v>#REF!</v>
      </c>
      <c r="K13" s="464">
        <f>'YGS Table A '!E13</f>
        <v>4592000</v>
      </c>
      <c r="L13" s="763" t="e">
        <f>'CNG Table A'!#REF!</f>
        <v>#REF!</v>
      </c>
      <c r="M13" s="777" t="e">
        <f>'SCG Table A'!#REF!</f>
        <v>#REF!</v>
      </c>
      <c r="N13" s="765" t="e">
        <f>SUM(K13:M13)</f>
        <v>#REF!</v>
      </c>
    </row>
    <row r="14" spans="1:14" s="3" customFormat="1" ht="15" x14ac:dyDescent="0.2">
      <c r="A14" s="16"/>
      <c r="B14" s="614" t="s">
        <v>529</v>
      </c>
      <c r="C14" s="464"/>
      <c r="D14" s="763"/>
      <c r="E14" s="777"/>
      <c r="F14" s="765"/>
      <c r="G14" s="464"/>
      <c r="H14" s="763"/>
      <c r="I14" s="777" t="e">
        <f>'SCG Table A'!#REF!</f>
        <v>#REF!</v>
      </c>
      <c r="J14" s="765" t="e">
        <f>SUM(G14:I14)</f>
        <v>#REF!</v>
      </c>
      <c r="K14" s="464"/>
      <c r="L14" s="763"/>
      <c r="M14" s="777" t="e">
        <f>'SCG Table A'!#REF!</f>
        <v>#REF!</v>
      </c>
      <c r="N14" s="765" t="e">
        <f>SUM(K14:M14)</f>
        <v>#REF!</v>
      </c>
    </row>
    <row r="15" spans="1:14" s="3" customFormat="1" ht="15" x14ac:dyDescent="0.2">
      <c r="A15" s="16" t="s">
        <v>9</v>
      </c>
      <c r="B15" s="614" t="s">
        <v>227</v>
      </c>
      <c r="C15" s="465">
        <f>'YGS Table A '!C14</f>
        <v>650000</v>
      </c>
      <c r="D15" s="760" t="e">
        <f>'CNG Table A'!#REF!</f>
        <v>#REF!</v>
      </c>
      <c r="E15" s="772" t="e">
        <f>'SCG Table A'!#REF!</f>
        <v>#REF!</v>
      </c>
      <c r="F15" s="766" t="e">
        <f>SUM(C15:E15)</f>
        <v>#REF!</v>
      </c>
      <c r="G15" s="465">
        <f>'YGS Table A '!D14</f>
        <v>770000</v>
      </c>
      <c r="H15" s="760" t="e">
        <f>'CNG Table A'!#REF!</f>
        <v>#REF!</v>
      </c>
      <c r="I15" s="772" t="e">
        <f>'SCG Table A'!#REF!</f>
        <v>#REF!</v>
      </c>
      <c r="J15" s="766" t="e">
        <f>SUM(G15:I15)</f>
        <v>#REF!</v>
      </c>
      <c r="K15" s="465">
        <f>'YGS Table A '!E14</f>
        <v>939000</v>
      </c>
      <c r="L15" s="760" t="e">
        <f>'CNG Table A'!#REF!</f>
        <v>#REF!</v>
      </c>
      <c r="M15" s="772" t="e">
        <f>'SCG Table A'!#REF!</f>
        <v>#REF!</v>
      </c>
      <c r="N15" s="766" t="e">
        <f>SUM(K15:M15)</f>
        <v>#REF!</v>
      </c>
    </row>
    <row r="16" spans="1:14" s="3" customFormat="1" ht="15.75" thickBot="1" x14ac:dyDescent="0.25">
      <c r="A16" s="16" t="s">
        <v>9</v>
      </c>
      <c r="B16" s="615" t="s">
        <v>110</v>
      </c>
      <c r="C16" s="466">
        <f>'YGS Table A '!C15</f>
        <v>70000</v>
      </c>
      <c r="D16" s="773" t="e">
        <f>'CNG Table A'!#REF!</f>
        <v>#REF!</v>
      </c>
      <c r="E16" s="774" t="e">
        <f>'SCG Table A'!#REF!</f>
        <v>#REF!</v>
      </c>
      <c r="F16" s="767" t="e">
        <f>SUM(C16:E16)</f>
        <v>#REF!</v>
      </c>
      <c r="G16" s="466">
        <f>'YGS Table A '!D15</f>
        <v>83000</v>
      </c>
      <c r="H16" s="773" t="e">
        <f>'CNG Table A'!#REF!</f>
        <v>#REF!</v>
      </c>
      <c r="I16" s="774" t="e">
        <f>'SCG Table A'!#REF!</f>
        <v>#REF!</v>
      </c>
      <c r="J16" s="767" t="e">
        <f>SUM(G16:I16)</f>
        <v>#REF!</v>
      </c>
      <c r="K16" s="466">
        <f>'YGS Table A '!E15</f>
        <v>102000</v>
      </c>
      <c r="L16" s="773" t="e">
        <f>'CNG Table A'!#REF!</f>
        <v>#REF!</v>
      </c>
      <c r="M16" s="774" t="e">
        <f>'SCG Table A'!#REF!</f>
        <v>#REF!</v>
      </c>
      <c r="N16" s="767" t="e">
        <f>SUM(K16:M16)</f>
        <v>#REF!</v>
      </c>
    </row>
    <row r="17" spans="1:14" ht="16.5" thickBot="1" x14ac:dyDescent="0.3">
      <c r="A17" s="15"/>
      <c r="B17" s="233" t="s">
        <v>30</v>
      </c>
      <c r="C17" s="768">
        <f t="shared" ref="C17:N17" si="0">SUM(C12:C16)</f>
        <v>6784000</v>
      </c>
      <c r="D17" s="769" t="e">
        <f t="shared" si="0"/>
        <v>#REF!</v>
      </c>
      <c r="E17" s="489" t="e">
        <f t="shared" si="0"/>
        <v>#REF!</v>
      </c>
      <c r="F17" s="101" t="e">
        <f t="shared" si="0"/>
        <v>#REF!</v>
      </c>
      <c r="G17" s="768">
        <f t="shared" si="0"/>
        <v>7460500</v>
      </c>
      <c r="H17" s="769" t="e">
        <f t="shared" si="0"/>
        <v>#REF!</v>
      </c>
      <c r="I17" s="489" t="e">
        <f t="shared" si="0"/>
        <v>#REF!</v>
      </c>
      <c r="J17" s="101" t="e">
        <f t="shared" si="0"/>
        <v>#REF!</v>
      </c>
      <c r="K17" s="768">
        <f t="shared" si="0"/>
        <v>8295000</v>
      </c>
      <c r="L17" s="769" t="e">
        <f t="shared" si="0"/>
        <v>#REF!</v>
      </c>
      <c r="M17" s="489" t="e">
        <f t="shared" si="0"/>
        <v>#REF!</v>
      </c>
      <c r="N17" s="101" t="e">
        <f t="shared" si="0"/>
        <v>#REF!</v>
      </c>
    </row>
    <row r="18" spans="1:14" s="3" customFormat="1" ht="15.75" x14ac:dyDescent="0.25">
      <c r="A18" s="15"/>
      <c r="B18" s="164"/>
      <c r="C18" s="162"/>
      <c r="D18" s="162"/>
      <c r="E18" s="162"/>
      <c r="F18" s="161"/>
      <c r="G18" s="162"/>
      <c r="H18" s="162"/>
      <c r="I18" s="162"/>
      <c r="J18" s="161"/>
      <c r="K18" s="162"/>
      <c r="L18" s="162"/>
      <c r="M18" s="162"/>
      <c r="N18" s="161"/>
    </row>
    <row r="19" spans="1:14" s="3" customFormat="1" ht="15.75" x14ac:dyDescent="0.25">
      <c r="A19" s="13"/>
      <c r="B19" s="27" t="s">
        <v>6</v>
      </c>
    </row>
    <row r="20" spans="1:14" ht="17.25" customHeight="1" thickBot="1" x14ac:dyDescent="0.3">
      <c r="A20" s="13"/>
      <c r="B20" s="935" t="s">
        <v>111</v>
      </c>
    </row>
    <row r="21" spans="1:14" ht="15.75" thickBot="1" x14ac:dyDescent="0.25">
      <c r="A21" s="18" t="s">
        <v>10</v>
      </c>
      <c r="B21" s="179" t="s">
        <v>112</v>
      </c>
      <c r="C21" s="214">
        <f>'YGS Table A '!C20</f>
        <v>2009000</v>
      </c>
      <c r="D21" s="759" t="e">
        <f>'CNG Table A'!#REF!</f>
        <v>#REF!</v>
      </c>
      <c r="E21" s="467" t="e">
        <f>'SCG Table A'!#REF!</f>
        <v>#REF!</v>
      </c>
      <c r="F21" s="469" t="e">
        <f>C21+D21+E21</f>
        <v>#REF!</v>
      </c>
      <c r="G21" s="214">
        <f>'YGS Table A '!D20</f>
        <v>2402000</v>
      </c>
      <c r="H21" s="759" t="e">
        <f>'CNG Table A'!#REF!</f>
        <v>#REF!</v>
      </c>
      <c r="I21" s="467" t="e">
        <f>'SCG Table A'!#REF!</f>
        <v>#REF!</v>
      </c>
      <c r="J21" s="469" t="e">
        <f>G21+H21+I21</f>
        <v>#REF!</v>
      </c>
      <c r="K21" s="214">
        <f>'YGS Table A '!E20</f>
        <v>2944000</v>
      </c>
      <c r="L21" s="759" t="e">
        <f>'CNG Table A'!#REF!</f>
        <v>#REF!</v>
      </c>
      <c r="M21" s="467" t="e">
        <f>'SCG Table A'!#REF!</f>
        <v>#REF!</v>
      </c>
      <c r="N21" s="469" t="e">
        <f>K21+L21+M21</f>
        <v>#REF!</v>
      </c>
    </row>
    <row r="22" spans="1:14" s="163" customFormat="1" ht="16.5" thickBot="1" x14ac:dyDescent="0.3">
      <c r="A22" s="15"/>
      <c r="B22" s="227" t="s">
        <v>113</v>
      </c>
      <c r="C22" s="215">
        <f>SUM(C21)</f>
        <v>2009000</v>
      </c>
      <c r="D22" s="229" t="e">
        <f>SUM(D21)</f>
        <v>#REF!</v>
      </c>
      <c r="E22" s="215" t="e">
        <f>SUM(E21)</f>
        <v>#REF!</v>
      </c>
      <c r="F22" s="216" t="e">
        <f>SUM(C22:E22)</f>
        <v>#REF!</v>
      </c>
      <c r="G22" s="215">
        <f>SUM(G21)</f>
        <v>2402000</v>
      </c>
      <c r="H22" s="229" t="e">
        <f>SUM(H21)</f>
        <v>#REF!</v>
      </c>
      <c r="I22" s="215" t="e">
        <f>SUM(I21)</f>
        <v>#REF!</v>
      </c>
      <c r="J22" s="216" t="e">
        <f>SUM(G22:I22)</f>
        <v>#REF!</v>
      </c>
      <c r="K22" s="215">
        <f>SUM(K21)</f>
        <v>2944000</v>
      </c>
      <c r="L22" s="229" t="e">
        <f>SUM(L21)</f>
        <v>#REF!</v>
      </c>
      <c r="M22" s="215" t="e">
        <f>SUM(M21)</f>
        <v>#REF!</v>
      </c>
      <c r="N22" s="216" t="e">
        <f>SUM(K22:M22)</f>
        <v>#REF!</v>
      </c>
    </row>
    <row r="23" spans="1:14" s="163" customFormat="1" ht="16.5" thickBot="1" x14ac:dyDescent="0.3">
      <c r="A23" s="15"/>
      <c r="B23" s="27" t="s">
        <v>114</v>
      </c>
    </row>
    <row r="24" spans="1:14" ht="17.25" customHeight="1" x14ac:dyDescent="0.2">
      <c r="A24" s="18" t="s">
        <v>10</v>
      </c>
      <c r="B24" s="100" t="s">
        <v>116</v>
      </c>
      <c r="C24" s="214">
        <f>'YGS Table A '!C23</f>
        <v>1375000</v>
      </c>
      <c r="D24" s="770" t="e">
        <f>'CNG Table A'!#REF!</f>
        <v>#REF!</v>
      </c>
      <c r="E24" s="771" t="e">
        <f>'SCG Table A'!#REF!</f>
        <v>#REF!</v>
      </c>
      <c r="F24" s="97" t="e">
        <f>SUM(C24:E24)</f>
        <v>#REF!</v>
      </c>
      <c r="G24" s="214">
        <f>'YGS Table A '!D23</f>
        <v>1691000</v>
      </c>
      <c r="H24" s="770" t="e">
        <f>'CNG Table A'!#REF!</f>
        <v>#REF!</v>
      </c>
      <c r="I24" s="771" t="e">
        <f>'SCG Table A'!#REF!</f>
        <v>#REF!</v>
      </c>
      <c r="J24" s="97" t="e">
        <f>SUM(G24:I24)</f>
        <v>#REF!</v>
      </c>
      <c r="K24" s="214">
        <f>'YGS Table A '!E23</f>
        <v>2105000</v>
      </c>
      <c r="L24" s="770" t="e">
        <f>'CNG Table A'!#REF!</f>
        <v>#REF!</v>
      </c>
      <c r="M24" s="771" t="e">
        <f>'SCG Table A'!#REF!</f>
        <v>#REF!</v>
      </c>
      <c r="N24" s="97" t="e">
        <f>SUM(K24:M24)</f>
        <v>#REF!</v>
      </c>
    </row>
    <row r="25" spans="1:14" ht="17.25" customHeight="1" thickBot="1" x14ac:dyDescent="0.25">
      <c r="A25" s="18" t="s">
        <v>10</v>
      </c>
      <c r="B25" s="99" t="s">
        <v>117</v>
      </c>
      <c r="C25" s="775">
        <f>'YGS Table A '!C24</f>
        <v>360000</v>
      </c>
      <c r="D25" s="762" t="e">
        <f>'CNG Table A'!#REF!</f>
        <v>#REF!</v>
      </c>
      <c r="E25" s="776" t="e">
        <f>'SCG Table A'!#REF!</f>
        <v>#REF!</v>
      </c>
      <c r="F25" s="765" t="e">
        <f>SUM(C25:E25)</f>
        <v>#REF!</v>
      </c>
      <c r="G25" s="775">
        <f>'YGS Table A '!D24</f>
        <v>399000</v>
      </c>
      <c r="H25" s="762" t="e">
        <f>'CNG Table A'!#REF!</f>
        <v>#REF!</v>
      </c>
      <c r="I25" s="776" t="e">
        <f>'SCG Table A'!#REF!</f>
        <v>#REF!</v>
      </c>
      <c r="J25" s="765" t="e">
        <f>SUM(G25:I25)</f>
        <v>#REF!</v>
      </c>
      <c r="K25" s="775">
        <f>'YGS Table A '!E24</f>
        <v>454000</v>
      </c>
      <c r="L25" s="762" t="e">
        <f>'CNG Table A'!#REF!</f>
        <v>#REF!</v>
      </c>
      <c r="M25" s="776" t="e">
        <f>'SCG Table A'!#REF!</f>
        <v>#REF!</v>
      </c>
      <c r="N25" s="765" t="e">
        <f>SUM(K25:M25)</f>
        <v>#REF!</v>
      </c>
    </row>
    <row r="26" spans="1:14" ht="16.5" thickBot="1" x14ac:dyDescent="0.3">
      <c r="A26" s="15"/>
      <c r="B26" s="226" t="s">
        <v>118</v>
      </c>
      <c r="C26" s="783">
        <f>SUM(C24:C25)</f>
        <v>1735000</v>
      </c>
      <c r="D26" s="784" t="e">
        <f>SUM(D24:D25)</f>
        <v>#REF!</v>
      </c>
      <c r="E26" s="785" t="e">
        <f>SUM(E24:E25)</f>
        <v>#REF!</v>
      </c>
      <c r="F26" s="779" t="e">
        <f>SUM(C26:E26)</f>
        <v>#REF!</v>
      </c>
      <c r="G26" s="783">
        <f>SUM(G24:G25)</f>
        <v>2090000</v>
      </c>
      <c r="H26" s="784" t="e">
        <f>SUM(H24:H25)</f>
        <v>#REF!</v>
      </c>
      <c r="I26" s="785" t="e">
        <f>SUM(I24:I25)</f>
        <v>#REF!</v>
      </c>
      <c r="J26" s="779" t="e">
        <f>SUM(G26:I26)</f>
        <v>#REF!</v>
      </c>
      <c r="K26" s="783">
        <f>SUM(K24:K25)</f>
        <v>2559000</v>
      </c>
      <c r="L26" s="784" t="e">
        <f>SUM(L24:L25)</f>
        <v>#REF!</v>
      </c>
      <c r="M26" s="785" t="e">
        <f>SUM(M24:M25)</f>
        <v>#REF!</v>
      </c>
      <c r="N26" s="779" t="e">
        <f>SUM(K26:M26)</f>
        <v>#REF!</v>
      </c>
    </row>
    <row r="27" spans="1:14" ht="15.75" thickBot="1" x14ac:dyDescent="0.25">
      <c r="A27" s="18" t="s">
        <v>10</v>
      </c>
      <c r="B27" s="872" t="s">
        <v>245</v>
      </c>
      <c r="C27" s="936">
        <f>'YGS Table A '!C26</f>
        <v>147000</v>
      </c>
      <c r="D27" s="781" t="e">
        <f>'CNG Table A'!#REF!</f>
        <v>#REF!</v>
      </c>
      <c r="E27" s="782" t="e">
        <f>'SCG Table A'!#REF!</f>
        <v>#REF!</v>
      </c>
      <c r="F27" s="780" t="e">
        <f>SUM(C27:E27)</f>
        <v>#REF!</v>
      </c>
      <c r="G27" s="936">
        <f>'YGS Table A '!D26</f>
        <v>175000</v>
      </c>
      <c r="H27" s="781" t="e">
        <f>'CNG Table A'!#REF!</f>
        <v>#REF!</v>
      </c>
      <c r="I27" s="782" t="e">
        <f>'SCG Table A'!#REF!</f>
        <v>#REF!</v>
      </c>
      <c r="J27" s="780" t="e">
        <f>SUM(G27:I27)</f>
        <v>#REF!</v>
      </c>
      <c r="K27" s="936">
        <f>'YGS Table A '!E26</f>
        <v>223000</v>
      </c>
      <c r="L27" s="781" t="e">
        <f>'CNG Table A'!#REF!</f>
        <v>#REF!</v>
      </c>
      <c r="M27" s="782" t="e">
        <f>'SCG Table A'!#REF!</f>
        <v>#REF!</v>
      </c>
      <c r="N27" s="780" t="e">
        <f>SUM(K27:M27)</f>
        <v>#REF!</v>
      </c>
    </row>
    <row r="28" spans="1:14" s="1" customFormat="1" ht="16.5" thickBot="1" x14ac:dyDescent="0.3">
      <c r="A28" s="19"/>
      <c r="B28" s="26" t="s">
        <v>206</v>
      </c>
      <c r="C28" s="489">
        <f t="shared" ref="C28:N28" si="1">C27+C26+C22</f>
        <v>3891000</v>
      </c>
      <c r="D28" s="489" t="e">
        <f t="shared" si="1"/>
        <v>#REF!</v>
      </c>
      <c r="E28" s="489" t="e">
        <f t="shared" si="1"/>
        <v>#REF!</v>
      </c>
      <c r="F28" s="101" t="e">
        <f t="shared" si="1"/>
        <v>#REF!</v>
      </c>
      <c r="G28" s="489">
        <f t="shared" si="1"/>
        <v>4667000</v>
      </c>
      <c r="H28" s="489" t="e">
        <f t="shared" si="1"/>
        <v>#REF!</v>
      </c>
      <c r="I28" s="489" t="e">
        <f t="shared" si="1"/>
        <v>#REF!</v>
      </c>
      <c r="J28" s="101" t="e">
        <f t="shared" si="1"/>
        <v>#REF!</v>
      </c>
      <c r="K28" s="489">
        <f t="shared" si="1"/>
        <v>5726000</v>
      </c>
      <c r="L28" s="489" t="e">
        <f t="shared" si="1"/>
        <v>#REF!</v>
      </c>
      <c r="M28" s="489" t="e">
        <f t="shared" si="1"/>
        <v>#REF!</v>
      </c>
      <c r="N28" s="101" t="e">
        <f t="shared" si="1"/>
        <v>#REF!</v>
      </c>
    </row>
    <row r="29" spans="1:14" s="1" customFormat="1" ht="15.75" x14ac:dyDescent="0.25">
      <c r="A29" s="19"/>
      <c r="B29" s="651"/>
      <c r="C29" s="161"/>
      <c r="D29" s="161"/>
      <c r="E29" s="161"/>
      <c r="F29" s="161"/>
      <c r="G29" s="950"/>
      <c r="H29" s="951"/>
      <c r="I29" s="951"/>
      <c r="J29" s="952"/>
      <c r="K29" s="950"/>
      <c r="L29" s="951"/>
      <c r="M29" s="951"/>
      <c r="N29" s="952"/>
    </row>
    <row r="30" spans="1:14" ht="16.5" thickBot="1" x14ac:dyDescent="0.3">
      <c r="A30" s="15"/>
      <c r="B30" s="651" t="s">
        <v>335</v>
      </c>
      <c r="C30" s="146"/>
      <c r="D30" s="146"/>
      <c r="E30" s="146"/>
      <c r="F30" s="146"/>
      <c r="G30" s="665"/>
      <c r="H30" s="665"/>
      <c r="I30" s="665"/>
      <c r="J30" s="666"/>
      <c r="K30" s="665"/>
      <c r="L30" s="665"/>
      <c r="M30" s="665"/>
      <c r="N30" s="666"/>
    </row>
    <row r="31" spans="1:14" s="3" customFormat="1" ht="15" x14ac:dyDescent="0.2">
      <c r="A31" s="17" t="s">
        <v>9</v>
      </c>
      <c r="B31" s="953" t="s">
        <v>336</v>
      </c>
      <c r="C31" s="770">
        <f>'YGS Table A '!C30</f>
        <v>150000</v>
      </c>
      <c r="D31" s="770" t="e">
        <f>'CNG Table A'!#REF!</f>
        <v>#REF!</v>
      </c>
      <c r="E31" s="770" t="e">
        <f>'SCG Table A'!#REF!</f>
        <v>#REF!</v>
      </c>
      <c r="F31" s="770" t="e">
        <f>C31+D31+E31</f>
        <v>#REF!</v>
      </c>
      <c r="G31" s="770">
        <f>'YGS Table A '!D30</f>
        <v>150000</v>
      </c>
      <c r="H31" s="770" t="e">
        <f>'CNG Table A'!#REF!</f>
        <v>#REF!</v>
      </c>
      <c r="I31" s="770" t="e">
        <f>'SCG Table A'!#REF!</f>
        <v>#REF!</v>
      </c>
      <c r="J31" s="771" t="e">
        <f>SUM(G31:I31)</f>
        <v>#REF!</v>
      </c>
      <c r="K31" s="770">
        <f>'YGS Table A '!E30</f>
        <v>150000</v>
      </c>
      <c r="L31" s="770" t="e">
        <f>'CNG Table A'!#REF!</f>
        <v>#REF!</v>
      </c>
      <c r="M31" s="770" t="e">
        <f>'SCG Table A'!#REF!</f>
        <v>#REF!</v>
      </c>
      <c r="N31" s="771" t="e">
        <f>SUM(K31:M31)</f>
        <v>#REF!</v>
      </c>
    </row>
    <row r="32" spans="1:14" s="3" customFormat="1" ht="15.75" thickBot="1" x14ac:dyDescent="0.25">
      <c r="A32" s="17" t="s">
        <v>9</v>
      </c>
      <c r="B32" s="693" t="s">
        <v>411</v>
      </c>
      <c r="C32" s="760">
        <f>'YGS Table A '!C31</f>
        <v>50000</v>
      </c>
      <c r="D32" s="760" t="e">
        <f>'CNG Table A'!#REF!</f>
        <v>#REF!</v>
      </c>
      <c r="E32" s="760" t="e">
        <f>'SCG Table A'!#REF!</f>
        <v>#REF!</v>
      </c>
      <c r="F32" s="760" t="e">
        <f>C32+D32+E32</f>
        <v>#REF!</v>
      </c>
      <c r="G32" s="760">
        <f>'YGS Table A '!D31</f>
        <v>50000</v>
      </c>
      <c r="H32" s="760" t="e">
        <f>'CNG Table A'!#REF!</f>
        <v>#REF!</v>
      </c>
      <c r="I32" s="760" t="e">
        <f>'SCG Table A'!#REF!</f>
        <v>#REF!</v>
      </c>
      <c r="J32" s="772" t="e">
        <f>SUM(G32:I32)</f>
        <v>#REF!</v>
      </c>
      <c r="K32" s="760">
        <f>'YGS Table A '!E31</f>
        <v>50000</v>
      </c>
      <c r="L32" s="760" t="e">
        <f>'CNG Table A'!#REF!</f>
        <v>#REF!</v>
      </c>
      <c r="M32" s="760" t="e">
        <f>'SCG Table A'!#REF!</f>
        <v>#REF!</v>
      </c>
      <c r="N32" s="772" t="e">
        <f>SUM(K32:M32)</f>
        <v>#REF!</v>
      </c>
    </row>
    <row r="33" spans="1:14" s="3" customFormat="1" ht="15" x14ac:dyDescent="0.2">
      <c r="A33" s="17" t="s">
        <v>9</v>
      </c>
      <c r="B33" s="1167" t="s">
        <v>483</v>
      </c>
      <c r="C33" s="770">
        <f>'YGS Table A '!C32</f>
        <v>200000</v>
      </c>
      <c r="D33" s="763" t="e">
        <f>'CNG Table A'!#REF!</f>
        <v>#REF!</v>
      </c>
      <c r="E33" s="763" t="e">
        <f>'SCG Table A'!#REF!</f>
        <v>#REF!</v>
      </c>
      <c r="F33" s="763" t="e">
        <f>C33+D33+E33</f>
        <v>#REF!</v>
      </c>
      <c r="G33" s="763">
        <f>'YGS Table A '!D32</f>
        <v>200000</v>
      </c>
      <c r="H33" s="763" t="e">
        <f>'CNG Table A'!#REF!</f>
        <v>#REF!</v>
      </c>
      <c r="I33" s="763" t="e">
        <f>'SCG Table A'!#REF!</f>
        <v>#REF!</v>
      </c>
      <c r="J33" s="777" t="e">
        <f>SUM(G33:I33)</f>
        <v>#REF!</v>
      </c>
      <c r="K33" s="763">
        <f>'YGS Table A '!E32</f>
        <v>200000</v>
      </c>
      <c r="L33" s="763" t="e">
        <f>'CNG Table A'!#REF!</f>
        <v>#REF!</v>
      </c>
      <c r="M33" s="763" t="e">
        <f>'SCG Table A'!#REF!</f>
        <v>#REF!</v>
      </c>
      <c r="N33" s="777" t="e">
        <f>SUM(K33:M33)</f>
        <v>#REF!</v>
      </c>
    </row>
    <row r="34" spans="1:14" s="3" customFormat="1" ht="15" x14ac:dyDescent="0.2">
      <c r="A34" s="17" t="s">
        <v>9</v>
      </c>
      <c r="B34" s="1167" t="s">
        <v>482</v>
      </c>
      <c r="C34" s="760">
        <f>'YGS Table A '!C33</f>
        <v>0</v>
      </c>
      <c r="D34" s="760" t="e">
        <f>'CNG Table A'!#REF!</f>
        <v>#REF!</v>
      </c>
      <c r="E34" s="760" t="e">
        <f>'SCG Table A'!#REF!</f>
        <v>#REF!</v>
      </c>
      <c r="F34" s="760" t="e">
        <f>C34+D34+E34</f>
        <v>#REF!</v>
      </c>
      <c r="G34" s="760">
        <f>'YGS Table A '!D33</f>
        <v>0</v>
      </c>
      <c r="H34" s="760" t="e">
        <f>'CNG Table A'!#REF!</f>
        <v>#REF!</v>
      </c>
      <c r="I34" s="760" t="e">
        <f>'SCG Table A'!#REF!</f>
        <v>#REF!</v>
      </c>
      <c r="J34" s="772" t="e">
        <f>SUM(G34:I34)</f>
        <v>#REF!</v>
      </c>
      <c r="K34" s="760">
        <f>'YGS Table A '!E33</f>
        <v>0</v>
      </c>
      <c r="L34" s="760" t="e">
        <f>'CNG Table A'!#REF!</f>
        <v>#REF!</v>
      </c>
      <c r="M34" s="760" t="e">
        <f>'SCG Table A'!#REF!</f>
        <v>#REF!</v>
      </c>
      <c r="N34" s="772" t="e">
        <f>SUM(K34:M34)</f>
        <v>#REF!</v>
      </c>
    </row>
    <row r="35" spans="1:14" s="3" customFormat="1" ht="16.5" thickBot="1" x14ac:dyDescent="0.3">
      <c r="A35" s="17" t="s">
        <v>10</v>
      </c>
      <c r="B35" s="954" t="s">
        <v>337</v>
      </c>
      <c r="C35" s="955">
        <f>SUM(C31:C32)</f>
        <v>200000</v>
      </c>
      <c r="D35" s="955" t="e">
        <f>SUM(D31:D34)</f>
        <v>#REF!</v>
      </c>
      <c r="E35" s="955" t="e">
        <f>SUM(E31:E34)</f>
        <v>#REF!</v>
      </c>
      <c r="F35" s="955" t="e">
        <f>SUM(F31:F34)</f>
        <v>#REF!</v>
      </c>
      <c r="G35" s="955">
        <f>SUM(G31:G34)</f>
        <v>400000</v>
      </c>
      <c r="H35" s="955" t="e">
        <f>SUM(H31:H34)</f>
        <v>#REF!</v>
      </c>
      <c r="I35" s="955" t="e">
        <f t="shared" ref="I35:N35" si="2">SUM(I31:I34)</f>
        <v>#REF!</v>
      </c>
      <c r="J35" s="956" t="e">
        <f t="shared" si="2"/>
        <v>#REF!</v>
      </c>
      <c r="K35" s="955">
        <f t="shared" si="2"/>
        <v>400000</v>
      </c>
      <c r="L35" s="955" t="e">
        <f t="shared" si="2"/>
        <v>#REF!</v>
      </c>
      <c r="M35" s="955" t="e">
        <f t="shared" si="2"/>
        <v>#REF!</v>
      </c>
      <c r="N35" s="956" t="e">
        <f t="shared" si="2"/>
        <v>#REF!</v>
      </c>
    </row>
    <row r="36" spans="1:14" s="1" customFormat="1" ht="15" x14ac:dyDescent="0.2">
      <c r="A36" s="19"/>
      <c r="B36" s="957"/>
      <c r="C36" s="517"/>
      <c r="D36" s="517"/>
      <c r="E36" s="517"/>
      <c r="F36" s="517"/>
      <c r="G36" s="517"/>
      <c r="H36" s="517"/>
      <c r="I36" s="517"/>
      <c r="J36" s="767"/>
      <c r="K36" s="517"/>
      <c r="L36" s="517"/>
      <c r="M36" s="517"/>
      <c r="N36" s="767"/>
    </row>
    <row r="37" spans="1:14" ht="16.5" thickBot="1" x14ac:dyDescent="0.3">
      <c r="A37" s="15"/>
      <c r="B37" s="27" t="s">
        <v>108</v>
      </c>
      <c r="C37" s="13"/>
      <c r="D37" s="13"/>
      <c r="E37" s="13"/>
      <c r="F37" s="13"/>
      <c r="G37" s="13"/>
      <c r="H37" s="13"/>
      <c r="I37" s="13"/>
      <c r="J37" s="13"/>
      <c r="K37" s="13"/>
      <c r="L37" s="13"/>
      <c r="M37" s="13"/>
      <c r="N37" s="13"/>
    </row>
    <row r="38" spans="1:14" s="3" customFormat="1" ht="15" x14ac:dyDescent="0.2">
      <c r="A38" s="17" t="s">
        <v>9</v>
      </c>
      <c r="B38" s="953" t="s">
        <v>484</v>
      </c>
      <c r="C38" s="214">
        <f>'YGS Table A '!C33</f>
        <v>0</v>
      </c>
      <c r="D38" s="770" t="e">
        <f>'CNG Table A'!#REF!</f>
        <v>#REF!</v>
      </c>
      <c r="E38" s="771" t="e">
        <f>'SCG Table A'!#REF!</f>
        <v>#REF!</v>
      </c>
      <c r="F38" s="97" t="e">
        <f>SUM(C38:E38)</f>
        <v>#REF!</v>
      </c>
      <c r="G38" s="214">
        <f>'YGS Table A '!D33</f>
        <v>0</v>
      </c>
      <c r="H38" s="770" t="e">
        <f>'CNG Table A'!#REF!</f>
        <v>#REF!</v>
      </c>
      <c r="I38" s="771" t="e">
        <f>'SCG Table A'!#REF!</f>
        <v>#REF!</v>
      </c>
      <c r="J38" s="97" t="e">
        <f>SUM(G38:I38)</f>
        <v>#REF!</v>
      </c>
      <c r="K38" s="214">
        <f>'YGS Table A '!E33</f>
        <v>0</v>
      </c>
      <c r="L38" s="770" t="e">
        <f>'CNG Table A'!#REF!</f>
        <v>#REF!</v>
      </c>
      <c r="M38" s="771" t="e">
        <f>'SCG Table A'!#REF!</f>
        <v>#REF!</v>
      </c>
      <c r="N38" s="97" t="e">
        <f>SUM(K38:M38)</f>
        <v>#REF!</v>
      </c>
    </row>
    <row r="39" spans="1:14" s="3" customFormat="1" ht="15" x14ac:dyDescent="0.2">
      <c r="A39" s="17" t="s">
        <v>9</v>
      </c>
      <c r="B39" s="693" t="s">
        <v>485</v>
      </c>
      <c r="C39" s="465">
        <f>'YGS Table A '!C34</f>
        <v>0</v>
      </c>
      <c r="D39" s="760" t="e">
        <f>'CNG Table A'!#REF!</f>
        <v>#REF!</v>
      </c>
      <c r="E39" s="772" t="e">
        <f>'SCG Table A'!#REF!</f>
        <v>#REF!</v>
      </c>
      <c r="F39" s="766" t="e">
        <f>SUM(C39:E39)</f>
        <v>#REF!</v>
      </c>
      <c r="G39" s="465">
        <f>'YGS Table A '!D34</f>
        <v>0</v>
      </c>
      <c r="H39" s="760" t="e">
        <f>'CNG Table A'!#REF!</f>
        <v>#REF!</v>
      </c>
      <c r="I39" s="772" t="e">
        <f>'SCG Table A'!#REF!</f>
        <v>#REF!</v>
      </c>
      <c r="J39" s="766" t="e">
        <f>SUM(G39:I39)</f>
        <v>#REF!</v>
      </c>
      <c r="K39" s="465">
        <f>'YGS Table A '!E34</f>
        <v>0</v>
      </c>
      <c r="L39" s="760" t="e">
        <f>'CNG Table A'!#REF!</f>
        <v>#REF!</v>
      </c>
      <c r="M39" s="772" t="e">
        <f>'SCG Table A'!#REF!</f>
        <v>#REF!</v>
      </c>
      <c r="N39" s="766" t="e">
        <f>SUM(K39:M39)</f>
        <v>#REF!</v>
      </c>
    </row>
    <row r="40" spans="1:14" s="3" customFormat="1" ht="15.75" x14ac:dyDescent="0.2">
      <c r="A40" s="17" t="s">
        <v>9</v>
      </c>
      <c r="B40" s="2042" t="s">
        <v>147</v>
      </c>
      <c r="C40" s="464">
        <f>'YGS Table A '!C35</f>
        <v>75000</v>
      </c>
      <c r="D40" s="763" t="e">
        <f>'CNG Table A'!#REF!</f>
        <v>#REF!</v>
      </c>
      <c r="E40" s="777" t="e">
        <f>'SCG Table A'!#REF!</f>
        <v>#REF!</v>
      </c>
      <c r="F40" s="765" t="e">
        <f>SUM(C40:E40)</f>
        <v>#REF!</v>
      </c>
      <c r="G40" s="464">
        <f>'YGS Table A '!D35</f>
        <v>89000</v>
      </c>
      <c r="H40" s="763" t="e">
        <f>'CNG Table A'!#REF!</f>
        <v>#REF!</v>
      </c>
      <c r="I40" s="777" t="e">
        <f>'SCG Table A'!#REF!</f>
        <v>#REF!</v>
      </c>
      <c r="J40" s="765" t="e">
        <f>SUM(G40:I40)</f>
        <v>#REF!</v>
      </c>
      <c r="K40" s="464">
        <f>'YGS Table A '!E35</f>
        <v>109000</v>
      </c>
      <c r="L40" s="763" t="e">
        <f>'CNG Table A'!#REF!</f>
        <v>#REF!</v>
      </c>
      <c r="M40" s="777" t="e">
        <f>'SCG Table A'!#REF!</f>
        <v>#REF!</v>
      </c>
      <c r="N40" s="765" t="e">
        <f>SUM(K40:M40)</f>
        <v>#REF!</v>
      </c>
    </row>
    <row r="41" spans="1:14" s="3" customFormat="1" ht="15" x14ac:dyDescent="0.2">
      <c r="A41" s="17" t="s">
        <v>9</v>
      </c>
      <c r="B41" s="693" t="s">
        <v>178</v>
      </c>
      <c r="C41" s="465">
        <f>'YGS Table A '!C36</f>
        <v>100000</v>
      </c>
      <c r="D41" s="760" t="e">
        <f>'CNG Table A'!#REF!</f>
        <v>#REF!</v>
      </c>
      <c r="E41" s="772" t="e">
        <f>'SCG Table A'!#REF!</f>
        <v>#REF!</v>
      </c>
      <c r="F41" s="766" t="e">
        <f>SUM(C41:E41)</f>
        <v>#REF!</v>
      </c>
      <c r="G41" s="465">
        <f>'YGS Table A '!D36</f>
        <v>119000</v>
      </c>
      <c r="H41" s="760" t="e">
        <f>'CNG Table A'!#REF!</f>
        <v>#REF!</v>
      </c>
      <c r="I41" s="772" t="e">
        <f>'SCG Table A'!#REF!</f>
        <v>#REF!</v>
      </c>
      <c r="J41" s="766" t="e">
        <f>SUM(G41:I41)</f>
        <v>#REF!</v>
      </c>
      <c r="K41" s="465">
        <f>'YGS Table A '!E36</f>
        <v>145000</v>
      </c>
      <c r="L41" s="760" t="e">
        <f>'CNG Table A'!#REF!</f>
        <v>#REF!</v>
      </c>
      <c r="M41" s="772" t="e">
        <f>'SCG Table A'!#REF!</f>
        <v>#REF!</v>
      </c>
      <c r="N41" s="766" t="e">
        <f>SUM(K41:M41)</f>
        <v>#REF!</v>
      </c>
    </row>
    <row r="42" spans="1:14" s="3" customFormat="1" ht="16.5" thickBot="1" x14ac:dyDescent="0.25">
      <c r="A42" s="17" t="s">
        <v>10</v>
      </c>
      <c r="B42" s="694" t="s">
        <v>179</v>
      </c>
      <c r="C42" s="466">
        <f>'YGS Table A '!C37</f>
        <v>75000</v>
      </c>
      <c r="D42" s="773" t="e">
        <f>'CNG Table A'!#REF!</f>
        <v>#REF!</v>
      </c>
      <c r="E42" s="774" t="e">
        <f>'SCG Table A'!#REF!</f>
        <v>#REF!</v>
      </c>
      <c r="F42" s="786" t="e">
        <f>SUM(C42:E42)</f>
        <v>#REF!</v>
      </c>
      <c r="G42" s="466">
        <f>'YGS Table A '!D37</f>
        <v>89000</v>
      </c>
      <c r="H42" s="773" t="e">
        <f>'CNG Table A'!#REF!</f>
        <v>#REF!</v>
      </c>
      <c r="I42" s="774" t="e">
        <f>'SCG Table A'!#REF!</f>
        <v>#REF!</v>
      </c>
      <c r="J42" s="786" t="e">
        <f>SUM(G42:I42)</f>
        <v>#REF!</v>
      </c>
      <c r="K42" s="466">
        <f>'YGS Table A '!E37</f>
        <v>109000</v>
      </c>
      <c r="L42" s="773" t="e">
        <f>'CNG Table A'!#REF!</f>
        <v>#REF!</v>
      </c>
      <c r="M42" s="774" t="e">
        <f>'SCG Table A'!#REF!</f>
        <v>#REF!</v>
      </c>
      <c r="N42" s="786" t="e">
        <f>SUM(K42:M42)</f>
        <v>#REF!</v>
      </c>
    </row>
    <row r="43" spans="1:14" s="1" customFormat="1" ht="16.5" thickBot="1" x14ac:dyDescent="0.3">
      <c r="A43" s="19"/>
      <c r="B43" s="232" t="s">
        <v>119</v>
      </c>
      <c r="C43" s="489">
        <f>SUM(C40:C42)</f>
        <v>250000</v>
      </c>
      <c r="D43" s="489" t="e">
        <f>SUM(D38:D42)</f>
        <v>#REF!</v>
      </c>
      <c r="E43" s="489" t="e">
        <f>SUM(E38:E42)</f>
        <v>#REF!</v>
      </c>
      <c r="F43" s="489" t="e">
        <f>SUM(F38:F42)</f>
        <v>#REF!</v>
      </c>
      <c r="G43" s="489">
        <f>SUM(G38:G42)</f>
        <v>297000</v>
      </c>
      <c r="H43" s="489" t="e">
        <f>SUM(H38:H42)</f>
        <v>#REF!</v>
      </c>
      <c r="I43" s="489" t="e">
        <f t="shared" ref="I43:N43" si="3">SUM(I38:I42)</f>
        <v>#REF!</v>
      </c>
      <c r="J43" s="489" t="e">
        <f t="shared" si="3"/>
        <v>#REF!</v>
      </c>
      <c r="K43" s="489">
        <f t="shared" si="3"/>
        <v>363000</v>
      </c>
      <c r="L43" s="489" t="e">
        <f t="shared" si="3"/>
        <v>#REF!</v>
      </c>
      <c r="M43" s="489" t="e">
        <f t="shared" si="3"/>
        <v>#REF!</v>
      </c>
      <c r="N43" s="489" t="e">
        <f t="shared" si="3"/>
        <v>#REF!</v>
      </c>
    </row>
    <row r="44" spans="1:14" s="163" customFormat="1" ht="16.5" thickBot="1" x14ac:dyDescent="0.3">
      <c r="A44" s="15" t="s">
        <v>11</v>
      </c>
      <c r="B44" s="651"/>
      <c r="C44" s="161"/>
      <c r="D44" s="161"/>
      <c r="E44" s="161"/>
      <c r="F44" s="161"/>
      <c r="G44" s="951"/>
      <c r="H44" s="951"/>
      <c r="I44" s="951"/>
      <c r="J44" s="952"/>
      <c r="K44" s="951"/>
      <c r="L44" s="951"/>
      <c r="M44" s="951"/>
      <c r="N44" s="952"/>
    </row>
    <row r="45" spans="1:14" s="1" customFormat="1" ht="15.75" thickBot="1" x14ac:dyDescent="0.25">
      <c r="A45" s="19"/>
      <c r="B45" s="958" t="s">
        <v>338</v>
      </c>
      <c r="C45" s="959">
        <f>'YGS Table A '!C40</f>
        <v>50000</v>
      </c>
      <c r="D45" s="959" t="e">
        <f>'CNG Table A'!#REF!</f>
        <v>#REF!</v>
      </c>
      <c r="E45" s="959" t="e">
        <f>'SCG Table A'!#REF!</f>
        <v>#REF!</v>
      </c>
      <c r="F45" s="959" t="e">
        <f>C45+D45+E45</f>
        <v>#REF!</v>
      </c>
      <c r="G45" s="960">
        <f>'YGS Table A '!D40</f>
        <v>59000</v>
      </c>
      <c r="H45" s="960" t="e">
        <f>'CNG Table A'!#REF!</f>
        <v>#REF!</v>
      </c>
      <c r="I45" s="960" t="e">
        <f>'SCG Table A'!#REF!</f>
        <v>#REF!</v>
      </c>
      <c r="J45" s="961" t="e">
        <f>SUM(G45:I45)</f>
        <v>#REF!</v>
      </c>
      <c r="K45" s="960">
        <f>'YGS Table A '!E40</f>
        <v>72000</v>
      </c>
      <c r="L45" s="960" t="e">
        <f>'CNG Table A'!#REF!</f>
        <v>#REF!</v>
      </c>
      <c r="M45" s="960" t="e">
        <f>'SCG Table A'!#REF!</f>
        <v>#REF!</v>
      </c>
      <c r="N45" s="961" t="e">
        <f>SUM(K45:M45)</f>
        <v>#REF!</v>
      </c>
    </row>
    <row r="46" spans="1:14" s="163" customFormat="1" ht="16.5" thickBot="1" x14ac:dyDescent="0.3">
      <c r="A46" s="13"/>
      <c r="B46" s="962" t="s">
        <v>339</v>
      </c>
      <c r="C46" s="963">
        <f>SUM(C45)</f>
        <v>50000</v>
      </c>
      <c r="D46" s="963" t="e">
        <f t="shared" ref="D46:I46" si="4">SUM(D45)</f>
        <v>#REF!</v>
      </c>
      <c r="E46" s="963" t="e">
        <f t="shared" si="4"/>
        <v>#REF!</v>
      </c>
      <c r="F46" s="963" t="e">
        <f t="shared" si="4"/>
        <v>#REF!</v>
      </c>
      <c r="G46" s="964">
        <f t="shared" si="4"/>
        <v>59000</v>
      </c>
      <c r="H46" s="964" t="e">
        <f t="shared" si="4"/>
        <v>#REF!</v>
      </c>
      <c r="I46" s="964" t="e">
        <f t="shared" si="4"/>
        <v>#REF!</v>
      </c>
      <c r="J46" s="964" t="e">
        <f>SUM(J45)</f>
        <v>#REF!</v>
      </c>
      <c r="K46" s="964">
        <f>SUM(K45)</f>
        <v>72000</v>
      </c>
      <c r="L46" s="964" t="e">
        <f>SUM(L45)</f>
        <v>#REF!</v>
      </c>
      <c r="M46" s="964" t="e">
        <f>SUM(M45)</f>
        <v>#REF!</v>
      </c>
      <c r="N46" s="964" t="e">
        <f>SUM(N45)</f>
        <v>#REF!</v>
      </c>
    </row>
    <row r="47" spans="1:14" s="163" customFormat="1" ht="15.75" x14ac:dyDescent="0.25">
      <c r="A47" s="13"/>
      <c r="B47" s="27"/>
      <c r="C47" s="517"/>
      <c r="D47" s="517"/>
      <c r="E47" s="517"/>
      <c r="F47" s="517"/>
      <c r="G47" s="517"/>
      <c r="H47" s="517"/>
      <c r="I47" s="517"/>
      <c r="J47" s="517"/>
      <c r="K47" s="517"/>
      <c r="L47" s="517"/>
      <c r="M47" s="517"/>
      <c r="N47" s="517"/>
    </row>
    <row r="48" spans="1:14" s="1" customFormat="1" ht="15.75" x14ac:dyDescent="0.25">
      <c r="A48" s="19"/>
      <c r="B48" s="27"/>
    </row>
    <row r="49" spans="1:14" s="163" customFormat="1" ht="16.5" thickBot="1" x14ac:dyDescent="0.3">
      <c r="A49" s="13"/>
      <c r="B49" s="27" t="s">
        <v>120</v>
      </c>
      <c r="F49" s="518"/>
      <c r="J49" s="518"/>
      <c r="N49" s="518"/>
    </row>
    <row r="50" spans="1:14" s="1" customFormat="1" ht="15" x14ac:dyDescent="0.2">
      <c r="A50" s="13"/>
      <c r="B50" s="695" t="s">
        <v>340</v>
      </c>
      <c r="C50" s="770">
        <f>'YGS Table A '!C45</f>
        <v>65000</v>
      </c>
      <c r="D50" s="770" t="e">
        <f>'CNG Table A'!#REF!</f>
        <v>#REF!</v>
      </c>
      <c r="E50" s="770" t="e">
        <f>'SCG Table A'!#REF!</f>
        <v>#REF!</v>
      </c>
      <c r="F50" s="771" t="e">
        <f>C50+D50+E50</f>
        <v>#REF!</v>
      </c>
      <c r="G50" s="759">
        <f>'YGS Table A '!D45</f>
        <v>65000</v>
      </c>
      <c r="H50" s="759" t="e">
        <f>'CNG Table A'!#REF!</f>
        <v>#REF!</v>
      </c>
      <c r="I50" s="759" t="e">
        <f>'SCG Table A'!#REF!</f>
        <v>#REF!</v>
      </c>
      <c r="J50" s="771" t="e">
        <f t="shared" ref="J50:J57" si="5">SUM(G50:I50)</f>
        <v>#REF!</v>
      </c>
      <c r="K50" s="759">
        <f>'YGS Table A '!E45</f>
        <v>65000</v>
      </c>
      <c r="L50" s="759" t="e">
        <f>'CNG Table A'!#REF!</f>
        <v>#REF!</v>
      </c>
      <c r="M50" s="759" t="e">
        <f>'SCG Table A'!#REF!</f>
        <v>#REF!</v>
      </c>
      <c r="N50" s="771" t="e">
        <f t="shared" ref="N50:N57" si="6">SUM(K50:M50)</f>
        <v>#REF!</v>
      </c>
    </row>
    <row r="51" spans="1:14" ht="15" x14ac:dyDescent="0.2">
      <c r="A51" s="19"/>
      <c r="B51" s="99" t="s">
        <v>341</v>
      </c>
      <c r="C51" s="760">
        <f>'YGS Table A '!C46</f>
        <v>75000</v>
      </c>
      <c r="D51" s="760" t="e">
        <f>'CNG Table A'!#REF!</f>
        <v>#REF!</v>
      </c>
      <c r="E51" s="760" t="e">
        <f>'SCG Table A'!#REF!</f>
        <v>#REF!</v>
      </c>
      <c r="F51" s="772" t="e">
        <f>C51+D51+E51</f>
        <v>#REF!</v>
      </c>
      <c r="G51" s="965">
        <f>'YGS Table A '!D46</f>
        <v>100000</v>
      </c>
      <c r="H51" s="965" t="e">
        <f>'CNG Table A'!#REF!</f>
        <v>#REF!</v>
      </c>
      <c r="I51" s="965" t="e">
        <f>'SCG Table A'!#REF!</f>
        <v>#REF!</v>
      </c>
      <c r="J51" s="772" t="e">
        <f t="shared" si="5"/>
        <v>#REF!</v>
      </c>
      <c r="K51" s="965">
        <f>'YGS Table A '!E46</f>
        <v>105000</v>
      </c>
      <c r="L51" s="965" t="e">
        <f>'CNG Table A'!#REF!</f>
        <v>#REF!</v>
      </c>
      <c r="M51" s="965" t="e">
        <f>'SCG Table A'!#REF!</f>
        <v>#REF!</v>
      </c>
      <c r="N51" s="772" t="e">
        <f t="shared" si="6"/>
        <v>#REF!</v>
      </c>
    </row>
    <row r="52" spans="1:14" s="163" customFormat="1" ht="15" x14ac:dyDescent="0.2">
      <c r="A52" s="15" t="s">
        <v>11</v>
      </c>
      <c r="B52" s="966" t="s">
        <v>168</v>
      </c>
      <c r="C52" s="464">
        <f>'YGS Table A '!C47</f>
        <v>60000</v>
      </c>
      <c r="D52" s="763" t="e">
        <f>'CNG Table A'!#REF!</f>
        <v>#REF!</v>
      </c>
      <c r="E52" s="777" t="e">
        <f>'SCG Table A'!#REF!</f>
        <v>#REF!</v>
      </c>
      <c r="F52" s="765" t="e">
        <f>SUM(C52:E52)</f>
        <v>#REF!</v>
      </c>
      <c r="G52" s="464">
        <f>'YGS Table A '!D47</f>
        <v>60000</v>
      </c>
      <c r="H52" s="763" t="e">
        <f>'CNG Table A'!#REF!</f>
        <v>#REF!</v>
      </c>
      <c r="I52" s="777" t="e">
        <f>'SCG Table A'!#REF!</f>
        <v>#REF!</v>
      </c>
      <c r="J52" s="765" t="e">
        <f t="shared" si="5"/>
        <v>#REF!</v>
      </c>
      <c r="K52" s="464">
        <f>'YGS Table A '!E47</f>
        <v>60000</v>
      </c>
      <c r="L52" s="763" t="e">
        <f>'CNG Table A'!#REF!</f>
        <v>#REF!</v>
      </c>
      <c r="M52" s="777" t="e">
        <f>'SCG Table A'!#REF!</f>
        <v>#REF!</v>
      </c>
      <c r="N52" s="765" t="e">
        <f t="shared" si="6"/>
        <v>#REF!</v>
      </c>
    </row>
    <row r="53" spans="1:14" s="163" customFormat="1" ht="15" x14ac:dyDescent="0.2">
      <c r="A53" s="15" t="s">
        <v>11</v>
      </c>
      <c r="B53" s="99" t="s">
        <v>121</v>
      </c>
      <c r="C53" s="465">
        <f>'YGS Table A '!C48</f>
        <v>76500</v>
      </c>
      <c r="D53" s="760" t="e">
        <f>'CNG Table A'!#REF!</f>
        <v>#REF!</v>
      </c>
      <c r="E53" s="772" t="e">
        <f>'SCG Table A'!#REF!</f>
        <v>#REF!</v>
      </c>
      <c r="F53" s="766" t="e">
        <f>SUM(C53:E53)</f>
        <v>#REF!</v>
      </c>
      <c r="G53" s="465">
        <f>'YGS Table A '!D48</f>
        <v>80000</v>
      </c>
      <c r="H53" s="760" t="e">
        <f>'CNG Table A'!#REF!</f>
        <v>#REF!</v>
      </c>
      <c r="I53" s="772" t="e">
        <f>'SCG Table A'!#REF!</f>
        <v>#REF!</v>
      </c>
      <c r="J53" s="766" t="e">
        <f t="shared" si="5"/>
        <v>#REF!</v>
      </c>
      <c r="K53" s="465">
        <f>'YGS Table A '!E48</f>
        <v>85000</v>
      </c>
      <c r="L53" s="760" t="e">
        <f>'CNG Table A'!#REF!</f>
        <v>#REF!</v>
      </c>
      <c r="M53" s="772" t="e">
        <f>'SCG Table A'!#REF!</f>
        <v>#REF!</v>
      </c>
      <c r="N53" s="766" t="e">
        <f t="shared" si="6"/>
        <v>#REF!</v>
      </c>
    </row>
    <row r="54" spans="1:14" s="163" customFormat="1" ht="15" x14ac:dyDescent="0.2">
      <c r="A54" s="15" t="s">
        <v>11</v>
      </c>
      <c r="B54" s="99" t="s">
        <v>122</v>
      </c>
      <c r="C54" s="465">
        <f>'YGS Table A '!C49</f>
        <v>535000</v>
      </c>
      <c r="D54" s="760" t="e">
        <f>'CNG Table A'!#REF!</f>
        <v>#REF!</v>
      </c>
      <c r="E54" s="772" t="e">
        <f>'SCG Table A'!#REF!</f>
        <v>#REF!</v>
      </c>
      <c r="F54" s="766" t="e">
        <f>SUM(C54:E54)</f>
        <v>#REF!</v>
      </c>
      <c r="G54" s="465">
        <f>'YGS Table A '!D49</f>
        <v>535000</v>
      </c>
      <c r="H54" s="760" t="e">
        <f>'CNG Table A'!#REF!</f>
        <v>#REF!</v>
      </c>
      <c r="I54" s="772" t="e">
        <f>'SCG Table A'!#REF!</f>
        <v>#REF!</v>
      </c>
      <c r="J54" s="766" t="e">
        <f t="shared" si="5"/>
        <v>#REF!</v>
      </c>
      <c r="K54" s="465">
        <f>'YGS Table A '!E49</f>
        <v>535000</v>
      </c>
      <c r="L54" s="760" t="e">
        <f>'CNG Table A'!#REF!</f>
        <v>#REF!</v>
      </c>
      <c r="M54" s="772" t="e">
        <f>'SCG Table A'!#REF!</f>
        <v>#REF!</v>
      </c>
      <c r="N54" s="766" t="e">
        <f t="shared" si="6"/>
        <v>#REF!</v>
      </c>
    </row>
    <row r="55" spans="1:14" s="163" customFormat="1" ht="15" x14ac:dyDescent="0.2">
      <c r="A55" s="15" t="s">
        <v>11</v>
      </c>
      <c r="B55" s="490" t="s">
        <v>481</v>
      </c>
      <c r="C55" s="465">
        <f>'YGS Table A '!C49</f>
        <v>535000</v>
      </c>
      <c r="D55" s="760" t="e">
        <f>'CNG Table A'!#REF!</f>
        <v>#REF!</v>
      </c>
      <c r="E55" s="772" t="e">
        <f>'SCG Table A'!#REF!</f>
        <v>#REF!</v>
      </c>
      <c r="F55" s="766" t="e">
        <f>SUM(C55:E55)</f>
        <v>#REF!</v>
      </c>
      <c r="G55" s="465">
        <f>'YGS Table A '!D49</f>
        <v>535000</v>
      </c>
      <c r="H55" s="760" t="e">
        <f>'CNG Table A'!#REF!</f>
        <v>#REF!</v>
      </c>
      <c r="I55" s="772" t="e">
        <f>'SCG Table A'!#REF!</f>
        <v>#REF!</v>
      </c>
      <c r="J55" s="766" t="e">
        <f>SUM(G55:I55)</f>
        <v>#REF!</v>
      </c>
      <c r="K55" s="465">
        <f>'YGS Table A '!E49</f>
        <v>535000</v>
      </c>
      <c r="L55" s="760" t="e">
        <f>'CNG Table A'!#REF!</f>
        <v>#REF!</v>
      </c>
      <c r="M55" s="772" t="e">
        <f>'SCG Table A'!#REF!</f>
        <v>#REF!</v>
      </c>
      <c r="N55" s="766" t="e">
        <f>SUM(K55:M55)</f>
        <v>#REF!</v>
      </c>
    </row>
    <row r="56" spans="1:14" s="163" customFormat="1" ht="15" x14ac:dyDescent="0.2">
      <c r="A56" s="15" t="s">
        <v>11</v>
      </c>
      <c r="B56" s="490" t="s">
        <v>221</v>
      </c>
      <c r="C56" s="465">
        <f>'YGS Table A '!C50</f>
        <v>24750</v>
      </c>
      <c r="D56" s="760" t="e">
        <f>'CNG Table A'!#REF!</f>
        <v>#REF!</v>
      </c>
      <c r="E56" s="772" t="e">
        <f>'SCG Table A'!#REF!</f>
        <v>#REF!</v>
      </c>
      <c r="F56" s="766" t="e">
        <f>SUM(C56:E56)</f>
        <v>#REF!</v>
      </c>
      <c r="G56" s="465">
        <f>'YGS Table A '!D50</f>
        <v>24750</v>
      </c>
      <c r="H56" s="760" t="e">
        <f>'CNG Table A'!#REF!</f>
        <v>#REF!</v>
      </c>
      <c r="I56" s="772" t="e">
        <f>'SCG Table A'!#REF!</f>
        <v>#REF!</v>
      </c>
      <c r="J56" s="766" t="e">
        <f t="shared" si="5"/>
        <v>#REF!</v>
      </c>
      <c r="K56" s="465">
        <f>'YGS Table A '!E50</f>
        <v>24750</v>
      </c>
      <c r="L56" s="760" t="e">
        <f>'CNG Table A'!#REF!</f>
        <v>#REF!</v>
      </c>
      <c r="M56" s="772" t="e">
        <f>'SCG Table A'!#REF!</f>
        <v>#REF!</v>
      </c>
      <c r="N56" s="766" t="e">
        <f t="shared" si="6"/>
        <v>#REF!</v>
      </c>
    </row>
    <row r="57" spans="1:14" ht="15.75" thickBot="1" x14ac:dyDescent="0.25">
      <c r="B57" s="969" t="s">
        <v>343</v>
      </c>
      <c r="C57" s="773">
        <f>'YGS Table A '!C51</f>
        <v>599325</v>
      </c>
      <c r="D57" s="773" t="e">
        <f>'CNG Table A'!#REF!</f>
        <v>#REF!</v>
      </c>
      <c r="E57" s="773" t="e">
        <f>'SCG Table A'!#REF!</f>
        <v>#REF!</v>
      </c>
      <c r="F57" s="774" t="e">
        <f>C57+D57+E57</f>
        <v>#REF!</v>
      </c>
      <c r="G57" s="773">
        <f>'YGS Table A '!D51</f>
        <v>676175</v>
      </c>
      <c r="H57" s="773" t="e">
        <f>'CNG Table A'!#REF!</f>
        <v>#REF!</v>
      </c>
      <c r="I57" s="773" t="e">
        <f>'SCG Table A'!#REF!</f>
        <v>#REF!</v>
      </c>
      <c r="J57" s="774" t="e">
        <f t="shared" si="5"/>
        <v>#REF!</v>
      </c>
      <c r="K57" s="773">
        <f>'YGS Table A '!E51</f>
        <v>775300</v>
      </c>
      <c r="L57" s="773" t="e">
        <f>'CNG Table A'!#REF!</f>
        <v>#REF!</v>
      </c>
      <c r="M57" s="773" t="e">
        <f>'SCG Table A'!#REF!</f>
        <v>#REF!</v>
      </c>
      <c r="N57" s="777" t="e">
        <f t="shared" si="6"/>
        <v>#REF!</v>
      </c>
    </row>
    <row r="58" spans="1:14" s="1" customFormat="1" ht="16.5" thickBot="1" x14ac:dyDescent="0.3">
      <c r="A58" s="19"/>
      <c r="B58" s="26" t="s">
        <v>207</v>
      </c>
      <c r="C58" s="489">
        <f t="shared" ref="C58:N58" si="7">SUM(C50:C57)</f>
        <v>1970575</v>
      </c>
      <c r="D58" s="489" t="e">
        <f t="shared" si="7"/>
        <v>#REF!</v>
      </c>
      <c r="E58" s="489" t="e">
        <f t="shared" si="7"/>
        <v>#REF!</v>
      </c>
      <c r="F58" s="489" t="e">
        <f t="shared" si="7"/>
        <v>#REF!</v>
      </c>
      <c r="G58" s="489">
        <f t="shared" si="7"/>
        <v>2075925</v>
      </c>
      <c r="H58" s="489" t="e">
        <f t="shared" si="7"/>
        <v>#REF!</v>
      </c>
      <c r="I58" s="489" t="e">
        <f t="shared" si="7"/>
        <v>#REF!</v>
      </c>
      <c r="J58" s="489" t="e">
        <f t="shared" si="7"/>
        <v>#REF!</v>
      </c>
      <c r="K58" s="489">
        <f t="shared" si="7"/>
        <v>2185050</v>
      </c>
      <c r="L58" s="489" t="e">
        <f t="shared" si="7"/>
        <v>#REF!</v>
      </c>
      <c r="M58" s="489" t="e">
        <f t="shared" si="7"/>
        <v>#REF!</v>
      </c>
      <c r="N58" s="101" t="e">
        <f t="shared" si="7"/>
        <v>#REF!</v>
      </c>
    </row>
    <row r="59" spans="1:14" s="163" customFormat="1" ht="16.5" thickBot="1" x14ac:dyDescent="0.3">
      <c r="A59" s="13"/>
      <c r="B59" s="226" t="s">
        <v>123</v>
      </c>
    </row>
    <row r="60" spans="1:14" s="4" customFormat="1" ht="15.75" x14ac:dyDescent="0.25">
      <c r="A60" s="20"/>
      <c r="B60" s="223" t="s">
        <v>7</v>
      </c>
      <c r="C60" s="476">
        <f>C17+C40+C41</f>
        <v>6959000</v>
      </c>
      <c r="D60" s="476" t="e">
        <f>D17+D40+D41</f>
        <v>#REF!</v>
      </c>
      <c r="E60" s="476" t="e">
        <f>E17+E40+E41</f>
        <v>#REF!</v>
      </c>
      <c r="F60" s="476" t="e">
        <f>F17+F40+F41</f>
        <v>#REF!</v>
      </c>
      <c r="G60" s="476">
        <f>+G17+(G35*0.8)+G40</f>
        <v>7869500</v>
      </c>
      <c r="H60" s="476" t="e">
        <f>+H17+(H35*0.8)+H40</f>
        <v>#REF!</v>
      </c>
      <c r="I60" s="476" t="e">
        <f t="shared" ref="I60:N60" si="8">+I17+(I35*0.8)+I40</f>
        <v>#REF!</v>
      </c>
      <c r="J60" s="476" t="e">
        <f t="shared" si="8"/>
        <v>#REF!</v>
      </c>
      <c r="K60" s="476">
        <f t="shared" si="8"/>
        <v>8724000</v>
      </c>
      <c r="L60" s="476" t="e">
        <f t="shared" si="8"/>
        <v>#REF!</v>
      </c>
      <c r="M60" s="476" t="e">
        <f t="shared" si="8"/>
        <v>#REF!</v>
      </c>
      <c r="N60" s="476" t="e">
        <f t="shared" si="8"/>
        <v>#REF!</v>
      </c>
    </row>
    <row r="61" spans="1:14" s="4" customFormat="1" ht="15.75" x14ac:dyDescent="0.25">
      <c r="A61" s="20"/>
      <c r="B61" s="225" t="s">
        <v>8</v>
      </c>
      <c r="C61" s="477">
        <f>C28+C42</f>
        <v>3966000</v>
      </c>
      <c r="D61" s="477" t="e">
        <f>D28+D42</f>
        <v>#REF!</v>
      </c>
      <c r="E61" s="477" t="e">
        <f>E28+E42</f>
        <v>#REF!</v>
      </c>
      <c r="F61" s="477" t="e">
        <f>F28+F42</f>
        <v>#REF!</v>
      </c>
      <c r="G61" s="477">
        <f>+G28+G38+G39+G41+G42+(G35*0.2)</f>
        <v>4955000</v>
      </c>
      <c r="H61" s="477" t="e">
        <f>+H28+H38+H39+H41+H42+(H35*0.2)</f>
        <v>#REF!</v>
      </c>
      <c r="I61" s="477" t="e">
        <f t="shared" ref="I61:N61" si="9">+I28+I38+I39+I41+I42+(I35*0.2)</f>
        <v>#REF!</v>
      </c>
      <c r="J61" s="477" t="e">
        <f t="shared" si="9"/>
        <v>#REF!</v>
      </c>
      <c r="K61" s="477">
        <f t="shared" si="9"/>
        <v>6060000</v>
      </c>
      <c r="L61" s="477" t="e">
        <f t="shared" si="9"/>
        <v>#REF!</v>
      </c>
      <c r="M61" s="477" t="e">
        <f t="shared" si="9"/>
        <v>#REF!</v>
      </c>
      <c r="N61" s="477" t="e">
        <f t="shared" si="9"/>
        <v>#REF!</v>
      </c>
    </row>
    <row r="62" spans="1:14" s="4" customFormat="1" ht="16.5" thickBot="1" x14ac:dyDescent="0.3">
      <c r="A62" s="13"/>
      <c r="B62" s="491" t="s">
        <v>12</v>
      </c>
      <c r="C62" s="479">
        <f>C58+C46+C35</f>
        <v>2220575</v>
      </c>
      <c r="D62" s="481" t="e">
        <f>D58+D46+D35</f>
        <v>#REF!</v>
      </c>
      <c r="E62" s="481" t="e">
        <f>E58+E46+E35</f>
        <v>#REF!</v>
      </c>
      <c r="F62" s="477" t="e">
        <f>F58+F46+F35</f>
        <v>#REF!</v>
      </c>
      <c r="G62" s="479">
        <f>+G58+G46</f>
        <v>2134925</v>
      </c>
      <c r="H62" s="481" t="e">
        <f>+H58+H46</f>
        <v>#REF!</v>
      </c>
      <c r="I62" s="481" t="e">
        <f t="shared" ref="I62:N62" si="10">+I58+I46</f>
        <v>#REF!</v>
      </c>
      <c r="J62" s="477" t="e">
        <f t="shared" si="10"/>
        <v>#REF!</v>
      </c>
      <c r="K62" s="479">
        <f t="shared" si="10"/>
        <v>2257050</v>
      </c>
      <c r="L62" s="481" t="e">
        <f t="shared" si="10"/>
        <v>#REF!</v>
      </c>
      <c r="M62" s="481" t="e">
        <f t="shared" si="10"/>
        <v>#REF!</v>
      </c>
      <c r="N62" s="477" t="e">
        <f t="shared" si="10"/>
        <v>#REF!</v>
      </c>
    </row>
    <row r="63" spans="1:14" s="1" customFormat="1" ht="16.5" thickBot="1" x14ac:dyDescent="0.3">
      <c r="A63" s="13"/>
      <c r="B63" s="26" t="s">
        <v>33</v>
      </c>
      <c r="C63" s="480">
        <f t="shared" ref="C63:N63" si="11">SUM(C60:C62)</f>
        <v>13145575</v>
      </c>
      <c r="D63" s="482" t="e">
        <f t="shared" si="11"/>
        <v>#REF!</v>
      </c>
      <c r="E63" s="483" t="e">
        <f t="shared" si="11"/>
        <v>#REF!</v>
      </c>
      <c r="F63" s="478" t="e">
        <f t="shared" si="11"/>
        <v>#REF!</v>
      </c>
      <c r="G63" s="480">
        <f t="shared" si="11"/>
        <v>14959425</v>
      </c>
      <c r="H63" s="482" t="e">
        <f t="shared" si="11"/>
        <v>#REF!</v>
      </c>
      <c r="I63" s="483" t="e">
        <f t="shared" si="11"/>
        <v>#REF!</v>
      </c>
      <c r="J63" s="478" t="e">
        <f t="shared" si="11"/>
        <v>#REF!</v>
      </c>
      <c r="K63" s="480">
        <f t="shared" si="11"/>
        <v>17041050</v>
      </c>
      <c r="L63" s="482" t="e">
        <f t="shared" si="11"/>
        <v>#REF!</v>
      </c>
      <c r="M63" s="483" t="e">
        <f t="shared" si="11"/>
        <v>#REF!</v>
      </c>
      <c r="N63" s="478" t="e">
        <f t="shared" si="11"/>
        <v>#REF!</v>
      </c>
    </row>
    <row r="64" spans="1:14" x14ac:dyDescent="0.2">
      <c r="A64" s="19"/>
      <c r="C64" s="14"/>
      <c r="D64" s="14"/>
      <c r="E64" s="14"/>
    </row>
    <row r="65" spans="2:5" x14ac:dyDescent="0.2">
      <c r="D65" s="14"/>
      <c r="E65" s="14"/>
    </row>
    <row r="66" spans="2:5" x14ac:dyDescent="0.2">
      <c r="B66" s="15"/>
    </row>
    <row r="67" spans="2:5" x14ac:dyDescent="0.2">
      <c r="B67" s="15"/>
    </row>
    <row r="68" spans="2:5" x14ac:dyDescent="0.2">
      <c r="B68" s="3"/>
    </row>
    <row r="69" spans="2:5" x14ac:dyDescent="0.2">
      <c r="B69" s="3"/>
    </row>
    <row r="70" spans="2:5" x14ac:dyDescent="0.2">
      <c r="B70" s="3"/>
    </row>
    <row r="71" spans="2:5" ht="20.25" x14ac:dyDescent="0.3">
      <c r="B71" s="213"/>
    </row>
    <row r="72" spans="2:5" ht="20.25" x14ac:dyDescent="0.3">
      <c r="B72" s="213"/>
    </row>
    <row r="73" spans="2:5" ht="20.25" x14ac:dyDescent="0.3">
      <c r="B73" s="213"/>
    </row>
  </sheetData>
  <mergeCells count="6">
    <mergeCell ref="G6:J6"/>
    <mergeCell ref="K6:N6"/>
    <mergeCell ref="B2:N2"/>
    <mergeCell ref="B3:N3"/>
    <mergeCell ref="B4:N4"/>
    <mergeCell ref="C6:F6"/>
  </mergeCells>
  <printOptions horizontalCentered="1" verticalCentered="1"/>
  <pageMargins left="0.5" right="0.5" top="0.22" bottom="1.18" header="0.22" footer="0.23"/>
  <pageSetup scale="42" orientation="landscape" r:id="rId1"/>
  <headerFooter alignWithMargins="0">
    <oddFooter>&amp;R&amp;14
&amp;C&amp;"Arial"&amp;11&amp;K000000
Totals may vary due to rounding_x000D_&amp;1#&amp;"Calibri"&amp;12&amp;K008000Internal Use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FFCC99"/>
  </sheetPr>
  <dimension ref="A1:U51"/>
  <sheetViews>
    <sheetView topLeftCell="A10" workbookViewId="0">
      <selection sqref="A1:E1"/>
    </sheetView>
  </sheetViews>
  <sheetFormatPr defaultRowHeight="12.75" x14ac:dyDescent="0.2"/>
  <cols>
    <col min="1" max="1" width="27.5703125" bestFit="1" customWidth="1"/>
    <col min="3" max="3" width="10.85546875" bestFit="1" customWidth="1"/>
    <col min="4" max="4" width="13.28515625" customWidth="1"/>
    <col min="5" max="5" width="13.140625" bestFit="1" customWidth="1"/>
  </cols>
  <sheetData>
    <row r="1" spans="1:5" ht="15" x14ac:dyDescent="0.25">
      <c r="A1" s="2855" t="s">
        <v>575</v>
      </c>
      <c r="B1" s="2855"/>
      <c r="C1" s="2855"/>
      <c r="D1" s="2855"/>
      <c r="E1" s="2855"/>
    </row>
    <row r="26" spans="1:21" ht="44.25" customHeight="1" x14ac:dyDescent="0.2">
      <c r="F26" s="206"/>
      <c r="G26" s="206"/>
      <c r="H26" s="53"/>
      <c r="I26" s="49"/>
      <c r="O26" s="15"/>
      <c r="P26" s="15"/>
      <c r="Q26" s="13"/>
      <c r="R26" s="13"/>
      <c r="S26" s="44"/>
      <c r="T26" s="25"/>
      <c r="U26" s="13"/>
    </row>
    <row r="27" spans="1:21" ht="38.25" x14ac:dyDescent="0.2">
      <c r="A27" s="209" t="s">
        <v>20</v>
      </c>
      <c r="B27" s="209"/>
      <c r="C27" s="209" t="s">
        <v>679</v>
      </c>
      <c r="D27" s="209" t="s">
        <v>57</v>
      </c>
      <c r="E27" s="209" t="s">
        <v>21</v>
      </c>
      <c r="F27" s="207"/>
      <c r="G27" s="207"/>
      <c r="H27" s="49"/>
      <c r="I27" s="49"/>
      <c r="O27" s="15"/>
      <c r="P27" s="15"/>
      <c r="Q27" s="13"/>
      <c r="R27" s="13"/>
      <c r="S27" s="44"/>
      <c r="T27" s="25"/>
      <c r="U27" s="13"/>
    </row>
    <row r="28" spans="1:21" x14ac:dyDescent="0.2">
      <c r="A28" s="176" t="s">
        <v>228</v>
      </c>
      <c r="B28" s="54"/>
      <c r="C28" s="55" t="e">
        <f>+'CNG Table A'!#REF!</f>
        <v>#REF!</v>
      </c>
      <c r="D28" s="56" t="e">
        <f>C28/$C$41</f>
        <v>#REF!</v>
      </c>
      <c r="E28" s="57" t="e">
        <f>C28/$C$35</f>
        <v>#REF!</v>
      </c>
      <c r="F28" s="207"/>
      <c r="G28" s="207"/>
      <c r="H28" s="49"/>
      <c r="I28" s="58"/>
      <c r="J28" s="32"/>
      <c r="K28" s="32"/>
      <c r="L28" s="32"/>
      <c r="M28" s="32"/>
      <c r="O28" s="15"/>
      <c r="P28" s="15"/>
      <c r="Q28" s="13"/>
      <c r="R28" s="13"/>
      <c r="S28" s="44"/>
      <c r="T28" s="25"/>
      <c r="U28" s="13"/>
    </row>
    <row r="29" spans="1:21" x14ac:dyDescent="0.2">
      <c r="A29" s="176" t="s">
        <v>229</v>
      </c>
      <c r="B29" s="54"/>
      <c r="C29" s="55" t="e">
        <f>+'CNG Table A'!#REF!-'CNG 2016 Table A Pie Charts '!C28</f>
        <v>#REF!</v>
      </c>
      <c r="D29" s="56" t="e">
        <f>C29/$C$41</f>
        <v>#REF!</v>
      </c>
      <c r="E29" s="57" t="e">
        <f>C29/$C$35</f>
        <v>#REF!</v>
      </c>
      <c r="F29" s="207"/>
      <c r="G29" s="207"/>
      <c r="H29" s="49"/>
      <c r="I29" s="49"/>
      <c r="O29" s="15"/>
      <c r="P29" s="15"/>
      <c r="Q29" s="13"/>
      <c r="R29" s="13"/>
      <c r="S29" s="44"/>
      <c r="T29" s="25"/>
      <c r="U29" s="13"/>
    </row>
    <row r="30" spans="1:21" x14ac:dyDescent="0.2">
      <c r="A30" s="108" t="s">
        <v>22</v>
      </c>
      <c r="B30" s="60"/>
      <c r="C30" s="61" t="e">
        <f>SUM(C28:C29)</f>
        <v>#REF!</v>
      </c>
      <c r="D30" s="62" t="e">
        <f>C30/$C$41</f>
        <v>#REF!</v>
      </c>
      <c r="E30" s="62" t="e">
        <f>C30/$C$35</f>
        <v>#REF!</v>
      </c>
      <c r="F30" s="207"/>
      <c r="G30" s="207"/>
      <c r="H30" s="65"/>
      <c r="I30" s="65"/>
      <c r="O30" s="13"/>
      <c r="P30" s="13"/>
      <c r="Q30" s="13"/>
      <c r="R30" s="13"/>
      <c r="S30" s="13"/>
      <c r="T30" s="13"/>
      <c r="U30" s="13"/>
    </row>
    <row r="31" spans="1:21" x14ac:dyDescent="0.2">
      <c r="A31" s="54"/>
      <c r="B31" s="54"/>
      <c r="C31" s="55"/>
      <c r="D31" s="56"/>
      <c r="E31" s="57"/>
      <c r="F31" s="207"/>
      <c r="G31" s="207"/>
      <c r="H31" s="65"/>
      <c r="I31" s="65"/>
      <c r="O31" s="13"/>
      <c r="P31" s="13"/>
      <c r="Q31" s="13"/>
      <c r="R31" s="13"/>
      <c r="S31" s="13"/>
      <c r="T31" s="13"/>
      <c r="U31" s="13"/>
    </row>
    <row r="32" spans="1:21" x14ac:dyDescent="0.2">
      <c r="A32" s="176" t="s">
        <v>56</v>
      </c>
      <c r="B32" s="54"/>
      <c r="C32" s="55" t="e">
        <f>+'CNG Table A'!#REF!</f>
        <v>#REF!</v>
      </c>
      <c r="D32" s="56" t="e">
        <f>C32/$C$41</f>
        <v>#REF!</v>
      </c>
      <c r="E32" s="57" t="e">
        <f>C32/$C$35</f>
        <v>#REF!</v>
      </c>
      <c r="F32" s="207"/>
      <c r="G32" s="207"/>
      <c r="H32" s="49"/>
      <c r="I32" s="50"/>
      <c r="O32" s="13"/>
      <c r="P32" s="13"/>
      <c r="Q32" s="13"/>
      <c r="R32" s="13"/>
      <c r="S32" s="13"/>
      <c r="T32" s="13"/>
      <c r="U32" s="13"/>
    </row>
    <row r="33" spans="1:9" x14ac:dyDescent="0.2">
      <c r="A33" s="108" t="s">
        <v>23</v>
      </c>
      <c r="B33" s="60"/>
      <c r="C33" s="61" t="e">
        <f>+C32</f>
        <v>#REF!</v>
      </c>
      <c r="D33" s="62" t="e">
        <f>C33/$C$41</f>
        <v>#REF!</v>
      </c>
      <c r="E33" s="62" t="e">
        <f>C33/$C$35</f>
        <v>#REF!</v>
      </c>
      <c r="F33" s="165"/>
      <c r="G33" s="165"/>
      <c r="H33" s="49"/>
      <c r="I33" s="50"/>
    </row>
    <row r="34" spans="1:9" x14ac:dyDescent="0.2">
      <c r="A34" s="49"/>
      <c r="B34" s="49"/>
      <c r="C34" s="49"/>
      <c r="D34" s="63"/>
      <c r="E34" s="63"/>
      <c r="F34" s="207"/>
      <c r="G34" s="208"/>
      <c r="H34" s="49"/>
      <c r="I34" s="50"/>
    </row>
    <row r="35" spans="1:9" x14ac:dyDescent="0.2">
      <c r="A35" s="108" t="s">
        <v>29</v>
      </c>
      <c r="B35" s="59"/>
      <c r="C35" s="61" t="e">
        <f>+C33+C30</f>
        <v>#REF!</v>
      </c>
      <c r="D35" s="62" t="e">
        <f>C35/$C$41</f>
        <v>#REF!</v>
      </c>
      <c r="E35" s="62" t="e">
        <f>C35/$C$35</f>
        <v>#REF!</v>
      </c>
      <c r="F35" s="203"/>
      <c r="G35" s="203"/>
      <c r="H35" s="49"/>
      <c r="I35" s="137"/>
    </row>
    <row r="36" spans="1:9" s="34" customFormat="1" ht="15" customHeight="1" x14ac:dyDescent="0.2">
      <c r="A36" s="54"/>
      <c r="B36" s="54"/>
      <c r="C36" s="55"/>
      <c r="D36" s="57"/>
      <c r="E36" s="66"/>
      <c r="F36" s="68"/>
      <c r="G36" s="202"/>
      <c r="H36" s="51"/>
      <c r="I36" s="51"/>
    </row>
    <row r="37" spans="1:9" s="34" customFormat="1" ht="15" customHeight="1" x14ac:dyDescent="0.25">
      <c r="A37" s="177" t="s">
        <v>24</v>
      </c>
      <c r="B37" s="67"/>
      <c r="C37" s="68"/>
      <c r="D37" s="69"/>
      <c r="E37" s="51"/>
      <c r="F37" s="68"/>
      <c r="G37" s="202"/>
      <c r="H37" s="51"/>
      <c r="I37" s="51"/>
    </row>
    <row r="38" spans="1:9" s="34" customFormat="1" ht="15" customHeight="1" x14ac:dyDescent="0.2">
      <c r="A38" s="176" t="s">
        <v>24</v>
      </c>
      <c r="B38" s="54"/>
      <c r="C38" s="70" t="e">
        <f>+'CNG Table A'!#REF!</f>
        <v>#REF!</v>
      </c>
      <c r="D38" s="56" t="e">
        <f>C38/$C$41</f>
        <v>#REF!</v>
      </c>
      <c r="E38" s="51"/>
      <c r="F38" s="68"/>
      <c r="G38" s="203"/>
      <c r="H38" s="51"/>
      <c r="I38" s="51"/>
    </row>
    <row r="39" spans="1:9" s="34" customFormat="1" x14ac:dyDescent="0.2">
      <c r="A39" s="108" t="s">
        <v>25</v>
      </c>
      <c r="B39" s="71"/>
      <c r="C39" s="72" t="e">
        <f>SUM(C38)</f>
        <v>#REF!</v>
      </c>
      <c r="D39" s="73" t="e">
        <f>C39/$C$41</f>
        <v>#REF!</v>
      </c>
      <c r="E39" s="74"/>
      <c r="F39" s="204"/>
      <c r="G39" s="205"/>
      <c r="H39" s="51"/>
      <c r="I39" s="51"/>
    </row>
    <row r="40" spans="1:9" s="34" customFormat="1" x14ac:dyDescent="0.2">
      <c r="A40" s="75"/>
      <c r="B40" s="75"/>
      <c r="C40" s="76"/>
      <c r="D40" s="77"/>
      <c r="E40" s="78"/>
      <c r="F40" s="52"/>
      <c r="G40" s="52"/>
      <c r="H40" s="51"/>
      <c r="I40" s="51"/>
    </row>
    <row r="41" spans="1:9" s="37" customFormat="1" x14ac:dyDescent="0.2">
      <c r="A41" s="79" t="s">
        <v>16</v>
      </c>
      <c r="B41" s="79"/>
      <c r="C41" s="80" t="e">
        <f>C39+C35</f>
        <v>#REF!</v>
      </c>
      <c r="D41" s="57" t="e">
        <f>C41/$C$41</f>
        <v>#REF!</v>
      </c>
      <c r="E41" s="51"/>
      <c r="F41" s="201"/>
      <c r="G41" s="201"/>
    </row>
    <row r="42" spans="1:9" x14ac:dyDescent="0.2">
      <c r="A42" s="35"/>
      <c r="B42" s="35"/>
      <c r="C42" s="38"/>
      <c r="D42" s="30"/>
      <c r="E42" s="37"/>
    </row>
    <row r="43" spans="1:9" x14ac:dyDescent="0.2">
      <c r="A43" s="2249" t="s">
        <v>680</v>
      </c>
    </row>
    <row r="48" spans="1:9" ht="51" x14ac:dyDescent="0.2">
      <c r="A48" s="209" t="s">
        <v>20</v>
      </c>
      <c r="B48" s="209" t="s">
        <v>21</v>
      </c>
    </row>
    <row r="49" spans="1:2" x14ac:dyDescent="0.2">
      <c r="A49" s="176" t="s">
        <v>228</v>
      </c>
      <c r="B49" s="2248" t="e">
        <f>E28</f>
        <v>#REF!</v>
      </c>
    </row>
    <row r="50" spans="1:2" x14ac:dyDescent="0.2">
      <c r="A50" s="176" t="s">
        <v>229</v>
      </c>
      <c r="B50" s="2248" t="e">
        <f>E29</f>
        <v>#REF!</v>
      </c>
    </row>
    <row r="51" spans="1:2" x14ac:dyDescent="0.2">
      <c r="A51" s="176" t="s">
        <v>56</v>
      </c>
      <c r="B51" s="2248" t="e">
        <f>E32</f>
        <v>#REF!</v>
      </c>
    </row>
  </sheetData>
  <mergeCells count="1">
    <mergeCell ref="A1:E1"/>
  </mergeCells>
  <printOptions horizontalCentered="1"/>
  <pageMargins left="0.7" right="0.7" top="0.75" bottom="0.75" header="0.3" footer="0.3"/>
  <pageSetup orientation="portrait" r:id="rId1"/>
  <headerFooter>
    <oddFooter>&amp;C&amp;1#&amp;"Calibri"&amp;12&amp;K008000Internal Use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FFCC99"/>
  </sheetPr>
  <dimension ref="A1:U51"/>
  <sheetViews>
    <sheetView workbookViewId="0">
      <selection sqref="A1:E1"/>
    </sheetView>
  </sheetViews>
  <sheetFormatPr defaultRowHeight="12.75" x14ac:dyDescent="0.2"/>
  <cols>
    <col min="1" max="1" width="27.5703125" bestFit="1" customWidth="1"/>
    <col min="3" max="3" width="10.85546875" bestFit="1" customWidth="1"/>
    <col min="4" max="4" width="13.42578125" customWidth="1"/>
    <col min="5" max="5" width="13.140625" bestFit="1" customWidth="1"/>
  </cols>
  <sheetData>
    <row r="1" spans="1:5" ht="15" x14ac:dyDescent="0.25">
      <c r="A1" s="2855" t="s">
        <v>576</v>
      </c>
      <c r="B1" s="2855"/>
      <c r="C1" s="2855"/>
      <c r="D1" s="2855"/>
      <c r="E1" s="2855"/>
    </row>
    <row r="26" spans="1:21" ht="44.25" customHeight="1" x14ac:dyDescent="0.2">
      <c r="F26" s="206"/>
      <c r="G26" s="206"/>
      <c r="H26" s="53"/>
      <c r="I26" s="49"/>
      <c r="O26" s="15"/>
      <c r="P26" s="15"/>
      <c r="Q26" s="13"/>
      <c r="R26" s="13"/>
      <c r="S26" s="44"/>
      <c r="T26" s="25"/>
      <c r="U26" s="13"/>
    </row>
    <row r="27" spans="1:21" ht="38.25" x14ac:dyDescent="0.2">
      <c r="A27" s="209" t="s">
        <v>20</v>
      </c>
      <c r="B27" s="209"/>
      <c r="C27" s="209" t="s">
        <v>679</v>
      </c>
      <c r="D27" s="209" t="s">
        <v>57</v>
      </c>
      <c r="E27" s="209" t="s">
        <v>21</v>
      </c>
      <c r="F27" s="207"/>
      <c r="G27" s="207"/>
      <c r="H27" s="49"/>
      <c r="I27" s="49"/>
      <c r="O27" s="15"/>
      <c r="P27" s="15"/>
      <c r="Q27" s="13"/>
      <c r="R27" s="13"/>
      <c r="S27" s="44"/>
      <c r="T27" s="25"/>
      <c r="U27" s="13"/>
    </row>
    <row r="28" spans="1:21" x14ac:dyDescent="0.2">
      <c r="A28" s="176" t="s">
        <v>228</v>
      </c>
      <c r="B28" s="54"/>
      <c r="C28" s="55" t="e">
        <f>+'CNG Table A'!#REF!</f>
        <v>#REF!</v>
      </c>
      <c r="D28" s="56" t="e">
        <f>C28/$C$41</f>
        <v>#REF!</v>
      </c>
      <c r="E28" s="57" t="e">
        <f>C28/$C$35</f>
        <v>#REF!</v>
      </c>
      <c r="F28" s="207"/>
      <c r="G28" s="207"/>
      <c r="H28" s="49"/>
      <c r="I28" s="58"/>
      <c r="J28" s="32"/>
      <c r="K28" s="32"/>
      <c r="L28" s="32"/>
      <c r="M28" s="32"/>
      <c r="O28" s="15"/>
      <c r="P28" s="15"/>
      <c r="Q28" s="13"/>
      <c r="R28" s="13"/>
      <c r="S28" s="44"/>
      <c r="T28" s="25"/>
      <c r="U28" s="13"/>
    </row>
    <row r="29" spans="1:21" x14ac:dyDescent="0.2">
      <c r="A29" s="176" t="s">
        <v>229</v>
      </c>
      <c r="B29" s="54"/>
      <c r="C29" s="55" t="e">
        <f>+'CNG Table A'!#REF!-'CNG 2017 Table A Pie Charts'!C28</f>
        <v>#REF!</v>
      </c>
      <c r="D29" s="56" t="e">
        <f>C29/$C$41</f>
        <v>#REF!</v>
      </c>
      <c r="E29" s="57" t="e">
        <f>C29/$C$35</f>
        <v>#REF!</v>
      </c>
      <c r="F29" s="207"/>
      <c r="G29" s="207"/>
      <c r="H29" s="49"/>
      <c r="I29" s="49"/>
      <c r="O29" s="15"/>
      <c r="P29" s="15"/>
      <c r="Q29" s="13"/>
      <c r="R29" s="13"/>
      <c r="S29" s="44"/>
      <c r="T29" s="25"/>
      <c r="U29" s="13"/>
    </row>
    <row r="30" spans="1:21" x14ac:dyDescent="0.2">
      <c r="A30" s="108" t="s">
        <v>22</v>
      </c>
      <c r="B30" s="60"/>
      <c r="C30" s="61" t="e">
        <f>SUM(C28:C29)</f>
        <v>#REF!</v>
      </c>
      <c r="D30" s="62" t="e">
        <f>C30/$C$41</f>
        <v>#REF!</v>
      </c>
      <c r="E30" s="62" t="e">
        <f>C30/$C$35</f>
        <v>#REF!</v>
      </c>
      <c r="F30" s="207"/>
      <c r="G30" s="207"/>
      <c r="H30" s="65"/>
      <c r="I30" s="65"/>
      <c r="O30" s="13"/>
      <c r="P30" s="13"/>
      <c r="Q30" s="13"/>
      <c r="R30" s="13"/>
      <c r="S30" s="13"/>
      <c r="T30" s="13"/>
      <c r="U30" s="13"/>
    </row>
    <row r="31" spans="1:21" x14ac:dyDescent="0.2">
      <c r="A31" s="54"/>
      <c r="B31" s="54"/>
      <c r="C31" s="55"/>
      <c r="D31" s="56"/>
      <c r="E31" s="57"/>
      <c r="F31" s="207"/>
      <c r="G31" s="207"/>
      <c r="H31" s="65"/>
      <c r="I31" s="65"/>
      <c r="O31" s="13"/>
      <c r="P31" s="13"/>
      <c r="Q31" s="13"/>
      <c r="R31" s="13"/>
      <c r="S31" s="13"/>
      <c r="T31" s="13"/>
      <c r="U31" s="13"/>
    </row>
    <row r="32" spans="1:21" x14ac:dyDescent="0.2">
      <c r="A32" s="176" t="s">
        <v>56</v>
      </c>
      <c r="B32" s="54"/>
      <c r="C32" s="55" t="e">
        <f>+'CNG Table A'!#REF!</f>
        <v>#REF!</v>
      </c>
      <c r="D32" s="56" t="e">
        <f>C32/$C$41</f>
        <v>#REF!</v>
      </c>
      <c r="E32" s="57" t="e">
        <f>C32/$C$35</f>
        <v>#REF!</v>
      </c>
      <c r="F32" s="207"/>
      <c r="G32" s="207"/>
      <c r="H32" s="49"/>
      <c r="I32" s="50"/>
      <c r="O32" s="13"/>
      <c r="P32" s="13"/>
      <c r="Q32" s="13"/>
      <c r="R32" s="13"/>
      <c r="S32" s="13"/>
      <c r="T32" s="13"/>
      <c r="U32" s="13"/>
    </row>
    <row r="33" spans="1:9" x14ac:dyDescent="0.2">
      <c r="A33" s="108" t="s">
        <v>23</v>
      </c>
      <c r="B33" s="60"/>
      <c r="C33" s="61" t="e">
        <f>+C32</f>
        <v>#REF!</v>
      </c>
      <c r="D33" s="62" t="e">
        <f>C33/$C$41</f>
        <v>#REF!</v>
      </c>
      <c r="E33" s="62" t="e">
        <f>C33/$C$35</f>
        <v>#REF!</v>
      </c>
      <c r="F33" s="165"/>
      <c r="G33" s="165"/>
      <c r="H33" s="49"/>
      <c r="I33" s="50"/>
    </row>
    <row r="34" spans="1:9" x14ac:dyDescent="0.2">
      <c r="A34" s="49"/>
      <c r="B34" s="49"/>
      <c r="C34" s="49"/>
      <c r="D34" s="63"/>
      <c r="E34" s="63"/>
      <c r="F34" s="207"/>
      <c r="G34" s="208"/>
      <c r="H34" s="49"/>
      <c r="I34" s="50"/>
    </row>
    <row r="35" spans="1:9" x14ac:dyDescent="0.2">
      <c r="A35" s="108" t="s">
        <v>29</v>
      </c>
      <c r="B35" s="59"/>
      <c r="C35" s="61" t="e">
        <f>+C33+C30</f>
        <v>#REF!</v>
      </c>
      <c r="D35" s="62" t="e">
        <f>C35/$C$41</f>
        <v>#REF!</v>
      </c>
      <c r="E35" s="62" t="e">
        <f>C35/$C$35</f>
        <v>#REF!</v>
      </c>
      <c r="F35" s="203"/>
      <c r="G35" s="203"/>
      <c r="H35" s="49"/>
      <c r="I35" s="137"/>
    </row>
    <row r="36" spans="1:9" s="34" customFormat="1" ht="15" customHeight="1" x14ac:dyDescent="0.2">
      <c r="A36" s="54"/>
      <c r="B36" s="54"/>
      <c r="C36" s="55"/>
      <c r="D36" s="57"/>
      <c r="E36" s="66"/>
      <c r="F36" s="68"/>
      <c r="G36" s="202"/>
      <c r="H36" s="51"/>
      <c r="I36" s="51"/>
    </row>
    <row r="37" spans="1:9" s="34" customFormat="1" ht="15" customHeight="1" x14ac:dyDescent="0.25">
      <c r="A37" s="177" t="s">
        <v>24</v>
      </c>
      <c r="B37" s="67"/>
      <c r="C37" s="68"/>
      <c r="D37" s="69"/>
      <c r="E37" s="51"/>
      <c r="F37" s="68"/>
      <c r="G37" s="202"/>
      <c r="H37" s="51"/>
      <c r="I37" s="51"/>
    </row>
    <row r="38" spans="1:9" s="34" customFormat="1" ht="15" customHeight="1" x14ac:dyDescent="0.2">
      <c r="A38" s="176" t="s">
        <v>24</v>
      </c>
      <c r="B38" s="54"/>
      <c r="C38" s="70" t="e">
        <f>+'CNG Table A'!#REF!</f>
        <v>#REF!</v>
      </c>
      <c r="D38" s="56" t="e">
        <f>C38/$C$41</f>
        <v>#REF!</v>
      </c>
      <c r="E38" s="51"/>
      <c r="F38" s="68"/>
      <c r="G38" s="203"/>
      <c r="H38" s="51"/>
      <c r="I38" s="51"/>
    </row>
    <row r="39" spans="1:9" s="34" customFormat="1" x14ac:dyDescent="0.2">
      <c r="A39" s="108" t="s">
        <v>25</v>
      </c>
      <c r="B39" s="71"/>
      <c r="C39" s="72" t="e">
        <f>SUM(C38)</f>
        <v>#REF!</v>
      </c>
      <c r="D39" s="73" t="e">
        <f>C39/$C$41</f>
        <v>#REF!</v>
      </c>
      <c r="E39" s="74"/>
      <c r="F39" s="204"/>
      <c r="G39" s="205"/>
      <c r="H39" s="51"/>
      <c r="I39" s="51"/>
    </row>
    <row r="40" spans="1:9" s="34" customFormat="1" x14ac:dyDescent="0.2">
      <c r="A40" s="75"/>
      <c r="B40" s="75"/>
      <c r="C40" s="76"/>
      <c r="D40" s="77"/>
      <c r="E40" s="78"/>
      <c r="F40" s="52"/>
      <c r="G40" s="52"/>
      <c r="H40" s="51"/>
      <c r="I40" s="51"/>
    </row>
    <row r="41" spans="1:9" s="37" customFormat="1" x14ac:dyDescent="0.2">
      <c r="A41" s="79" t="s">
        <v>16</v>
      </c>
      <c r="B41" s="79"/>
      <c r="C41" s="80" t="e">
        <f>C39+C35</f>
        <v>#REF!</v>
      </c>
      <c r="D41" s="57" t="e">
        <f>C41/$C$41</f>
        <v>#REF!</v>
      </c>
      <c r="E41" s="51"/>
      <c r="F41" s="201"/>
      <c r="G41" s="201"/>
    </row>
    <row r="42" spans="1:9" x14ac:dyDescent="0.2">
      <c r="A42" s="35"/>
      <c r="B42" s="35"/>
      <c r="C42" s="38"/>
      <c r="D42" s="30"/>
      <c r="E42" s="37"/>
    </row>
    <row r="43" spans="1:9" x14ac:dyDescent="0.2">
      <c r="A43" s="2249" t="s">
        <v>680</v>
      </c>
    </row>
    <row r="48" spans="1:9" ht="51" x14ac:dyDescent="0.2">
      <c r="A48" s="209" t="s">
        <v>20</v>
      </c>
      <c r="B48" s="209" t="s">
        <v>21</v>
      </c>
    </row>
    <row r="49" spans="1:2" x14ac:dyDescent="0.2">
      <c r="A49" s="176" t="s">
        <v>228</v>
      </c>
      <c r="B49" s="2248" t="e">
        <f>E28</f>
        <v>#REF!</v>
      </c>
    </row>
    <row r="50" spans="1:2" x14ac:dyDescent="0.2">
      <c r="A50" s="176" t="s">
        <v>229</v>
      </c>
      <c r="B50" s="2248" t="e">
        <f>E29</f>
        <v>#REF!</v>
      </c>
    </row>
    <row r="51" spans="1:2" x14ac:dyDescent="0.2">
      <c r="A51" s="176" t="s">
        <v>56</v>
      </c>
      <c r="B51" s="2248" t="e">
        <f>E32</f>
        <v>#REF!</v>
      </c>
    </row>
  </sheetData>
  <mergeCells count="1">
    <mergeCell ref="A1:E1"/>
  </mergeCells>
  <printOptions horizontalCentered="1"/>
  <pageMargins left="0.7" right="0.7" top="0.75" bottom="0.75" header="0.3" footer="0.3"/>
  <pageSetup orientation="portrait" r:id="rId1"/>
  <headerFooter>
    <oddFooter>&amp;C&amp;1#&amp;"Calibri"&amp;12&amp;K008000Internal Use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FFCC99"/>
  </sheetPr>
  <dimension ref="A1:F51"/>
  <sheetViews>
    <sheetView topLeftCell="A22" zoomScaleNormal="100" workbookViewId="0">
      <selection activeCell="H15" sqref="H15"/>
    </sheetView>
  </sheetViews>
  <sheetFormatPr defaultRowHeight="12.75" x14ac:dyDescent="0.2"/>
  <cols>
    <col min="1" max="1" width="39.85546875" customWidth="1"/>
    <col min="2" max="2" width="14.42578125" bestFit="1" customWidth="1"/>
    <col min="3" max="3" width="17.7109375" customWidth="1"/>
    <col min="4" max="4" width="14.7109375" customWidth="1"/>
    <col min="5" max="5" width="12.5703125" customWidth="1"/>
  </cols>
  <sheetData>
    <row r="1" spans="1:5" ht="15" x14ac:dyDescent="0.25">
      <c r="A1" s="2855" t="s">
        <v>728</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s="33" customFormat="1" ht="16.5" x14ac:dyDescent="0.25">
      <c r="A28" s="2705" t="s">
        <v>228</v>
      </c>
      <c r="B28" s="2706">
        <f>'CNG Table A'!G16</f>
        <v>3735755.1693553999</v>
      </c>
      <c r="C28" s="2707">
        <f ca="1">B28/B$41</f>
        <v>0.25214124269108973</v>
      </c>
      <c r="D28" s="2707">
        <f>B28/B$35</f>
        <v>0.29237902571488489</v>
      </c>
      <c r="E28" s="2650"/>
    </row>
    <row r="29" spans="1:6" s="33" customFormat="1" ht="16.5" x14ac:dyDescent="0.25">
      <c r="A29" s="2705" t="s">
        <v>229</v>
      </c>
      <c r="B29" s="2706">
        <f>'CNG Table A'!G57-'CNG Table A'!G16</f>
        <v>5032990.3754958883</v>
      </c>
      <c r="C29" s="2707">
        <f ca="1">B29/B$41</f>
        <v>0.33969689934171898</v>
      </c>
      <c r="D29" s="2707">
        <f>B29/B$35</f>
        <v>0.39390719030278237</v>
      </c>
      <c r="E29" s="2650"/>
    </row>
    <row r="30" spans="1:6" ht="16.5" x14ac:dyDescent="0.25">
      <c r="A30" s="2708" t="s">
        <v>22</v>
      </c>
      <c r="B30" s="2709">
        <f>SUM(B28:B29)</f>
        <v>8768745.5448512882</v>
      </c>
      <c r="C30" s="2710">
        <f ca="1">B30/B$41</f>
        <v>0.59183814203280871</v>
      </c>
      <c r="D30" s="2710">
        <f>B30/B$35</f>
        <v>0.68628621601766726</v>
      </c>
      <c r="E30" s="13"/>
    </row>
    <row r="31" spans="1:6" ht="16.5" x14ac:dyDescent="0.25">
      <c r="A31" s="2718"/>
      <c r="B31" s="2718"/>
      <c r="C31" s="2718"/>
      <c r="D31" s="2718"/>
      <c r="E31" s="13"/>
    </row>
    <row r="32" spans="1:6" s="33" customFormat="1" ht="16.5" x14ac:dyDescent="0.25">
      <c r="A32" s="2705" t="s">
        <v>56</v>
      </c>
      <c r="B32" s="2706">
        <f>'CNG Table A'!G58</f>
        <v>4008351.4449934741</v>
      </c>
      <c r="C32" s="2707">
        <f ca="1">B32/B$41</f>
        <v>0.27053986909363492</v>
      </c>
      <c r="D32" s="2707">
        <f>B32/B$35</f>
        <v>0.31371378398233279</v>
      </c>
      <c r="E32" s="2650"/>
    </row>
    <row r="33" spans="1:5" ht="16.5" x14ac:dyDescent="0.25">
      <c r="A33" s="2708" t="s">
        <v>23</v>
      </c>
      <c r="B33" s="2709">
        <f>+B32</f>
        <v>4008351.4449934741</v>
      </c>
      <c r="C33" s="2710">
        <f ca="1">B33/B$41</f>
        <v>0.27053986909363492</v>
      </c>
      <c r="D33" s="2710">
        <f>B33/B$35</f>
        <v>0.31371378398233279</v>
      </c>
    </row>
    <row r="34" spans="1:5" ht="16.5" x14ac:dyDescent="0.25">
      <c r="A34" s="2719"/>
      <c r="B34" s="2719"/>
      <c r="C34" s="2719"/>
      <c r="D34" s="2719"/>
    </row>
    <row r="35" spans="1:5" ht="16.5" x14ac:dyDescent="0.25">
      <c r="A35" s="2708" t="s">
        <v>29</v>
      </c>
      <c r="B35" s="2709">
        <f>+B33+B30</f>
        <v>12777096.989844762</v>
      </c>
      <c r="C35" s="2710">
        <f ca="1">B35/B$41</f>
        <v>0.86237801112644363</v>
      </c>
      <c r="D35" s="2710">
        <f>B35/B$35</f>
        <v>1</v>
      </c>
    </row>
    <row r="36" spans="1:5" s="34" customFormat="1" ht="15" customHeight="1" x14ac:dyDescent="0.25">
      <c r="A36" s="2718"/>
      <c r="B36" s="2718"/>
      <c r="C36" s="2718"/>
      <c r="D36" s="2718"/>
    </row>
    <row r="37" spans="1:5" s="34" customFormat="1" ht="15" customHeight="1" x14ac:dyDescent="0.25">
      <c r="A37" s="2721" t="s">
        <v>24</v>
      </c>
      <c r="B37" s="2721"/>
      <c r="C37" s="2721"/>
      <c r="D37" s="2721"/>
    </row>
    <row r="38" spans="1:5" s="34" customFormat="1" ht="15" customHeight="1" x14ac:dyDescent="0.25">
      <c r="A38" s="2711" t="s">
        <v>24</v>
      </c>
      <c r="B38" s="2706">
        <f ca="1">'CNG Table A'!G59</f>
        <v>2039024.0440800665</v>
      </c>
      <c r="C38" s="2707">
        <f ca="1">B38/B$41</f>
        <v>0.13762198887355631</v>
      </c>
      <c r="D38" s="2712"/>
    </row>
    <row r="39" spans="1:5" s="34" customFormat="1" ht="16.5" x14ac:dyDescent="0.25">
      <c r="A39" s="2708" t="s">
        <v>25</v>
      </c>
      <c r="B39" s="2714">
        <f ca="1">SUM(B38)</f>
        <v>2039024.0440800665</v>
      </c>
      <c r="C39" s="2715">
        <f ca="1">B39/B$41</f>
        <v>0.13762198887355631</v>
      </c>
      <c r="D39" s="2713"/>
    </row>
    <row r="40" spans="1:5" s="34" customFormat="1" ht="16.5" x14ac:dyDescent="0.25">
      <c r="A40" s="2720"/>
      <c r="B40" s="2720"/>
      <c r="C40" s="2720"/>
      <c r="D40" s="2720"/>
    </row>
    <row r="41" spans="1:5" s="37" customFormat="1" ht="16.5" x14ac:dyDescent="0.25">
      <c r="A41" s="2713" t="s">
        <v>16</v>
      </c>
      <c r="B41" s="2716">
        <f ca="1">B39+B35</f>
        <v>14816121.033924829</v>
      </c>
      <c r="C41" s="2715">
        <f ca="1">B41/B$41</f>
        <v>1</v>
      </c>
      <c r="D41" s="2717"/>
    </row>
    <row r="42" spans="1:5" ht="12.75" customHeight="1" x14ac:dyDescent="0.2">
      <c r="A42" s="2722"/>
      <c r="B42" s="2722"/>
      <c r="C42" s="2722"/>
      <c r="D42" s="2722"/>
      <c r="E42" s="2722"/>
    </row>
    <row r="43" spans="1:5" ht="12.75" customHeight="1" x14ac:dyDescent="0.2">
      <c r="A43" s="2722" t="s">
        <v>680</v>
      </c>
      <c r="B43" s="2722"/>
      <c r="C43" s="2722"/>
      <c r="D43" s="2722"/>
      <c r="E43" s="2722"/>
    </row>
    <row r="48" spans="1:5" ht="38.25" x14ac:dyDescent="0.2">
      <c r="A48" s="2485" t="s">
        <v>20</v>
      </c>
      <c r="B48" s="2485" t="s">
        <v>21</v>
      </c>
    </row>
    <row r="49" spans="1:2" x14ac:dyDescent="0.2">
      <c r="A49" s="176" t="s">
        <v>228</v>
      </c>
      <c r="B49" s="2248">
        <f>D28</f>
        <v>0.29237902571488489</v>
      </c>
    </row>
    <row r="50" spans="1:2" x14ac:dyDescent="0.2">
      <c r="A50" s="176" t="s">
        <v>229</v>
      </c>
      <c r="B50" s="2248">
        <f>D29</f>
        <v>0.39390719030278237</v>
      </c>
    </row>
    <row r="51" spans="1:2" x14ac:dyDescent="0.2">
      <c r="A51" s="176" t="s">
        <v>56</v>
      </c>
      <c r="B51" s="2248">
        <f>D32</f>
        <v>0.31371378398233279</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2">
    <tabColor rgb="FFFFCC99"/>
  </sheetPr>
  <dimension ref="A1:F51"/>
  <sheetViews>
    <sheetView topLeftCell="A16" zoomScaleNormal="100" workbookViewId="0">
      <selection activeCell="H15" sqref="H15"/>
    </sheetView>
  </sheetViews>
  <sheetFormatPr defaultRowHeight="12.75" x14ac:dyDescent="0.2"/>
  <cols>
    <col min="1" max="1" width="39.85546875" bestFit="1" customWidth="1"/>
    <col min="2" max="2" width="14.42578125" bestFit="1" customWidth="1"/>
    <col min="3" max="3" width="16.85546875" customWidth="1"/>
    <col min="4" max="4" width="15.5703125" customWidth="1"/>
    <col min="5" max="5" width="12.5703125" customWidth="1"/>
  </cols>
  <sheetData>
    <row r="1" spans="1:5" ht="15" x14ac:dyDescent="0.25">
      <c r="A1" s="2855" t="s">
        <v>729</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s="33" customFormat="1" ht="16.5" x14ac:dyDescent="0.25">
      <c r="A28" s="2705" t="s">
        <v>228</v>
      </c>
      <c r="B28" s="2706">
        <f>'CNG Table A'!J16</f>
        <v>4737409.9147097096</v>
      </c>
      <c r="C28" s="2707">
        <f ca="1">B28/B$41</f>
        <v>0.28919202722070853</v>
      </c>
      <c r="D28" s="2707">
        <f>B28/B$35</f>
        <v>0.32519356558941098</v>
      </c>
      <c r="E28" s="2650"/>
    </row>
    <row r="29" spans="1:6" s="33" customFormat="1" ht="16.5" x14ac:dyDescent="0.25">
      <c r="A29" s="2705" t="s">
        <v>229</v>
      </c>
      <c r="B29" s="2706">
        <f>'CNG Table A'!J57-'CNG Table A'!J16</f>
        <v>5296318.1121625341</v>
      </c>
      <c r="C29" s="2707">
        <f ca="1">B29/B$41</f>
        <v>0.32331020520437548</v>
      </c>
      <c r="D29" s="2707">
        <f>B29/B$35</f>
        <v>0.36355911825195103</v>
      </c>
      <c r="E29" s="2650"/>
    </row>
    <row r="30" spans="1:6" ht="16.5" x14ac:dyDescent="0.25">
      <c r="A30" s="2708" t="s">
        <v>22</v>
      </c>
      <c r="B30" s="2709">
        <f>SUM(B28:B29)</f>
        <v>10033728.026872244</v>
      </c>
      <c r="C30" s="2710">
        <f ca="1">B30/B$41</f>
        <v>0.61250223242508406</v>
      </c>
      <c r="D30" s="2710">
        <f>B30/B$35</f>
        <v>0.68875268384136201</v>
      </c>
      <c r="E30" s="13"/>
    </row>
    <row r="31" spans="1:6" ht="16.5" x14ac:dyDescent="0.25">
      <c r="A31" s="2718"/>
      <c r="B31" s="2718"/>
      <c r="C31" s="2718"/>
      <c r="D31" s="2718"/>
      <c r="E31" s="13"/>
    </row>
    <row r="32" spans="1:6" s="33" customFormat="1" ht="16.5" x14ac:dyDescent="0.25">
      <c r="A32" s="2705" t="s">
        <v>56</v>
      </c>
      <c r="B32" s="2706">
        <f>'CNG Table A'!J58</f>
        <v>4534241.379666253</v>
      </c>
      <c r="C32" s="2707">
        <f ca="1">B32/B$41</f>
        <v>0.27678973956258446</v>
      </c>
      <c r="D32" s="2707">
        <f>B32/B$35</f>
        <v>0.31124731615863793</v>
      </c>
      <c r="E32" s="2650"/>
    </row>
    <row r="33" spans="1:4" ht="16.5" x14ac:dyDescent="0.25">
      <c r="A33" s="2708" t="s">
        <v>23</v>
      </c>
      <c r="B33" s="2709">
        <f>+B32</f>
        <v>4534241.379666253</v>
      </c>
      <c r="C33" s="2710">
        <f ca="1">B33/B$41</f>
        <v>0.27678973956258446</v>
      </c>
      <c r="D33" s="2710">
        <f>B33/B$35</f>
        <v>0.31124731615863793</v>
      </c>
    </row>
    <row r="34" spans="1:4" ht="16.5" x14ac:dyDescent="0.25">
      <c r="A34" s="2719"/>
      <c r="B34" s="2719"/>
      <c r="C34" s="2719"/>
      <c r="D34" s="2719"/>
    </row>
    <row r="35" spans="1:4" ht="16.5" x14ac:dyDescent="0.25">
      <c r="A35" s="2708" t="s">
        <v>29</v>
      </c>
      <c r="B35" s="2709">
        <f>+B33+B30</f>
        <v>14567969.406538498</v>
      </c>
      <c r="C35" s="2710">
        <f ca="1">B35/B$41</f>
        <v>0.88929197198766852</v>
      </c>
      <c r="D35" s="2710">
        <f>B35/B$35</f>
        <v>1</v>
      </c>
    </row>
    <row r="36" spans="1:4" s="34" customFormat="1" ht="15" customHeight="1" x14ac:dyDescent="0.25">
      <c r="A36" s="2718"/>
      <c r="B36" s="2718"/>
      <c r="C36" s="2718"/>
      <c r="D36" s="2718"/>
    </row>
    <row r="37" spans="1:4" s="34" customFormat="1" ht="15" customHeight="1" x14ac:dyDescent="0.25">
      <c r="A37" s="2721" t="s">
        <v>24</v>
      </c>
      <c r="B37" s="2721"/>
      <c r="C37" s="2721"/>
      <c r="D37" s="2721"/>
    </row>
    <row r="38" spans="1:4" s="34" customFormat="1" ht="15" customHeight="1" x14ac:dyDescent="0.25">
      <c r="A38" s="2711" t="s">
        <v>24</v>
      </c>
      <c r="B38" s="2706">
        <f ca="1">'CNG Table A'!J59</f>
        <v>1813567.6650010452</v>
      </c>
      <c r="C38" s="2707">
        <f ca="1">B38/B$41</f>
        <v>0.11070802801233141</v>
      </c>
      <c r="D38" s="2712"/>
    </row>
    <row r="39" spans="1:4" s="34" customFormat="1" ht="16.5" x14ac:dyDescent="0.25">
      <c r="A39" s="2708" t="s">
        <v>25</v>
      </c>
      <c r="B39" s="2714">
        <f ca="1">SUM(B38)</f>
        <v>1813567.6650010452</v>
      </c>
      <c r="C39" s="2715">
        <f ca="1">B39/B$41</f>
        <v>0.11070802801233141</v>
      </c>
      <c r="D39" s="2713"/>
    </row>
    <row r="40" spans="1:4" s="34" customFormat="1" ht="16.5" x14ac:dyDescent="0.25">
      <c r="A40" s="2720"/>
      <c r="B40" s="2720"/>
      <c r="C40" s="2720"/>
      <c r="D40" s="2720"/>
    </row>
    <row r="41" spans="1:4" s="37" customFormat="1" ht="16.5" x14ac:dyDescent="0.25">
      <c r="A41" s="2713" t="s">
        <v>16</v>
      </c>
      <c r="B41" s="2716">
        <f ca="1">B39+B35</f>
        <v>16381537.071539544</v>
      </c>
      <c r="C41" s="2715">
        <f ca="1">B41/B$41</f>
        <v>1</v>
      </c>
      <c r="D41" s="2717"/>
    </row>
    <row r="42" spans="1:4" ht="15" x14ac:dyDescent="0.2">
      <c r="A42" s="2722"/>
      <c r="B42" s="2722"/>
      <c r="C42" s="2722"/>
      <c r="D42" s="2722"/>
    </row>
    <row r="43" spans="1:4" ht="15" x14ac:dyDescent="0.2">
      <c r="A43" s="2722" t="s">
        <v>680</v>
      </c>
      <c r="B43" s="2722"/>
      <c r="C43" s="2722"/>
      <c r="D43" s="2722"/>
    </row>
    <row r="48" spans="1:4" ht="38.25" x14ac:dyDescent="0.2">
      <c r="A48" s="2485" t="s">
        <v>20</v>
      </c>
      <c r="B48" s="2485" t="s">
        <v>21</v>
      </c>
    </row>
    <row r="49" spans="1:2" x14ac:dyDescent="0.2">
      <c r="A49" s="176" t="s">
        <v>228</v>
      </c>
      <c r="B49" s="2248">
        <f>D28</f>
        <v>0.32519356558941098</v>
      </c>
    </row>
    <row r="50" spans="1:2" x14ac:dyDescent="0.2">
      <c r="A50" s="176" t="s">
        <v>229</v>
      </c>
      <c r="B50" s="2248">
        <f>D29</f>
        <v>0.36355911825195103</v>
      </c>
    </row>
    <row r="51" spans="1:2" x14ac:dyDescent="0.2">
      <c r="A51" s="176" t="s">
        <v>56</v>
      </c>
      <c r="B51" s="2248">
        <f>D32</f>
        <v>0.31124731615863793</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3">
    <tabColor rgb="FFFFCC99"/>
  </sheetPr>
  <dimension ref="A1:F51"/>
  <sheetViews>
    <sheetView topLeftCell="A16" zoomScaleNormal="100" workbookViewId="0">
      <selection activeCell="H15" sqref="H15"/>
    </sheetView>
  </sheetViews>
  <sheetFormatPr defaultRowHeight="12.75" x14ac:dyDescent="0.2"/>
  <cols>
    <col min="1" max="1" width="39.85546875" bestFit="1" customWidth="1"/>
    <col min="2" max="2" width="14.42578125" bestFit="1" customWidth="1"/>
    <col min="3" max="3" width="18.42578125" customWidth="1"/>
    <col min="4" max="4" width="16.140625" customWidth="1"/>
    <col min="5" max="5" width="12.5703125" customWidth="1"/>
  </cols>
  <sheetData>
    <row r="1" spans="1:5" ht="15" x14ac:dyDescent="0.25">
      <c r="A1" s="2855" t="s">
        <v>730</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s="33" customFormat="1" ht="16.5" x14ac:dyDescent="0.25">
      <c r="A28" s="2705" t="s">
        <v>228</v>
      </c>
      <c r="B28" s="2706">
        <f>'CNG Table A'!M16</f>
        <v>4862141.4270319892</v>
      </c>
      <c r="C28" s="2707">
        <f ca="1">B28/B$41</f>
        <v>0.29557036235135281</v>
      </c>
      <c r="D28" s="2707">
        <f>B28/B$35</f>
        <v>0.33172373076244505</v>
      </c>
      <c r="E28" s="2650"/>
    </row>
    <row r="29" spans="1:6" s="33" customFormat="1" ht="16.5" x14ac:dyDescent="0.25">
      <c r="A29" s="2705" t="s">
        <v>229</v>
      </c>
      <c r="B29" s="2706">
        <f>'CNG Table A'!M57-'CNG Table A'!M16</f>
        <v>5144630.1742473701</v>
      </c>
      <c r="C29" s="2707">
        <f ca="1">B29/B$41</f>
        <v>0.312742898902927</v>
      </c>
      <c r="D29" s="2707">
        <f>B29/B$35</f>
        <v>0.35099676560337068</v>
      </c>
      <c r="E29" s="2650"/>
    </row>
    <row r="30" spans="1:6" ht="16.5" x14ac:dyDescent="0.25">
      <c r="A30" s="2708" t="s">
        <v>22</v>
      </c>
      <c r="B30" s="2709">
        <f>SUM(B28:B29)</f>
        <v>10006771.601279359</v>
      </c>
      <c r="C30" s="2710">
        <f ca="1">B30/B$41</f>
        <v>0.60831326125427987</v>
      </c>
      <c r="D30" s="2710">
        <f>B30/B$35</f>
        <v>0.68272049636581567</v>
      </c>
      <c r="E30" s="13"/>
    </row>
    <row r="31" spans="1:6" ht="16.5" x14ac:dyDescent="0.25">
      <c r="A31" s="2718"/>
      <c r="B31" s="2718"/>
      <c r="C31" s="2718"/>
      <c r="D31" s="2718"/>
      <c r="E31" s="13"/>
    </row>
    <row r="32" spans="1:6" s="33" customFormat="1" ht="16.5" x14ac:dyDescent="0.25">
      <c r="A32" s="2705" t="s">
        <v>56</v>
      </c>
      <c r="B32" s="2706">
        <f>'CNG Table A'!M58</f>
        <v>4650429.4854703862</v>
      </c>
      <c r="C32" s="2707">
        <f ca="1">B32/B$41</f>
        <v>0.28270035924252312</v>
      </c>
      <c r="D32" s="2707">
        <f>B32/B$35</f>
        <v>0.31727950363418433</v>
      </c>
      <c r="E32" s="2650"/>
    </row>
    <row r="33" spans="1:4" ht="16.5" x14ac:dyDescent="0.25">
      <c r="A33" s="2708" t="s">
        <v>23</v>
      </c>
      <c r="B33" s="2709">
        <f>+B32</f>
        <v>4650429.4854703862</v>
      </c>
      <c r="C33" s="2710">
        <f ca="1">B33/B$41</f>
        <v>0.28270035924252312</v>
      </c>
      <c r="D33" s="2710">
        <f>B33/B$35</f>
        <v>0.31727950363418433</v>
      </c>
    </row>
    <row r="34" spans="1:4" ht="16.5" x14ac:dyDescent="0.25">
      <c r="A34" s="2719"/>
      <c r="B34" s="2719"/>
      <c r="C34" s="2719"/>
      <c r="D34" s="2719"/>
    </row>
    <row r="35" spans="1:4" ht="16.5" x14ac:dyDescent="0.25">
      <c r="A35" s="2708" t="s">
        <v>29</v>
      </c>
      <c r="B35" s="2709">
        <f>+B33+B30</f>
        <v>14657201.086749746</v>
      </c>
      <c r="C35" s="2710">
        <f ca="1">B35/B$41</f>
        <v>0.89101362049680288</v>
      </c>
      <c r="D35" s="2710">
        <f>B35/B$35</f>
        <v>1</v>
      </c>
    </row>
    <row r="36" spans="1:4" s="34" customFormat="1" ht="15" customHeight="1" x14ac:dyDescent="0.25">
      <c r="A36" s="2718"/>
      <c r="B36" s="2718"/>
      <c r="C36" s="2718"/>
      <c r="D36" s="2718"/>
    </row>
    <row r="37" spans="1:4" s="34" customFormat="1" ht="15" customHeight="1" x14ac:dyDescent="0.25">
      <c r="A37" s="2721" t="s">
        <v>24</v>
      </c>
      <c r="B37" s="2721"/>
      <c r="C37" s="2721"/>
      <c r="D37" s="2721"/>
    </row>
    <row r="38" spans="1:4" s="34" customFormat="1" ht="15" customHeight="1" x14ac:dyDescent="0.25">
      <c r="A38" s="2711" t="s">
        <v>24</v>
      </c>
      <c r="B38" s="2706">
        <f ca="1">'CNG Table A'!M59</f>
        <v>1792829.2490124875</v>
      </c>
      <c r="C38" s="2707">
        <f ca="1">B38/B$41</f>
        <v>0.1089863795031971</v>
      </c>
      <c r="D38" s="2712"/>
    </row>
    <row r="39" spans="1:4" s="34" customFormat="1" ht="16.5" x14ac:dyDescent="0.25">
      <c r="A39" s="2708" t="s">
        <v>25</v>
      </c>
      <c r="B39" s="2714">
        <f ca="1">SUM(B38)</f>
        <v>1792829.2490124875</v>
      </c>
      <c r="C39" s="2715">
        <f ca="1">B39/B$41</f>
        <v>0.1089863795031971</v>
      </c>
      <c r="D39" s="2713"/>
    </row>
    <row r="40" spans="1:4" s="34" customFormat="1" ht="16.5" x14ac:dyDescent="0.25">
      <c r="A40" s="2720"/>
      <c r="B40" s="2720"/>
      <c r="C40" s="2720"/>
      <c r="D40" s="2720"/>
    </row>
    <row r="41" spans="1:4" s="37" customFormat="1" ht="16.5" x14ac:dyDescent="0.25">
      <c r="A41" s="2713" t="s">
        <v>16</v>
      </c>
      <c r="B41" s="2716">
        <f ca="1">B39+B35</f>
        <v>16450030.335762233</v>
      </c>
      <c r="C41" s="2715">
        <f ca="1">B41/B$41</f>
        <v>1</v>
      </c>
      <c r="D41" s="2717"/>
    </row>
    <row r="42" spans="1:4" ht="15" x14ac:dyDescent="0.2">
      <c r="A42" s="2722"/>
      <c r="B42" s="2722"/>
      <c r="C42" s="2722"/>
      <c r="D42" s="2722"/>
    </row>
    <row r="43" spans="1:4" ht="15" x14ac:dyDescent="0.2">
      <c r="A43" s="2722" t="s">
        <v>680</v>
      </c>
      <c r="B43" s="2722"/>
      <c r="C43" s="2722"/>
      <c r="D43" s="2722"/>
    </row>
    <row r="48" spans="1:4" ht="38.25" x14ac:dyDescent="0.2">
      <c r="A48" s="2485" t="s">
        <v>20</v>
      </c>
      <c r="B48" s="2485" t="s">
        <v>21</v>
      </c>
    </row>
    <row r="49" spans="1:2" x14ac:dyDescent="0.2">
      <c r="A49" s="176" t="s">
        <v>228</v>
      </c>
      <c r="B49" s="2248">
        <f>D28</f>
        <v>0.33172373076244505</v>
      </c>
    </row>
    <row r="50" spans="1:2" x14ac:dyDescent="0.2">
      <c r="A50" s="176" t="s">
        <v>229</v>
      </c>
      <c r="B50" s="2248">
        <f>D29</f>
        <v>0.35099676560337068</v>
      </c>
    </row>
    <row r="51" spans="1:2" x14ac:dyDescent="0.2">
      <c r="A51" s="176" t="s">
        <v>56</v>
      </c>
      <c r="B51" s="2248">
        <f>D32</f>
        <v>0.31727950363418433</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theme="9" tint="0.39997558519241921"/>
    <pageSetUpPr fitToPage="1"/>
  </sheetPr>
  <dimension ref="A1:H25"/>
  <sheetViews>
    <sheetView topLeftCell="B1" zoomScaleNormal="100" workbookViewId="0">
      <pane xSplit="1" ySplit="4" topLeftCell="C5" activePane="bottomRight" state="frozen"/>
      <selection activeCell="H15" sqref="H15"/>
      <selection pane="topRight" activeCell="H15" sqref="H15"/>
      <selection pane="bottomLeft" activeCell="H15" sqref="H15"/>
      <selection pane="bottomRight" activeCell="H30" sqref="H30"/>
    </sheetView>
  </sheetViews>
  <sheetFormatPr defaultRowHeight="15" x14ac:dyDescent="0.2"/>
  <cols>
    <col min="1" max="1" width="4.85546875" style="1513" hidden="1" customWidth="1"/>
    <col min="2" max="2" width="76" style="1513" bestFit="1" customWidth="1"/>
    <col min="3" max="3" width="18.85546875" style="1513" bestFit="1" customWidth="1"/>
    <col min="4" max="4" width="18.85546875" style="1513" customWidth="1"/>
    <col min="5" max="8" width="18.85546875" style="1513" bestFit="1" customWidth="1"/>
    <col min="9" max="10" width="9.140625" style="1513"/>
    <col min="11" max="11" width="9.7109375" style="1513" bestFit="1" customWidth="1"/>
    <col min="12" max="16384" width="9.140625" style="1513"/>
  </cols>
  <sheetData>
    <row r="1" spans="1:8" ht="15.75" x14ac:dyDescent="0.25">
      <c r="B1" s="1313"/>
    </row>
    <row r="2" spans="1:8" ht="20.25" customHeight="1" x14ac:dyDescent="0.25">
      <c r="A2" s="2652"/>
      <c r="B2" s="2653" t="s">
        <v>711</v>
      </c>
      <c r="C2" s="2653"/>
      <c r="D2" s="2653"/>
      <c r="E2" s="2683"/>
      <c r="F2" s="2683"/>
    </row>
    <row r="3" spans="1:8" ht="20.25" customHeight="1" x14ac:dyDescent="0.25">
      <c r="A3" s="2652"/>
      <c r="B3" s="2653" t="s">
        <v>736</v>
      </c>
      <c r="C3" s="2653"/>
      <c r="D3" s="2653"/>
      <c r="E3" s="2683"/>
      <c r="F3" s="2683"/>
    </row>
    <row r="4" spans="1:8" ht="20.25" customHeight="1" x14ac:dyDescent="0.25">
      <c r="A4" s="2652"/>
      <c r="B4" s="2654"/>
    </row>
    <row r="6" spans="1:8" ht="15.75" thickBot="1" x14ac:dyDescent="0.25"/>
    <row r="7" spans="1:8" ht="18" x14ac:dyDescent="0.25">
      <c r="B7" s="2723"/>
      <c r="C7" s="2724">
        <v>2021</v>
      </c>
      <c r="D7" s="2724">
        <v>2021</v>
      </c>
      <c r="E7" s="2724">
        <v>2022</v>
      </c>
      <c r="F7" s="2724">
        <v>2023</v>
      </c>
      <c r="G7" s="2724">
        <v>2024</v>
      </c>
      <c r="H7" s="2724">
        <v>2025</v>
      </c>
    </row>
    <row r="8" spans="1:8" ht="18" x14ac:dyDescent="0.25">
      <c r="B8" s="2725"/>
      <c r="C8" s="2726" t="s">
        <v>37</v>
      </c>
      <c r="D8" s="2726" t="s">
        <v>37</v>
      </c>
      <c r="E8" s="2726" t="s">
        <v>37</v>
      </c>
      <c r="F8" s="2726" t="s">
        <v>37</v>
      </c>
      <c r="G8" s="2726" t="s">
        <v>37</v>
      </c>
      <c r="H8" s="2726" t="s">
        <v>37</v>
      </c>
    </row>
    <row r="9" spans="1:8" ht="18" x14ac:dyDescent="0.25">
      <c r="B9" s="2726"/>
      <c r="C9" s="2726" t="s">
        <v>287</v>
      </c>
      <c r="D9" s="2726"/>
      <c r="E9" s="2726" t="s">
        <v>287</v>
      </c>
      <c r="F9" s="2726" t="s">
        <v>287</v>
      </c>
      <c r="G9" s="2726" t="s">
        <v>287</v>
      </c>
      <c r="H9" s="2726" t="s">
        <v>287</v>
      </c>
    </row>
    <row r="10" spans="1:8" ht="18" x14ac:dyDescent="0.25">
      <c r="B10" s="2726"/>
      <c r="C10" s="2726" t="s">
        <v>712</v>
      </c>
      <c r="D10" s="2726" t="s">
        <v>186</v>
      </c>
      <c r="E10" s="2726" t="s">
        <v>712</v>
      </c>
      <c r="F10" s="2726" t="s">
        <v>712</v>
      </c>
      <c r="G10" s="2726" t="s">
        <v>712</v>
      </c>
      <c r="H10" s="2726" t="s">
        <v>712</v>
      </c>
    </row>
    <row r="11" spans="1:8" ht="16.5" customHeight="1" thickBot="1" x14ac:dyDescent="0.3">
      <c r="B11" s="2727"/>
      <c r="C11" s="2728" t="s">
        <v>1</v>
      </c>
      <c r="D11" s="2728" t="s">
        <v>820</v>
      </c>
      <c r="E11" s="2728" t="s">
        <v>1</v>
      </c>
      <c r="F11" s="2728" t="s">
        <v>1</v>
      </c>
      <c r="G11" s="2728" t="s">
        <v>1</v>
      </c>
      <c r="H11" s="2728" t="s">
        <v>1</v>
      </c>
    </row>
    <row r="12" spans="1:8" ht="18.75" thickBot="1" x14ac:dyDescent="0.3">
      <c r="B12" s="2731" t="s">
        <v>727</v>
      </c>
      <c r="C12" s="2732">
        <f>17950000-12847481</f>
        <v>5102519</v>
      </c>
      <c r="D12" s="2732">
        <f>17950000-12847481</f>
        <v>5102519</v>
      </c>
      <c r="E12" s="2733">
        <v>-1121804.3499999978</v>
      </c>
      <c r="F12" s="2733"/>
      <c r="G12" s="2733"/>
      <c r="H12" s="2733"/>
    </row>
    <row r="13" spans="1:8" ht="18.75" thickBot="1" x14ac:dyDescent="0.3">
      <c r="B13" s="2731" t="s">
        <v>726</v>
      </c>
      <c r="C13" s="2732">
        <f>(1793148+13946707)-17950000</f>
        <v>-2210145</v>
      </c>
      <c r="D13" s="2732">
        <f>(1793148+13946707)-17950000</f>
        <v>-2210145</v>
      </c>
      <c r="E13" s="2733">
        <v>-681920.61981860362</v>
      </c>
      <c r="F13" s="2733"/>
      <c r="G13" s="2733"/>
      <c r="H13" s="2733"/>
    </row>
    <row r="14" spans="1:8" ht="18.75" thickBot="1" x14ac:dyDescent="0.3">
      <c r="B14" s="2731" t="s">
        <v>725</v>
      </c>
      <c r="C14" s="2732">
        <v>368376.21624267584</v>
      </c>
      <c r="D14" s="2732">
        <f>6256.85+368376.216242676</f>
        <v>374633.066242676</v>
      </c>
      <c r="E14" s="2733">
        <v>260037</v>
      </c>
      <c r="F14" s="2733"/>
      <c r="G14" s="2733"/>
      <c r="H14" s="2733"/>
    </row>
    <row r="15" spans="1:8" ht="18.75" thickBot="1" x14ac:dyDescent="0.3">
      <c r="B15" s="2731" t="s">
        <v>713</v>
      </c>
      <c r="C15" s="2732">
        <f>-204+13490749.3494507</f>
        <v>13490545.3494507</v>
      </c>
      <c r="D15" s="2732">
        <v>12802369</v>
      </c>
      <c r="E15" s="2733">
        <v>16359809</v>
      </c>
      <c r="F15" s="2733">
        <v>16381537.069521947</v>
      </c>
      <c r="G15" s="2733">
        <v>16450030.333762234</v>
      </c>
      <c r="H15" s="2733">
        <v>16518809.976944031</v>
      </c>
    </row>
    <row r="16" spans="1:8" ht="18.75" thickBot="1" x14ac:dyDescent="0.3">
      <c r="B16" s="2729" t="s">
        <v>714</v>
      </c>
      <c r="C16" s="2730">
        <f>SUM(C12:C15)</f>
        <v>16751295.565693375</v>
      </c>
      <c r="D16" s="2730">
        <f>SUM(D12:D15)</f>
        <v>16069376.066242676</v>
      </c>
      <c r="E16" s="2730">
        <f>SUM(E12:E15)</f>
        <v>14816121.030181399</v>
      </c>
      <c r="F16" s="2730">
        <f>SUM(F15:F15)</f>
        <v>16381537.069521947</v>
      </c>
      <c r="G16" s="2730">
        <f>SUM(G15:G15)</f>
        <v>16450030.333762234</v>
      </c>
      <c r="H16" s="2730">
        <f>SUM(H15:H15)</f>
        <v>16518809.976944031</v>
      </c>
    </row>
    <row r="17" spans="2:8" x14ac:dyDescent="0.2">
      <c r="F17" s="2684"/>
      <c r="G17" s="2684"/>
      <c r="H17" s="2684"/>
    </row>
    <row r="19" spans="2:8" x14ac:dyDescent="0.2">
      <c r="B19" s="1513" t="s">
        <v>715</v>
      </c>
    </row>
    <row r="20" spans="2:8" x14ac:dyDescent="0.2">
      <c r="B20" s="1513" t="s">
        <v>716</v>
      </c>
      <c r="C20" s="2655">
        <f ca="1">C25</f>
        <v>718106.62244612619</v>
      </c>
      <c r="D20" s="2655"/>
      <c r="E20" s="2655">
        <f ca="1">E25</f>
        <v>701103.85858006671</v>
      </c>
      <c r="F20" s="2655">
        <f ca="1">F25</f>
        <v>775647.47950104519</v>
      </c>
      <c r="G20" s="2655">
        <f ca="1">G25</f>
        <v>778909.06351248734</v>
      </c>
      <c r="H20" s="2655">
        <f ca="1">H25</f>
        <v>782184.28461638244</v>
      </c>
    </row>
    <row r="21" spans="2:8" x14ac:dyDescent="0.2">
      <c r="B21" s="1513" t="s">
        <v>717</v>
      </c>
      <c r="C21" s="2655">
        <v>43333</v>
      </c>
      <c r="D21" s="2655"/>
      <c r="E21" s="2655">
        <f>'CNG Table A'!G47</f>
        <v>53333</v>
      </c>
      <c r="F21" s="2655">
        <f>'CNG Table A'!J47</f>
        <v>53333</v>
      </c>
      <c r="G21" s="2655">
        <f>'CNG Table A'!M47</f>
        <v>53333</v>
      </c>
      <c r="H21" s="2655">
        <f>'CNG Table A'!N47</f>
        <v>53333</v>
      </c>
    </row>
    <row r="22" spans="2:8" x14ac:dyDescent="0.2">
      <c r="B22" s="1513" t="s">
        <v>488</v>
      </c>
      <c r="C22" s="2655">
        <v>21931</v>
      </c>
      <c r="D22" s="2655"/>
      <c r="E22" s="2655">
        <f>'CNG Table A'!G45</f>
        <v>29607</v>
      </c>
      <c r="F22" s="2655">
        <f>'CNG Table A'!J45</f>
        <v>29607</v>
      </c>
      <c r="G22" s="2655">
        <f>'CNG Table A'!M45</f>
        <v>29607</v>
      </c>
      <c r="H22" s="2655">
        <f>'CNG Table A'!N45</f>
        <v>29607</v>
      </c>
    </row>
    <row r="23" spans="2:8" x14ac:dyDescent="0.2">
      <c r="B23" s="1513" t="s">
        <v>718</v>
      </c>
      <c r="C23" s="2655">
        <v>10000</v>
      </c>
      <c r="D23" s="2655"/>
      <c r="E23" s="2655">
        <f>'CNG Table A'!G48</f>
        <v>10000</v>
      </c>
      <c r="F23" s="2655">
        <f>'CNG Table A'!J48</f>
        <v>10000</v>
      </c>
      <c r="G23" s="2655">
        <f>'CNG Table A'!M48</f>
        <v>10000</v>
      </c>
      <c r="H23" s="2655">
        <f>'CNG Table A'!N48</f>
        <v>10000</v>
      </c>
    </row>
    <row r="25" spans="2:8" ht="15.75" x14ac:dyDescent="0.25">
      <c r="B25" s="1513" t="s">
        <v>719</v>
      </c>
      <c r="C25" s="2656">
        <f ca="1">(C16-C20-C21-C22-C23)*0.045</f>
        <v>718106.62244612619</v>
      </c>
      <c r="D25" s="2656"/>
      <c r="E25" s="2656">
        <f ca="1">(E16-E20-E21-E22-E23)*0.05</f>
        <v>701103.85858006671</v>
      </c>
      <c r="F25" s="2656">
        <f ca="1">(F16-F20-F21-F22-F23)*0.05</f>
        <v>775647.47950104519</v>
      </c>
      <c r="G25" s="2656">
        <f ca="1">(G16-G20-G21-G22-G23)*0.05</f>
        <v>778909.06351248734</v>
      </c>
      <c r="H25" s="2656">
        <f ca="1">(H16-H20-H21-H22-H23)*0.05</f>
        <v>782184.28461638244</v>
      </c>
    </row>
  </sheetData>
  <printOptions horizontalCentered="1"/>
  <pageMargins left="0" right="0" top="1" bottom="1" header="0.22" footer="0.23"/>
  <pageSetup scale="93" orientation="landscape" r:id="rId1"/>
  <headerFooter alignWithMargins="0">
    <oddFooter>&amp;C&amp;1#&amp;"Calibri"&amp;12&amp;K008000Internal Use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1">
    <pageSetUpPr fitToPage="1"/>
  </sheetPr>
  <dimension ref="B2:E28"/>
  <sheetViews>
    <sheetView workbookViewId="0">
      <selection activeCell="C67" sqref="C67:E67"/>
    </sheetView>
  </sheetViews>
  <sheetFormatPr defaultRowHeight="12.75" x14ac:dyDescent="0.2"/>
  <cols>
    <col min="1" max="1" width="9.140625" style="1039"/>
    <col min="2" max="2" width="47.42578125" style="1039" bestFit="1" customWidth="1"/>
    <col min="3" max="3" width="11.85546875" style="1039" bestFit="1" customWidth="1"/>
    <col min="4" max="5" width="10.7109375" style="1039" customWidth="1"/>
    <col min="6" max="16384" width="9.140625" style="1039"/>
  </cols>
  <sheetData>
    <row r="2" spans="2:5" x14ac:dyDescent="0.2">
      <c r="B2" s="2860" t="s">
        <v>681</v>
      </c>
      <c r="C2" s="2860"/>
      <c r="D2" s="2860"/>
      <c r="E2" s="2860"/>
    </row>
    <row r="4" spans="2:5" ht="13.5" thickBot="1" x14ac:dyDescent="0.25"/>
    <row r="5" spans="2:5" ht="16.5" thickBot="1" x14ac:dyDescent="0.3">
      <c r="B5" s="2401"/>
      <c r="C5" s="2402" t="s">
        <v>682</v>
      </c>
      <c r="D5" s="2403" t="s">
        <v>683</v>
      </c>
      <c r="E5" s="2404" t="s">
        <v>684</v>
      </c>
    </row>
    <row r="6" spans="2:5" ht="16.5" thickBot="1" x14ac:dyDescent="0.3">
      <c r="B6" s="2405" t="s">
        <v>393</v>
      </c>
      <c r="C6" s="2406"/>
      <c r="D6" s="2407"/>
      <c r="E6" s="2408"/>
    </row>
    <row r="7" spans="2:5" ht="15.75" x14ac:dyDescent="0.25">
      <c r="B7" s="2409" t="s">
        <v>600</v>
      </c>
      <c r="C7" s="2410">
        <v>0.5</v>
      </c>
      <c r="D7" s="2411">
        <v>0.5</v>
      </c>
      <c r="E7" s="2412">
        <v>0</v>
      </c>
    </row>
    <row r="8" spans="2:5" ht="15.75" x14ac:dyDescent="0.25">
      <c r="B8" s="2413" t="s">
        <v>487</v>
      </c>
      <c r="C8" s="2414">
        <v>0.8</v>
      </c>
      <c r="D8" s="2415">
        <v>0.2</v>
      </c>
      <c r="E8" s="2416">
        <v>0</v>
      </c>
    </row>
    <row r="9" spans="2:5" ht="15.75" x14ac:dyDescent="0.25">
      <c r="B9" s="2413" t="s">
        <v>601</v>
      </c>
      <c r="C9" s="2414">
        <v>0.8</v>
      </c>
      <c r="D9" s="2415">
        <v>0.2</v>
      </c>
      <c r="E9" s="2416">
        <v>0</v>
      </c>
    </row>
    <row r="10" spans="2:5" ht="16.5" thickBot="1" x14ac:dyDescent="0.3">
      <c r="B10" s="2413" t="s">
        <v>602</v>
      </c>
      <c r="C10" s="2414">
        <v>0.5</v>
      </c>
      <c r="D10" s="2415">
        <v>0.5</v>
      </c>
      <c r="E10" s="2416">
        <v>0</v>
      </c>
    </row>
    <row r="11" spans="2:5" ht="16.5" thickBot="1" x14ac:dyDescent="0.3">
      <c r="B11" s="2428" t="s">
        <v>108</v>
      </c>
      <c r="C11" s="2417"/>
      <c r="D11" s="2418"/>
      <c r="E11" s="2419"/>
    </row>
    <row r="12" spans="2:5" ht="15.75" x14ac:dyDescent="0.25">
      <c r="B12" s="2458" t="s">
        <v>651</v>
      </c>
      <c r="C12" s="2411">
        <v>1</v>
      </c>
      <c r="D12" s="2411">
        <v>0</v>
      </c>
      <c r="E12" s="2412">
        <v>0</v>
      </c>
    </row>
    <row r="13" spans="2:5" ht="15.75" x14ac:dyDescent="0.25">
      <c r="B13" s="2459" t="s">
        <v>652</v>
      </c>
      <c r="C13" s="2415">
        <v>0</v>
      </c>
      <c r="D13" s="2415">
        <v>1</v>
      </c>
      <c r="E13" s="2416">
        <v>0</v>
      </c>
    </row>
    <row r="14" spans="2:5" ht="16.5" thickBot="1" x14ac:dyDescent="0.3">
      <c r="B14" s="2460" t="s">
        <v>653</v>
      </c>
      <c r="C14" s="2422">
        <v>0</v>
      </c>
      <c r="D14" s="2422">
        <v>0</v>
      </c>
      <c r="E14" s="2423">
        <v>1</v>
      </c>
    </row>
    <row r="15" spans="2:5" ht="16.5" thickBot="1" x14ac:dyDescent="0.3">
      <c r="B15" s="2457" t="s">
        <v>629</v>
      </c>
      <c r="C15" s="2417"/>
      <c r="D15" s="2418"/>
      <c r="E15" s="2419"/>
    </row>
    <row r="16" spans="2:5" ht="16.5" thickBot="1" x14ac:dyDescent="0.3">
      <c r="B16" s="2424" t="s">
        <v>685</v>
      </c>
      <c r="C16" s="2425">
        <v>0</v>
      </c>
      <c r="D16" s="2426">
        <v>1</v>
      </c>
      <c r="E16" s="2427">
        <v>0</v>
      </c>
    </row>
    <row r="17" spans="2:5" ht="16.5" thickBot="1" x14ac:dyDescent="0.3">
      <c r="B17" s="2428" t="s">
        <v>401</v>
      </c>
      <c r="C17" s="2417"/>
      <c r="D17" s="2418"/>
      <c r="E17" s="2419"/>
    </row>
    <row r="18" spans="2:5" ht="15.75" x14ac:dyDescent="0.25">
      <c r="B18" s="2420" t="s">
        <v>662</v>
      </c>
      <c r="C18" s="2410">
        <v>0</v>
      </c>
      <c r="D18" s="2411">
        <v>0</v>
      </c>
      <c r="E18" s="2412">
        <v>1</v>
      </c>
    </row>
    <row r="19" spans="2:5" ht="15.75" x14ac:dyDescent="0.25">
      <c r="B19" s="2429" t="s">
        <v>663</v>
      </c>
      <c r="C19" s="2414">
        <v>0.8</v>
      </c>
      <c r="D19" s="2415">
        <v>0.2</v>
      </c>
      <c r="E19" s="2416">
        <v>0</v>
      </c>
    </row>
    <row r="20" spans="2:5" ht="15.75" x14ac:dyDescent="0.25">
      <c r="B20" s="2429" t="s">
        <v>686</v>
      </c>
      <c r="C20" s="2414">
        <v>0</v>
      </c>
      <c r="D20" s="2415">
        <v>0</v>
      </c>
      <c r="E20" s="2416">
        <v>1</v>
      </c>
    </row>
    <row r="21" spans="2:5" ht="15.75" x14ac:dyDescent="0.25">
      <c r="B21" s="2429" t="s">
        <v>639</v>
      </c>
      <c r="C21" s="2414">
        <v>0</v>
      </c>
      <c r="D21" s="2415">
        <v>0</v>
      </c>
      <c r="E21" s="2416">
        <v>1</v>
      </c>
    </row>
    <row r="22" spans="2:5" ht="15.75" x14ac:dyDescent="0.25">
      <c r="B22" s="2429" t="s">
        <v>640</v>
      </c>
      <c r="C22" s="2414">
        <v>0</v>
      </c>
      <c r="D22" s="2415">
        <v>0</v>
      </c>
      <c r="E22" s="2416">
        <v>1</v>
      </c>
    </row>
    <row r="23" spans="2:5" ht="15.75" x14ac:dyDescent="0.25">
      <c r="B23" s="2429" t="s">
        <v>664</v>
      </c>
      <c r="C23" s="2414">
        <v>0</v>
      </c>
      <c r="D23" s="2415">
        <v>0</v>
      </c>
      <c r="E23" s="2416">
        <v>1</v>
      </c>
    </row>
    <row r="24" spans="2:5" ht="15.75" x14ac:dyDescent="0.25">
      <c r="B24" s="2429" t="s">
        <v>641</v>
      </c>
      <c r="C24" s="2414">
        <v>0</v>
      </c>
      <c r="D24" s="2415">
        <v>0</v>
      </c>
      <c r="E24" s="2416">
        <v>1</v>
      </c>
    </row>
    <row r="25" spans="2:5" ht="15.75" x14ac:dyDescent="0.25">
      <c r="B25" s="2430" t="s">
        <v>687</v>
      </c>
      <c r="C25" s="2414">
        <v>0</v>
      </c>
      <c r="D25" s="2415">
        <v>0</v>
      </c>
      <c r="E25" s="2416">
        <v>1</v>
      </c>
    </row>
    <row r="26" spans="2:5" ht="16.5" thickBot="1" x14ac:dyDescent="0.3">
      <c r="B26" s="2431" t="s">
        <v>643</v>
      </c>
      <c r="C26" s="2421">
        <v>0</v>
      </c>
      <c r="D26" s="2422">
        <v>0</v>
      </c>
      <c r="E26" s="2423">
        <v>1</v>
      </c>
    </row>
    <row r="28" spans="2:5" ht="60.75" customHeight="1" x14ac:dyDescent="0.25">
      <c r="B28" s="2863" t="s">
        <v>688</v>
      </c>
      <c r="C28" s="2863"/>
      <c r="D28" s="2863"/>
      <c r="E28" s="2863"/>
    </row>
  </sheetData>
  <mergeCells count="2">
    <mergeCell ref="B2:E2"/>
    <mergeCell ref="B28:E28"/>
  </mergeCells>
  <pageMargins left="0.7" right="0.7" top="0.75" bottom="0.75" header="0.3" footer="0.3"/>
  <pageSetup orientation="portrait" r:id="rId1"/>
  <headerFooter>
    <oddFooter>&amp;C&amp;1#&amp;"Calibri"&amp;12&amp;K008000Internal Use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indexed="44"/>
    <pageSetUpPr fitToPage="1"/>
  </sheetPr>
  <dimension ref="A1:U66"/>
  <sheetViews>
    <sheetView topLeftCell="A19" zoomScale="75" zoomScaleNormal="75" workbookViewId="0">
      <selection activeCell="N49" sqref="N49"/>
    </sheetView>
  </sheetViews>
  <sheetFormatPr defaultRowHeight="12.75" x14ac:dyDescent="0.2"/>
  <cols>
    <col min="1" max="1" width="5.5703125" bestFit="1" customWidth="1"/>
    <col min="2" max="2" width="72.140625" customWidth="1"/>
    <col min="3" max="4" width="20.7109375" customWidth="1"/>
    <col min="5" max="6" width="20.7109375" style="2838" customWidth="1"/>
    <col min="7" max="7" width="20.7109375" customWidth="1"/>
    <col min="8" max="9" width="20.7109375" style="2838" customWidth="1"/>
    <col min="10" max="10" width="20.7109375" customWidth="1"/>
    <col min="11" max="12" width="20.7109375" style="2838" customWidth="1"/>
    <col min="13" max="13" width="20.7109375" customWidth="1"/>
    <col min="14" max="14" width="20.7109375" style="2838" customWidth="1"/>
  </cols>
  <sheetData>
    <row r="1" spans="1:15" ht="23.25" x14ac:dyDescent="0.35">
      <c r="B1" s="501"/>
    </row>
    <row r="2" spans="1:15" ht="20.25" x14ac:dyDescent="0.3">
      <c r="B2" s="2474" t="s">
        <v>231</v>
      </c>
      <c r="C2" s="2651"/>
      <c r="D2" s="2651"/>
      <c r="E2" s="2651"/>
      <c r="F2" s="2651"/>
      <c r="G2" s="2651"/>
      <c r="H2" s="2651"/>
      <c r="I2" s="2651"/>
      <c r="J2" s="2651"/>
      <c r="K2" s="2651"/>
      <c r="L2" s="2651"/>
      <c r="M2" s="2651"/>
      <c r="N2" s="2651"/>
    </row>
    <row r="3" spans="1:15" ht="20.25" x14ac:dyDescent="0.3">
      <c r="A3" s="3"/>
      <c r="B3" s="2474" t="s">
        <v>226</v>
      </c>
      <c r="C3" s="2651"/>
      <c r="D3" s="2651"/>
      <c r="E3" s="2651"/>
      <c r="F3" s="2651"/>
      <c r="G3" s="2651"/>
      <c r="H3" s="2651"/>
      <c r="I3" s="2651"/>
      <c r="J3" s="2651"/>
      <c r="K3" s="2651"/>
      <c r="L3" s="2651"/>
      <c r="M3" s="2651"/>
      <c r="N3" s="2651"/>
    </row>
    <row r="4" spans="1:15" ht="20.25" x14ac:dyDescent="0.3">
      <c r="A4" s="3"/>
      <c r="B4" s="2474" t="s">
        <v>614</v>
      </c>
      <c r="C4" s="2651"/>
      <c r="D4" s="2651"/>
      <c r="E4" s="2651"/>
      <c r="F4" s="2651"/>
      <c r="G4" s="2651"/>
      <c r="H4" s="2651"/>
      <c r="I4" s="2651"/>
      <c r="J4" s="2651"/>
      <c r="K4" s="2651"/>
      <c r="L4" s="2651"/>
      <c r="M4" s="2651"/>
      <c r="N4" s="2651"/>
    </row>
    <row r="5" spans="1:15" ht="20.25" x14ac:dyDescent="0.3">
      <c r="A5" s="3"/>
      <c r="B5" s="949"/>
    </row>
    <row r="6" spans="1:15" ht="21" thickBot="1" x14ac:dyDescent="0.35">
      <c r="A6" s="3"/>
      <c r="B6" s="213"/>
    </row>
    <row r="7" spans="1:15" s="6" customFormat="1" ht="20.25" x14ac:dyDescent="0.3">
      <c r="A7" s="15"/>
      <c r="B7" s="2686"/>
      <c r="C7" s="2687">
        <v>44196</v>
      </c>
      <c r="D7" s="2687">
        <v>44256</v>
      </c>
      <c r="E7" s="2687">
        <v>44561</v>
      </c>
      <c r="F7" s="2687">
        <v>44501</v>
      </c>
      <c r="G7" s="2687">
        <v>44621</v>
      </c>
      <c r="H7" s="2687">
        <v>44501</v>
      </c>
      <c r="I7" s="2687">
        <v>44621</v>
      </c>
      <c r="J7" s="2687">
        <v>44866</v>
      </c>
      <c r="K7" s="2687">
        <v>44501</v>
      </c>
      <c r="L7" s="2687">
        <v>44621</v>
      </c>
      <c r="M7" s="2687">
        <v>44866</v>
      </c>
      <c r="N7" s="2687">
        <v>44866</v>
      </c>
    </row>
    <row r="8" spans="1:15" ht="20.25" x14ac:dyDescent="0.3">
      <c r="A8" s="15"/>
      <c r="B8" s="2688"/>
      <c r="C8" s="2689">
        <v>2020</v>
      </c>
      <c r="D8" s="2689">
        <v>2021</v>
      </c>
      <c r="E8" s="2689">
        <v>2021</v>
      </c>
      <c r="F8" s="2689">
        <v>2022</v>
      </c>
      <c r="G8" s="2689">
        <v>2022</v>
      </c>
      <c r="H8" s="2689">
        <v>2023</v>
      </c>
      <c r="I8" s="2689">
        <v>2023</v>
      </c>
      <c r="J8" s="2689">
        <v>2023</v>
      </c>
      <c r="K8" s="2689">
        <v>2024</v>
      </c>
      <c r="L8" s="2689">
        <v>2024</v>
      </c>
      <c r="M8" s="2689">
        <v>2024</v>
      </c>
      <c r="N8" s="2689">
        <v>2025</v>
      </c>
    </row>
    <row r="9" spans="1:15" ht="20.25" x14ac:dyDescent="0.3">
      <c r="A9" s="15"/>
      <c r="B9" s="2689" t="s">
        <v>615</v>
      </c>
      <c r="C9" s="2689" t="s">
        <v>38</v>
      </c>
      <c r="D9" s="2689" t="s">
        <v>38</v>
      </c>
      <c r="E9" s="2689" t="s">
        <v>38</v>
      </c>
      <c r="F9" s="2689" t="s">
        <v>38</v>
      </c>
      <c r="G9" s="2689" t="s">
        <v>38</v>
      </c>
      <c r="H9" s="2689" t="s">
        <v>38</v>
      </c>
      <c r="I9" s="2689" t="s">
        <v>38</v>
      </c>
      <c r="J9" s="2689" t="s">
        <v>38</v>
      </c>
      <c r="K9" s="2689" t="s">
        <v>38</v>
      </c>
      <c r="L9" s="2689" t="s">
        <v>38</v>
      </c>
      <c r="M9" s="2689" t="s">
        <v>38</v>
      </c>
      <c r="N9" s="2689" t="s">
        <v>38</v>
      </c>
    </row>
    <row r="10" spans="1:15" ht="20.25" x14ac:dyDescent="0.3">
      <c r="A10" s="15"/>
      <c r="B10" s="2689"/>
      <c r="C10" s="2689" t="s">
        <v>186</v>
      </c>
      <c r="D10" s="2689" t="s">
        <v>1</v>
      </c>
      <c r="E10" s="2689" t="s">
        <v>821</v>
      </c>
      <c r="F10" s="2689" t="s">
        <v>1</v>
      </c>
      <c r="G10" s="2689" t="s">
        <v>1</v>
      </c>
      <c r="H10" s="2689" t="s">
        <v>1</v>
      </c>
      <c r="I10" s="2689" t="s">
        <v>1</v>
      </c>
      <c r="J10" s="2689" t="s">
        <v>1</v>
      </c>
      <c r="K10" s="2689" t="s">
        <v>1</v>
      </c>
      <c r="L10" s="2689" t="s">
        <v>1</v>
      </c>
      <c r="M10" s="2689" t="s">
        <v>1</v>
      </c>
      <c r="N10" s="2689" t="s">
        <v>1</v>
      </c>
    </row>
    <row r="11" spans="1:15" ht="21" thickBot="1" x14ac:dyDescent="0.35">
      <c r="A11" s="15"/>
      <c r="B11" s="2690"/>
      <c r="C11" s="2691" t="s">
        <v>820</v>
      </c>
      <c r="D11" s="2691" t="s">
        <v>542</v>
      </c>
      <c r="E11" s="2691" t="s">
        <v>820</v>
      </c>
      <c r="F11" s="2691" t="s">
        <v>542</v>
      </c>
      <c r="G11" s="2691" t="s">
        <v>542</v>
      </c>
      <c r="H11" s="2691" t="s">
        <v>542</v>
      </c>
      <c r="I11" s="2691" t="s">
        <v>542</v>
      </c>
      <c r="J11" s="2691" t="s">
        <v>542</v>
      </c>
      <c r="K11" s="2691" t="s">
        <v>542</v>
      </c>
      <c r="L11" s="2691" t="s">
        <v>542</v>
      </c>
      <c r="M11" s="2691" t="s">
        <v>542</v>
      </c>
      <c r="N11" s="2691" t="s">
        <v>542</v>
      </c>
    </row>
    <row r="12" spans="1:15" s="13" customFormat="1" ht="21" thickBot="1" x14ac:dyDescent="0.35">
      <c r="A12" s="15"/>
      <c r="B12" s="2700" t="s">
        <v>115</v>
      </c>
      <c r="C12" s="2700"/>
      <c r="D12" s="2700"/>
      <c r="E12" s="2700"/>
      <c r="F12" s="2700"/>
      <c r="G12" s="2700"/>
      <c r="H12" s="2700"/>
      <c r="I12" s="2700"/>
      <c r="J12" s="2700"/>
      <c r="K12" s="2700"/>
      <c r="L12" s="2700"/>
      <c r="M12" s="2700"/>
      <c r="N12" s="2700"/>
    </row>
    <row r="13" spans="1:15" s="15" customFormat="1" ht="21" thickBot="1" x14ac:dyDescent="0.35">
      <c r="A13" s="16" t="s">
        <v>9</v>
      </c>
      <c r="B13" s="2696" t="s">
        <v>741</v>
      </c>
      <c r="C13" s="2692">
        <v>463333</v>
      </c>
      <c r="D13" s="2692">
        <v>752504.8112</v>
      </c>
      <c r="E13" s="2692">
        <v>6016</v>
      </c>
      <c r="F13" s="2692">
        <v>894921.26730048575</v>
      </c>
      <c r="G13" s="2692">
        <f>'SCG Table C 2022'!$K$12</f>
        <v>533017.77992057626</v>
      </c>
      <c r="H13" s="2692">
        <v>927085.81660069129</v>
      </c>
      <c r="I13" s="2692">
        <v>650953.24290034303</v>
      </c>
      <c r="J13" s="2692">
        <f>'SCG Table C 2023'!$K$12</f>
        <v>325476.62145017151</v>
      </c>
      <c r="K13" s="2692">
        <v>938626.15935405914</v>
      </c>
      <c r="L13" s="2692">
        <v>673792.62959021702</v>
      </c>
      <c r="M13" s="2692">
        <f>'SCG Table C 2024'!$K$12</f>
        <v>130190.64858006861</v>
      </c>
      <c r="N13" s="2692">
        <f>'SCG Table C 2025'!$K$12</f>
        <v>65095.324290034303</v>
      </c>
    </row>
    <row r="14" spans="1:15" s="3" customFormat="1" ht="21" thickBot="1" x14ac:dyDescent="0.35">
      <c r="A14" s="16" t="s">
        <v>9</v>
      </c>
      <c r="B14" s="2696" t="s">
        <v>742</v>
      </c>
      <c r="C14" s="2692">
        <v>2556209</v>
      </c>
      <c r="D14" s="2692">
        <v>2438603.6256000004</v>
      </c>
      <c r="E14" s="2692">
        <v>3888662</v>
      </c>
      <c r="F14" s="2692">
        <v>1596867.4983992081</v>
      </c>
      <c r="G14" s="2692">
        <f>'SCG Table C 2022'!$K$13</f>
        <v>1994681.0564015105</v>
      </c>
      <c r="H14" s="2692">
        <v>1654260.8405684794</v>
      </c>
      <c r="I14" s="2692">
        <v>2562058.9292202285</v>
      </c>
      <c r="J14" s="2692">
        <f>'SCG Table C 2023'!$K$13</f>
        <v>3018666.8668640885</v>
      </c>
      <c r="K14" s="2692">
        <v>1674853.0429270577</v>
      </c>
      <c r="L14" s="2692">
        <v>2545775.3218959668</v>
      </c>
      <c r="M14" s="2692">
        <f>'SCG Table C 2024'!$K$13</f>
        <v>3116266.6701221615</v>
      </c>
      <c r="N14" s="2692">
        <f>'SCG Table C 2025'!$K$13</f>
        <v>3186707.7829243066</v>
      </c>
      <c r="O14" s="15"/>
    </row>
    <row r="15" spans="1:15" s="3" customFormat="1" ht="21" thickBot="1" x14ac:dyDescent="0.35">
      <c r="A15" s="16" t="s">
        <v>9</v>
      </c>
      <c r="B15" s="2696" t="s">
        <v>759</v>
      </c>
      <c r="C15" s="2692">
        <v>3256694</v>
      </c>
      <c r="D15" s="2692">
        <v>3269077.9798000003</v>
      </c>
      <c r="E15" s="2692">
        <v>3675770</v>
      </c>
      <c r="F15" s="2692">
        <v>2918842.0097428421</v>
      </c>
      <c r="G15" s="2692">
        <f>'SCG Table C 2022'!$K$14</f>
        <v>1412137.7400000002</v>
      </c>
      <c r="H15" s="2692">
        <v>3021171.3560418077</v>
      </c>
      <c r="I15" s="2692">
        <v>1807235.7400000002</v>
      </c>
      <c r="J15" s="2692">
        <f>'SCG Table C 2023'!$K$14</f>
        <v>1174703.2309999999</v>
      </c>
      <c r="K15" s="2692">
        <v>3057928.6245798212</v>
      </c>
      <c r="L15" s="2692">
        <v>1823106.9633407202</v>
      </c>
      <c r="M15" s="2692">
        <f>'SCG Table C 2024'!$K$14</f>
        <v>1174703.2309999999</v>
      </c>
      <c r="N15" s="2692">
        <f>'SCG Table C 2025'!$K$14</f>
        <v>1174703.2309999999</v>
      </c>
      <c r="O15" s="15"/>
    </row>
    <row r="16" spans="1:15" s="3" customFormat="1" ht="21" thickBot="1" x14ac:dyDescent="0.35">
      <c r="A16" s="16" t="s">
        <v>9</v>
      </c>
      <c r="B16" s="2696" t="s">
        <v>760</v>
      </c>
      <c r="C16" s="2693">
        <v>1680548</v>
      </c>
      <c r="D16" s="2693">
        <v>2809339.0754999998</v>
      </c>
      <c r="E16" s="2693">
        <v>3088035</v>
      </c>
      <c r="F16" s="2693">
        <v>2852125.1848487738</v>
      </c>
      <c r="G16" s="2693">
        <f>'SCG Table C 2022'!$K$15</f>
        <v>2663429.4900000002</v>
      </c>
      <c r="H16" s="2693">
        <v>2954633.9983181544</v>
      </c>
      <c r="I16" s="2693">
        <v>3426507.62</v>
      </c>
      <c r="J16" s="2693">
        <f>'SCG Table C 2023'!$K$15</f>
        <v>3876844.8191903494</v>
      </c>
      <c r="K16" s="2693">
        <v>2991413.2149612671</v>
      </c>
      <c r="L16" s="2693">
        <v>3506727.13894476</v>
      </c>
      <c r="M16" s="2693">
        <f>'SCG Table C 2024'!$K$15</f>
        <v>4058315.4133377485</v>
      </c>
      <c r="N16" s="2693">
        <f>'SCG Table C 2025'!$K$15</f>
        <v>4148700.1542816451</v>
      </c>
      <c r="O16" s="15"/>
    </row>
    <row r="17" spans="1:17" s="3" customFormat="1" ht="21" thickBot="1" x14ac:dyDescent="0.35">
      <c r="A17" s="16" t="s">
        <v>9</v>
      </c>
      <c r="B17" s="2696" t="s">
        <v>531</v>
      </c>
      <c r="C17" s="2692">
        <v>151126</v>
      </c>
      <c r="D17" s="2692">
        <v>166137.74320000006</v>
      </c>
      <c r="E17" s="2692">
        <v>145113</v>
      </c>
      <c r="F17" s="2692">
        <v>146052.11393007159</v>
      </c>
      <c r="G17" s="2692">
        <f>'SCG Table C 2022'!$K$16</f>
        <v>118187.09494220393</v>
      </c>
      <c r="H17" s="2692">
        <v>152139.80195277749</v>
      </c>
      <c r="I17" s="2692">
        <v>147655.81350338564</v>
      </c>
      <c r="J17" s="2692">
        <f>'SCG Table C 2023'!$K$16</f>
        <v>198719.80308169994</v>
      </c>
      <c r="K17" s="2692">
        <v>154033.62913066629</v>
      </c>
      <c r="L17" s="2692">
        <v>153820.5640110792</v>
      </c>
      <c r="M17" s="2692">
        <f>'SCG Table C 2024'!$K$16</f>
        <v>223746.65157129063</v>
      </c>
      <c r="N17" s="2692">
        <f>'SCG Table C 2025'!$K$16</f>
        <v>223746.65157129063</v>
      </c>
      <c r="O17" s="15"/>
    </row>
    <row r="18" spans="1:17" ht="21" thickBot="1" x14ac:dyDescent="0.35">
      <c r="A18" s="15"/>
      <c r="B18" s="2697" t="s">
        <v>743</v>
      </c>
      <c r="C18" s="2694">
        <f t="shared" ref="C18:D18" si="0">SUM(C13:C17)</f>
        <v>8107910</v>
      </c>
      <c r="D18" s="2694">
        <f t="shared" si="0"/>
        <v>9435663.2353000008</v>
      </c>
      <c r="E18" s="2694">
        <f t="shared" ref="E18" si="1">SUM(E13:E17)</f>
        <v>10803596</v>
      </c>
      <c r="F18" s="2694">
        <f t="shared" ref="F18:M18" si="2">SUM(F13:F17)</f>
        <v>8408808.0742213801</v>
      </c>
      <c r="G18" s="2694">
        <f t="shared" si="2"/>
        <v>6721453.161264291</v>
      </c>
      <c r="H18" s="2694">
        <f t="shared" si="2"/>
        <v>8709291.8134819102</v>
      </c>
      <c r="I18" s="2694">
        <v>8594411.345623957</v>
      </c>
      <c r="J18" s="2694">
        <f t="shared" si="2"/>
        <v>8594411.3415863086</v>
      </c>
      <c r="K18" s="2694">
        <f t="shared" si="2"/>
        <v>8816854.6709528733</v>
      </c>
      <c r="L18" s="2694">
        <v>8703222.6177827418</v>
      </c>
      <c r="M18" s="2694">
        <f t="shared" si="2"/>
        <v>8703222.6146112699</v>
      </c>
      <c r="N18" s="2694">
        <f t="shared" ref="N18" si="3">SUM(N13:N17)</f>
        <v>8798953.1440672763</v>
      </c>
      <c r="O18" s="15"/>
    </row>
    <row r="19" spans="1:17" s="3" customFormat="1" ht="21" thickBot="1" x14ac:dyDescent="0.35">
      <c r="A19" s="13"/>
      <c r="B19" s="2700" t="s">
        <v>6</v>
      </c>
      <c r="C19" s="2700"/>
      <c r="D19" s="2700"/>
      <c r="E19" s="2700"/>
      <c r="F19" s="2700"/>
      <c r="G19" s="2700"/>
      <c r="H19" s="2700"/>
      <c r="I19" s="2700"/>
      <c r="J19" s="2700"/>
      <c r="K19" s="2700"/>
      <c r="L19" s="2700"/>
      <c r="M19" s="2700"/>
      <c r="N19" s="2700"/>
      <c r="O19" s="15"/>
    </row>
    <row r="20" spans="1:17" ht="21" thickBot="1" x14ac:dyDescent="0.35">
      <c r="A20" s="18" t="s">
        <v>10</v>
      </c>
      <c r="B20" s="2696" t="s">
        <v>285</v>
      </c>
      <c r="C20" s="2692">
        <v>2156813</v>
      </c>
      <c r="D20" s="2692">
        <v>1811859.0692</v>
      </c>
      <c r="E20" s="2692">
        <v>2906608</v>
      </c>
      <c r="F20" s="2692">
        <v>1608506.1256315315</v>
      </c>
      <c r="G20" s="2692">
        <f>'SCG Table C 2022'!$K$19</f>
        <v>1200880.6669574003</v>
      </c>
      <c r="H20" s="2692">
        <v>1675551.2019824132</v>
      </c>
      <c r="I20" s="2692">
        <v>1627060.417187348</v>
      </c>
      <c r="J20" s="2692">
        <f>'SCG Table C 2023'!$K$19</f>
        <v>1627060.417187348</v>
      </c>
      <c r="K20" s="2692">
        <v>1696408.4239361798</v>
      </c>
      <c r="L20" s="2692">
        <v>1647315.9130596025</v>
      </c>
      <c r="M20" s="2692">
        <f>'SCG Table C 2024'!$K$19</f>
        <v>1647315.9130596025</v>
      </c>
      <c r="N20" s="2692">
        <f>'SCG Table C 2025'!$K$19</f>
        <v>1667631.9415210411</v>
      </c>
      <c r="O20" s="15"/>
    </row>
    <row r="21" spans="1:17" ht="21" thickBot="1" x14ac:dyDescent="0.35">
      <c r="A21" s="18" t="s">
        <v>10</v>
      </c>
      <c r="B21" s="2696" t="s">
        <v>275</v>
      </c>
      <c r="C21" s="2692">
        <v>2032986</v>
      </c>
      <c r="D21" s="2692">
        <v>1188421.4092000001</v>
      </c>
      <c r="E21" s="2692">
        <v>750905</v>
      </c>
      <c r="F21" s="2692">
        <v>1059521.1238354214</v>
      </c>
      <c r="G21" s="2692">
        <f>'SCG Table C 2022'!$K$20</f>
        <v>822945.61635614105</v>
      </c>
      <c r="H21" s="2692">
        <v>1099050.3494480446</v>
      </c>
      <c r="I21" s="2692">
        <v>1072738.4886555539</v>
      </c>
      <c r="J21" s="2692">
        <f>'SCG Table C 2023'!$K$20</f>
        <v>1072738.4886555539</v>
      </c>
      <c r="K21" s="2692">
        <v>1112731.3027104083</v>
      </c>
      <c r="L21" s="2692">
        <v>1086025.4190404161</v>
      </c>
      <c r="M21" s="2692">
        <f>'SCG Table C 2024'!$K$20</f>
        <v>1086025.4190404161</v>
      </c>
      <c r="N21" s="2692">
        <f>'SCG Table C 2025'!$K$20</f>
        <v>1099419.1604279387</v>
      </c>
      <c r="O21" s="15"/>
    </row>
    <row r="22" spans="1:17" ht="41.25" thickBot="1" x14ac:dyDescent="0.35">
      <c r="A22" s="18" t="s">
        <v>10</v>
      </c>
      <c r="B22" s="2701" t="s">
        <v>762</v>
      </c>
      <c r="C22" s="2692">
        <v>228959</v>
      </c>
      <c r="D22" s="2692">
        <v>531796.7135999999</v>
      </c>
      <c r="E22" s="2692">
        <v>249022</v>
      </c>
      <c r="F22" s="2692">
        <v>472118.60634503217</v>
      </c>
      <c r="G22" s="2692">
        <f>'SCG Table C 2022'!$K$21</f>
        <v>369558.35938470898</v>
      </c>
      <c r="H22" s="2692">
        <v>491797.25913384644</v>
      </c>
      <c r="I22" s="2692">
        <v>481971.15184258</v>
      </c>
      <c r="J22" s="2692">
        <f>'SCG Table C 2023'!$K$21</f>
        <v>481971.15184258</v>
      </c>
      <c r="K22" s="2692">
        <v>497919.13330301869</v>
      </c>
      <c r="L22" s="2692">
        <v>487916.94830691541</v>
      </c>
      <c r="M22" s="2692">
        <f>'SCG Table C 2024'!$K$21</f>
        <v>487916.94830691541</v>
      </c>
      <c r="N22" s="2692">
        <f>'SCG Table C 2025'!$K$21</f>
        <v>493934.33363661257</v>
      </c>
      <c r="O22" s="15"/>
    </row>
    <row r="23" spans="1:17" ht="21" thickBot="1" x14ac:dyDescent="0.35">
      <c r="A23" s="18" t="s">
        <v>10</v>
      </c>
      <c r="B23" s="2696" t="s">
        <v>245</v>
      </c>
      <c r="C23" s="2692">
        <v>237722</v>
      </c>
      <c r="D23" s="2692">
        <v>261290.46120000002</v>
      </c>
      <c r="E23" s="2692">
        <v>428445</v>
      </c>
      <c r="F23" s="2692">
        <v>231968.85727691132</v>
      </c>
      <c r="G23" s="2692">
        <f>'SCG Table C 2022'!$K$22</f>
        <v>314296.37</v>
      </c>
      <c r="H23" s="2692">
        <v>241637.68836562888</v>
      </c>
      <c r="I23" s="2692">
        <v>296670.67067276919</v>
      </c>
      <c r="J23" s="2692">
        <f>'SCG Table C 2023'!$K$22</f>
        <v>296670.67067276919</v>
      </c>
      <c r="K23" s="2692">
        <v>244645.58869231399</v>
      </c>
      <c r="L23" s="2692">
        <v>299601.97893783054</v>
      </c>
      <c r="M23" s="2692">
        <f>'SCG Table C 2024'!$K$22</f>
        <v>299601.97893783054</v>
      </c>
      <c r="N23" s="2692">
        <f>'SCG Table C 2025'!$K$22</f>
        <v>303296.91218223737</v>
      </c>
      <c r="O23" s="15"/>
    </row>
    <row r="24" spans="1:17" s="1" customFormat="1" ht="21" thickBot="1" x14ac:dyDescent="0.35">
      <c r="A24" s="19"/>
      <c r="B24" s="2697" t="s">
        <v>745</v>
      </c>
      <c r="C24" s="2694">
        <f t="shared" ref="C24:E24" si="4">SUM(C20:C23)</f>
        <v>4656480</v>
      </c>
      <c r="D24" s="2694">
        <f t="shared" si="4"/>
        <v>3793367.6532000005</v>
      </c>
      <c r="E24" s="2694">
        <f t="shared" si="4"/>
        <v>4334980</v>
      </c>
      <c r="F24" s="2694">
        <f t="shared" ref="F24:M24" si="5">SUM(F20:F23)</f>
        <v>3372114.7130888966</v>
      </c>
      <c r="G24" s="2694">
        <f t="shared" si="5"/>
        <v>2707681.0126982504</v>
      </c>
      <c r="H24" s="2694">
        <f t="shared" si="5"/>
        <v>3508036.4989299332</v>
      </c>
      <c r="I24" s="2694">
        <v>3478440.7283582515</v>
      </c>
      <c r="J24" s="2694">
        <f t="shared" si="5"/>
        <v>3478440.7283582515</v>
      </c>
      <c r="K24" s="2694">
        <f t="shared" si="5"/>
        <v>3551704.4486419209</v>
      </c>
      <c r="L24" s="2694">
        <v>3520860.259344765</v>
      </c>
      <c r="M24" s="2694">
        <f t="shared" si="5"/>
        <v>3520860.259344765</v>
      </c>
      <c r="N24" s="2694">
        <f t="shared" ref="N24" si="6">SUM(N20:N23)</f>
        <v>3564282.3477678299</v>
      </c>
      <c r="O24" s="15"/>
      <c r="P24"/>
      <c r="Q24"/>
    </row>
    <row r="25" spans="1:17" s="3" customFormat="1" ht="21" thickBot="1" x14ac:dyDescent="0.35">
      <c r="A25" s="13"/>
      <c r="B25" s="2700" t="s">
        <v>737</v>
      </c>
      <c r="C25" s="2700"/>
      <c r="D25" s="2700"/>
      <c r="E25" s="2700"/>
      <c r="F25" s="2700"/>
      <c r="G25" s="2700"/>
      <c r="H25" s="2700"/>
      <c r="I25" s="2700"/>
      <c r="J25" s="2700"/>
      <c r="K25" s="2700"/>
      <c r="L25" s="2700"/>
      <c r="M25" s="2700"/>
      <c r="N25" s="2700"/>
      <c r="O25" s="15"/>
    </row>
    <row r="26" spans="1:17" ht="21" thickBot="1" x14ac:dyDescent="0.35">
      <c r="A26" s="16" t="s">
        <v>9</v>
      </c>
      <c r="B26" s="2696" t="s">
        <v>739</v>
      </c>
      <c r="C26" s="2692">
        <v>0</v>
      </c>
      <c r="D26" s="2692">
        <v>0</v>
      </c>
      <c r="E26" s="2692">
        <v>0</v>
      </c>
      <c r="F26" s="2692">
        <v>155467.5</v>
      </c>
      <c r="G26" s="2692">
        <f>'SCG Table C 2022'!$K$25</f>
        <v>198351.5</v>
      </c>
      <c r="H26" s="2692">
        <v>163650</v>
      </c>
      <c r="I26" s="2692">
        <v>206534</v>
      </c>
      <c r="J26" s="2692">
        <f>'SCG Table C 2023'!$K$25</f>
        <v>206534</v>
      </c>
      <c r="K26" s="2692">
        <v>171832.5</v>
      </c>
      <c r="L26" s="2692">
        <v>214716.5</v>
      </c>
      <c r="M26" s="2692">
        <f>'SCG Table C 2024'!$K25</f>
        <v>214716.5</v>
      </c>
      <c r="N26" s="2692">
        <f>'SCG Table C 2025'!$K25</f>
        <v>214716.5</v>
      </c>
      <c r="O26" s="15"/>
      <c r="Q26" s="2685"/>
    </row>
    <row r="27" spans="1:17" ht="21" thickBot="1" x14ac:dyDescent="0.35">
      <c r="A27" s="18" t="s">
        <v>10</v>
      </c>
      <c r="B27" s="2696" t="s">
        <v>738</v>
      </c>
      <c r="C27" s="2692">
        <v>0</v>
      </c>
      <c r="D27" s="2692">
        <v>0</v>
      </c>
      <c r="E27" s="2692">
        <v>0</v>
      </c>
      <c r="F27" s="2692">
        <v>140292</v>
      </c>
      <c r="G27" s="2692">
        <f>'SCG Table C 2022'!$K$26</f>
        <v>183176</v>
      </c>
      <c r="H27" s="2692">
        <v>157375.76</v>
      </c>
      <c r="I27" s="2692">
        <v>200259.76</v>
      </c>
      <c r="J27" s="2692">
        <f>'SCG Table C 2023'!$K$26</f>
        <v>200259.76</v>
      </c>
      <c r="K27" s="2692">
        <v>162097.03279999999</v>
      </c>
      <c r="L27" s="2692">
        <v>204981.03279999999</v>
      </c>
      <c r="M27" s="2692">
        <f>'SCG Table C 2024'!$K26</f>
        <v>204981.03279999999</v>
      </c>
      <c r="N27" s="2692">
        <f>'SCG Table C 2025'!$K26</f>
        <v>204981.03279999999</v>
      </c>
      <c r="O27" s="15"/>
    </row>
    <row r="28" spans="1:17" ht="21" thickBot="1" x14ac:dyDescent="0.35">
      <c r="B28" s="2697" t="s">
        <v>758</v>
      </c>
      <c r="C28" s="2694">
        <f t="shared" ref="C28:E28" si="7">SUM(C26:C27)</f>
        <v>0</v>
      </c>
      <c r="D28" s="2694">
        <f t="shared" si="7"/>
        <v>0</v>
      </c>
      <c r="E28" s="2694">
        <f t="shared" si="7"/>
        <v>0</v>
      </c>
      <c r="F28" s="2694">
        <f t="shared" ref="F28:M28" si="8">SUM(F26:F27)</f>
        <v>295759.5</v>
      </c>
      <c r="G28" s="2694">
        <f t="shared" si="8"/>
        <v>381527.5</v>
      </c>
      <c r="H28" s="2694">
        <f t="shared" si="8"/>
        <v>321025.76</v>
      </c>
      <c r="I28" s="2694">
        <v>406793.76</v>
      </c>
      <c r="J28" s="2694">
        <f t="shared" si="8"/>
        <v>406793.76</v>
      </c>
      <c r="K28" s="2694">
        <f t="shared" si="8"/>
        <v>333929.53279999999</v>
      </c>
      <c r="L28" s="2694">
        <v>419697.53279999999</v>
      </c>
      <c r="M28" s="2694">
        <f t="shared" si="8"/>
        <v>419697.53279999999</v>
      </c>
      <c r="N28" s="2694">
        <f t="shared" ref="N28" si="9">SUM(N26:N27)</f>
        <v>419697.53279999999</v>
      </c>
      <c r="O28" s="15"/>
    </row>
    <row r="29" spans="1:17" ht="21" thickBot="1" x14ac:dyDescent="0.35">
      <c r="B29" s="2700" t="s">
        <v>746</v>
      </c>
      <c r="C29" s="2700"/>
      <c r="D29" s="2700"/>
      <c r="E29" s="2700"/>
      <c r="F29" s="2700"/>
      <c r="G29" s="2700"/>
      <c r="H29" s="2700"/>
      <c r="I29" s="2700"/>
      <c r="J29" s="2700"/>
      <c r="K29" s="2700"/>
      <c r="L29" s="2700"/>
      <c r="M29" s="2700"/>
      <c r="N29" s="2700"/>
      <c r="O29" s="15"/>
    </row>
    <row r="30" spans="1:17" ht="21" thickBot="1" x14ac:dyDescent="0.35">
      <c r="A30" s="2292" t="s">
        <v>580</v>
      </c>
      <c r="B30" s="2698" t="s">
        <v>763</v>
      </c>
      <c r="C30" s="2692">
        <v>31404.33</v>
      </c>
      <c r="D30" s="2692">
        <v>45163.843779461575</v>
      </c>
      <c r="E30" s="2692">
        <v>22829</v>
      </c>
      <c r="F30" s="2692">
        <v>76666.67</v>
      </c>
      <c r="G30" s="2692">
        <f>'SCG Table C 2022'!$K$29</f>
        <v>76667.17778046451</v>
      </c>
      <c r="H30" s="2692">
        <v>76666.67</v>
      </c>
      <c r="I30" s="2692">
        <v>76666.667780464501</v>
      </c>
      <c r="J30" s="2692">
        <f>'SCG Table C 2023'!$K$29</f>
        <v>76666.667780464501</v>
      </c>
      <c r="K30" s="2692">
        <v>76666.67</v>
      </c>
      <c r="L30" s="2692">
        <v>76666.667780464501</v>
      </c>
      <c r="M30" s="2692">
        <f>'SCG Table C 2024'!$K$29</f>
        <v>76666.667780464501</v>
      </c>
      <c r="N30" s="2692">
        <f>'SCG Table C 2025'!$K$29</f>
        <v>76666.667780464501</v>
      </c>
      <c r="O30" s="15"/>
    </row>
    <row r="31" spans="1:17" ht="21" thickBot="1" x14ac:dyDescent="0.35">
      <c r="A31" s="37" t="s">
        <v>611</v>
      </c>
      <c r="B31" s="2698" t="s">
        <v>764</v>
      </c>
      <c r="C31" s="2692">
        <v>25846.63</v>
      </c>
      <c r="D31" s="2692">
        <v>67472.61538461539</v>
      </c>
      <c r="E31" s="2692">
        <v>15434</v>
      </c>
      <c r="F31" s="2692">
        <v>82666.66</v>
      </c>
      <c r="G31" s="2692">
        <f>'SCG Table C 2022'!$K$30</f>
        <v>82666.66</v>
      </c>
      <c r="H31" s="2692">
        <v>82666.66</v>
      </c>
      <c r="I31" s="2692">
        <v>82666.66</v>
      </c>
      <c r="J31" s="2692">
        <f>'SCG Table C 2023'!$K$30</f>
        <v>82666.66</v>
      </c>
      <c r="K31" s="2692">
        <v>82666.66</v>
      </c>
      <c r="L31" s="2692">
        <v>82666.66</v>
      </c>
      <c r="M31" s="2692">
        <f>'SCG Table C 2024'!$K$30</f>
        <v>82666.66</v>
      </c>
      <c r="N31" s="2692">
        <f>'SCG Table C 2025'!$K$30</f>
        <v>82666.66</v>
      </c>
      <c r="O31" s="15"/>
    </row>
    <row r="32" spans="1:17" ht="21" thickBot="1" x14ac:dyDescent="0.35">
      <c r="A32" s="37" t="s">
        <v>611</v>
      </c>
      <c r="B32" s="2698" t="s">
        <v>765</v>
      </c>
      <c r="C32" s="2692">
        <v>64541.79</v>
      </c>
      <c r="D32" s="2692">
        <v>76089.066283762892</v>
      </c>
      <c r="E32" s="2692">
        <v>17227</v>
      </c>
      <c r="F32" s="2692">
        <v>79999.989999999991</v>
      </c>
      <c r="G32" s="2692">
        <f>'SCG Table C 2022'!$K$31</f>
        <v>80000.011098237155</v>
      </c>
      <c r="H32" s="2692">
        <v>79999.989999999991</v>
      </c>
      <c r="I32" s="2692">
        <v>79999.991098237166</v>
      </c>
      <c r="J32" s="2692">
        <f>'SCG Table C 2023'!$K$31</f>
        <v>79999.991098237166</v>
      </c>
      <c r="K32" s="2692">
        <v>79999.989999999991</v>
      </c>
      <c r="L32" s="2692">
        <v>79999.991098237166</v>
      </c>
      <c r="M32" s="2692">
        <f>'SCG Table C 2024'!$K$31</f>
        <v>79999.991098237166</v>
      </c>
      <c r="N32" s="2692">
        <f>'SCG Table C 2025'!$K$31</f>
        <v>79999.991098237166</v>
      </c>
      <c r="O32" s="15"/>
    </row>
    <row r="33" spans="1:15" ht="21" thickBot="1" x14ac:dyDescent="0.35">
      <c r="A33" s="2292" t="s">
        <v>580</v>
      </c>
      <c r="B33" s="2698" t="s">
        <v>766</v>
      </c>
      <c r="C33" s="2692">
        <v>0</v>
      </c>
      <c r="D33" s="2692">
        <v>100000</v>
      </c>
      <c r="E33" s="2692">
        <v>0</v>
      </c>
      <c r="F33" s="2692">
        <v>49999.999999999993</v>
      </c>
      <c r="G33" s="2692">
        <f>'SCG Table C 2022'!$K$32</f>
        <v>49999.721162583199</v>
      </c>
      <c r="H33" s="2692">
        <v>49999.999999999993</v>
      </c>
      <c r="I33" s="2692">
        <v>50000.001162583198</v>
      </c>
      <c r="J33" s="2692">
        <f>'SCG Table C 2023'!$K$32</f>
        <v>50000.001162583198</v>
      </c>
      <c r="K33" s="2692">
        <v>49999.999999999993</v>
      </c>
      <c r="L33" s="2692">
        <v>50000.001162583198</v>
      </c>
      <c r="M33" s="2692">
        <f>'SCG Table C 2024'!$K$32</f>
        <v>50000.001162583198</v>
      </c>
      <c r="N33" s="2692">
        <f>'SCG Table C 2025'!$K$32</f>
        <v>50000.001162583198</v>
      </c>
      <c r="O33" s="15"/>
    </row>
    <row r="34" spans="1:15" s="1" customFormat="1" ht="21" thickBot="1" x14ac:dyDescent="0.35">
      <c r="A34" s="19"/>
      <c r="B34" s="2697" t="s">
        <v>747</v>
      </c>
      <c r="C34" s="2694">
        <f t="shared" ref="C34:E34" si="10">SUM(C30:C33)</f>
        <v>121792.75</v>
      </c>
      <c r="D34" s="2694">
        <f t="shared" si="10"/>
        <v>288725.52544783987</v>
      </c>
      <c r="E34" s="2694">
        <f t="shared" si="10"/>
        <v>55490</v>
      </c>
      <c r="F34" s="2694">
        <f t="shared" ref="F34:M34" si="11">SUM(F30:F33)</f>
        <v>289333.32</v>
      </c>
      <c r="G34" s="2694">
        <f t="shared" si="11"/>
        <v>289333.57004128484</v>
      </c>
      <c r="H34" s="2694">
        <f t="shared" si="11"/>
        <v>289333.32</v>
      </c>
      <c r="I34" s="2694">
        <v>289333.32004128484</v>
      </c>
      <c r="J34" s="2694">
        <f t="shared" si="11"/>
        <v>289333.32004128484</v>
      </c>
      <c r="K34" s="2694">
        <f t="shared" si="11"/>
        <v>289333.32</v>
      </c>
      <c r="L34" s="2694">
        <v>289333.32004128484</v>
      </c>
      <c r="M34" s="2694">
        <f t="shared" si="11"/>
        <v>289333.32004128484</v>
      </c>
      <c r="N34" s="2694">
        <f t="shared" ref="N34" si="12">SUM(N30:N33)</f>
        <v>289333.32004128484</v>
      </c>
      <c r="O34" s="15"/>
    </row>
    <row r="35" spans="1:15" ht="21" thickBot="1" x14ac:dyDescent="0.35">
      <c r="A35" s="15"/>
      <c r="B35" s="2700" t="s">
        <v>108</v>
      </c>
      <c r="C35" s="2700"/>
      <c r="D35" s="2700"/>
      <c r="E35" s="2700"/>
      <c r="F35" s="2700"/>
      <c r="G35" s="2700"/>
      <c r="H35" s="2700"/>
      <c r="I35" s="2700"/>
      <c r="J35" s="2700"/>
      <c r="K35" s="2700"/>
      <c r="L35" s="2700"/>
      <c r="M35" s="2700"/>
      <c r="N35" s="2700"/>
      <c r="O35" s="15"/>
    </row>
    <row r="36" spans="1:15" ht="21" thickBot="1" x14ac:dyDescent="0.35">
      <c r="A36" s="16" t="s">
        <v>9</v>
      </c>
      <c r="B36" s="2698" t="s">
        <v>605</v>
      </c>
      <c r="C36" s="2692">
        <v>61748.79</v>
      </c>
      <c r="D36" s="2692">
        <v>86292</v>
      </c>
      <c r="E36" s="2692">
        <v>0</v>
      </c>
      <c r="F36" s="2692">
        <v>86292</v>
      </c>
      <c r="G36" s="2692">
        <f>'SCG Table C 2022'!$K$35</f>
        <v>86292</v>
      </c>
      <c r="H36" s="2692">
        <v>86292</v>
      </c>
      <c r="I36" s="2692">
        <v>86292</v>
      </c>
      <c r="J36" s="2692">
        <f>'SCG Table C 2023'!$K$35</f>
        <v>86292</v>
      </c>
      <c r="K36" s="2692">
        <v>86292</v>
      </c>
      <c r="L36" s="2692">
        <v>86292</v>
      </c>
      <c r="M36" s="2692">
        <f>'SCG Table C 2024'!$K$35</f>
        <v>86292</v>
      </c>
      <c r="N36" s="2692">
        <f>'SCG Table C 2025'!$K$35</f>
        <v>86292</v>
      </c>
      <c r="O36" s="15"/>
    </row>
    <row r="37" spans="1:15" ht="21" thickBot="1" x14ac:dyDescent="0.35">
      <c r="A37" s="18" t="s">
        <v>10</v>
      </c>
      <c r="B37" s="2698" t="s">
        <v>606</v>
      </c>
      <c r="C37" s="2692">
        <v>0</v>
      </c>
      <c r="D37" s="2692">
        <v>75000</v>
      </c>
      <c r="E37" s="2692">
        <v>0</v>
      </c>
      <c r="F37" s="2692">
        <v>75000</v>
      </c>
      <c r="G37" s="2692">
        <f>'SCG Table C 2022'!$K$36</f>
        <v>75000</v>
      </c>
      <c r="H37" s="2692">
        <v>75000</v>
      </c>
      <c r="I37" s="2692">
        <v>75000</v>
      </c>
      <c r="J37" s="2692">
        <f>'SCG Table C 2023'!$K$36</f>
        <v>75000</v>
      </c>
      <c r="K37" s="2692">
        <v>75000</v>
      </c>
      <c r="L37" s="2692">
        <v>75000</v>
      </c>
      <c r="M37" s="2692">
        <f>'SCG Table C 2024'!$K$36</f>
        <v>75000</v>
      </c>
      <c r="N37" s="2692">
        <f>'SCG Table C 2025'!$K$36</f>
        <v>75000</v>
      </c>
      <c r="O37" s="15"/>
    </row>
    <row r="38" spans="1:15" ht="21" thickBot="1" x14ac:dyDescent="0.35">
      <c r="A38" s="2249" t="s">
        <v>11</v>
      </c>
      <c r="B38" s="2698" t="s">
        <v>338</v>
      </c>
      <c r="C38" s="2692">
        <v>20162.790000000005</v>
      </c>
      <c r="D38" s="2692">
        <v>50000</v>
      </c>
      <c r="E38" s="2692">
        <v>84073</v>
      </c>
      <c r="F38" s="2692">
        <v>50000</v>
      </c>
      <c r="G38" s="2692">
        <f>'SCG Table C 2022'!$K$37</f>
        <v>50000</v>
      </c>
      <c r="H38" s="2692">
        <v>50000</v>
      </c>
      <c r="I38" s="2692">
        <v>50000</v>
      </c>
      <c r="J38" s="2692">
        <f>'SCG Table C 2023'!$K$37</f>
        <v>50000</v>
      </c>
      <c r="K38" s="2692">
        <v>50000</v>
      </c>
      <c r="L38" s="2692">
        <v>50000</v>
      </c>
      <c r="M38" s="2692">
        <f>'SCG Table C 2024'!$K$37</f>
        <v>50000</v>
      </c>
      <c r="N38" s="2692">
        <f>'SCG Table C 2025'!$K$37</f>
        <v>50000</v>
      </c>
      <c r="O38" s="15"/>
    </row>
    <row r="39" spans="1:15" s="1" customFormat="1" ht="21" thickBot="1" x14ac:dyDescent="0.35">
      <c r="A39" s="19"/>
      <c r="B39" s="2697" t="s">
        <v>749</v>
      </c>
      <c r="C39" s="2694">
        <f t="shared" ref="C39:E39" si="13">SUM(C36:C38)</f>
        <v>81911.58</v>
      </c>
      <c r="D39" s="2694">
        <f t="shared" si="13"/>
        <v>211292</v>
      </c>
      <c r="E39" s="2694">
        <f t="shared" si="13"/>
        <v>84073</v>
      </c>
      <c r="F39" s="2694">
        <f t="shared" ref="F39:M39" si="14">SUM(F36:F38)</f>
        <v>211292</v>
      </c>
      <c r="G39" s="2694">
        <f t="shared" si="14"/>
        <v>211292</v>
      </c>
      <c r="H39" s="2694">
        <f t="shared" si="14"/>
        <v>211292</v>
      </c>
      <c r="I39" s="2694">
        <v>211292</v>
      </c>
      <c r="J39" s="2694">
        <f t="shared" si="14"/>
        <v>211292</v>
      </c>
      <c r="K39" s="2694">
        <f t="shared" si="14"/>
        <v>211292</v>
      </c>
      <c r="L39" s="2694">
        <v>211292</v>
      </c>
      <c r="M39" s="2694">
        <f t="shared" si="14"/>
        <v>211292</v>
      </c>
      <c r="N39" s="2694">
        <f t="shared" ref="N39" si="15">SUM(N36:N38)</f>
        <v>211292</v>
      </c>
      <c r="O39" s="15"/>
    </row>
    <row r="40" spans="1:15" s="163" customFormat="1" ht="21" thickBot="1" x14ac:dyDescent="0.35">
      <c r="A40" s="13"/>
      <c r="B40" s="2700" t="s">
        <v>120</v>
      </c>
      <c r="C40" s="2700"/>
      <c r="D40" s="2700"/>
      <c r="E40" s="2700"/>
      <c r="F40" s="2700"/>
      <c r="G40" s="2700"/>
      <c r="H40" s="2700"/>
      <c r="I40" s="2700"/>
      <c r="J40" s="2700"/>
      <c r="K40" s="2700"/>
      <c r="L40" s="2700"/>
      <c r="M40" s="2700"/>
      <c r="N40" s="2700"/>
      <c r="O40" s="15"/>
    </row>
    <row r="41" spans="1:15" s="163" customFormat="1" ht="21" thickBot="1" x14ac:dyDescent="0.35">
      <c r="A41" s="2249" t="s">
        <v>11</v>
      </c>
      <c r="B41" s="2698" t="s">
        <v>330</v>
      </c>
      <c r="C41" s="2692">
        <v>80627.61</v>
      </c>
      <c r="D41" s="2692">
        <v>159219.06387399998</v>
      </c>
      <c r="E41" s="2692">
        <v>109316</v>
      </c>
      <c r="F41" s="2692">
        <v>159219.06387399998</v>
      </c>
      <c r="G41" s="2692">
        <f>'SCG Table C 2022'!$K$40</f>
        <v>188007</v>
      </c>
      <c r="H41" s="2692">
        <v>159219.06387399998</v>
      </c>
      <c r="I41" s="2692">
        <v>188007</v>
      </c>
      <c r="J41" s="2692">
        <f>'SCG Table C 2023'!$K$40</f>
        <v>188007</v>
      </c>
      <c r="K41" s="2692">
        <v>159219.06387399998</v>
      </c>
      <c r="L41" s="2692">
        <v>188007</v>
      </c>
      <c r="M41" s="2692">
        <f>'SCG Table C 2024'!$K$40</f>
        <v>188007</v>
      </c>
      <c r="N41" s="2692">
        <f>'SCG Table C 2025'!$K$40</f>
        <v>188007</v>
      </c>
      <c r="O41" s="15"/>
    </row>
    <row r="42" spans="1:15" s="4" customFormat="1" ht="21" thickBot="1" x14ac:dyDescent="0.35">
      <c r="A42" s="37" t="s">
        <v>580</v>
      </c>
      <c r="B42" s="2698" t="s">
        <v>750</v>
      </c>
      <c r="C42" s="2692">
        <v>9312.0999999999985</v>
      </c>
      <c r="D42" s="2692">
        <v>40100</v>
      </c>
      <c r="E42" s="2692">
        <v>70801</v>
      </c>
      <c r="F42" s="2692">
        <v>40100</v>
      </c>
      <c r="G42" s="2692">
        <f>'SCG Table C 2022'!$K$41</f>
        <v>40100</v>
      </c>
      <c r="H42" s="2692">
        <v>40100</v>
      </c>
      <c r="I42" s="2692">
        <v>40100</v>
      </c>
      <c r="J42" s="2692">
        <f>'SCG Table C 2023'!$K$41</f>
        <v>40100</v>
      </c>
      <c r="K42" s="2692">
        <v>40100</v>
      </c>
      <c r="L42" s="2692">
        <v>40100</v>
      </c>
      <c r="M42" s="2692">
        <f>'SCG Table C 2024'!$K$41</f>
        <v>40100</v>
      </c>
      <c r="N42" s="2692">
        <f>'SCG Table C 2025'!$K$41</f>
        <v>40100</v>
      </c>
      <c r="O42" s="15"/>
    </row>
    <row r="43" spans="1:15" s="163" customFormat="1" ht="21" thickBot="1" x14ac:dyDescent="0.35">
      <c r="A43" s="15" t="s">
        <v>11</v>
      </c>
      <c r="B43" s="2696" t="s">
        <v>281</v>
      </c>
      <c r="C43" s="2692">
        <v>114343.39999999998</v>
      </c>
      <c r="D43" s="2692">
        <v>102464.90470000001</v>
      </c>
      <c r="E43" s="2692">
        <v>90033.4</v>
      </c>
      <c r="F43" s="2692">
        <v>102464.90470000001</v>
      </c>
      <c r="G43" s="2692">
        <f>'SCG Table C 2022'!$K$42</f>
        <v>63502</v>
      </c>
      <c r="H43" s="2692">
        <v>102464.90470000001</v>
      </c>
      <c r="I43" s="2692">
        <v>63502</v>
      </c>
      <c r="J43" s="2692">
        <f>'SCG Table C 2023'!$K$42</f>
        <v>63502</v>
      </c>
      <c r="K43" s="2692">
        <v>102464.90470000001</v>
      </c>
      <c r="L43" s="2692">
        <v>63502</v>
      </c>
      <c r="M43" s="2692">
        <f>'SCG Table C 2024'!$K$42</f>
        <v>63502</v>
      </c>
      <c r="N43" s="2692">
        <f>'SCG Table C 2025'!$K$42</f>
        <v>63502</v>
      </c>
      <c r="O43" s="15"/>
    </row>
    <row r="44" spans="1:15" s="163" customFormat="1" ht="21" thickBot="1" x14ac:dyDescent="0.35">
      <c r="A44" s="15" t="s">
        <v>11</v>
      </c>
      <c r="B44" s="2696" t="s">
        <v>751</v>
      </c>
      <c r="C44" s="2692">
        <v>200834.85999999996</v>
      </c>
      <c r="D44" s="2692">
        <v>200000</v>
      </c>
      <c r="E44" s="2692">
        <v>200000.4</v>
      </c>
      <c r="F44" s="2692">
        <v>300000</v>
      </c>
      <c r="G44" s="2692">
        <f>'SCG Table C 2022'!$K$43</f>
        <v>300000</v>
      </c>
      <c r="H44" s="2692">
        <v>300000</v>
      </c>
      <c r="I44" s="2692">
        <v>300000</v>
      </c>
      <c r="J44" s="2692">
        <f>'SCG Table C 2023'!$K$43</f>
        <v>300000</v>
      </c>
      <c r="K44" s="2692">
        <v>300000</v>
      </c>
      <c r="L44" s="2692">
        <v>300000</v>
      </c>
      <c r="M44" s="2692">
        <f>'SCG Table C 2024'!$K$43</f>
        <v>300000</v>
      </c>
      <c r="N44" s="2692">
        <f>'SCG Table C 2025'!$K$43</f>
        <v>300000</v>
      </c>
      <c r="O44" s="15"/>
    </row>
    <row r="45" spans="1:15" s="163" customFormat="1" ht="21" thickBot="1" x14ac:dyDescent="0.35">
      <c r="A45" s="15" t="s">
        <v>11</v>
      </c>
      <c r="B45" s="2696" t="s">
        <v>752</v>
      </c>
      <c r="C45" s="2692">
        <v>21865.359999999993</v>
      </c>
      <c r="D45" s="2692">
        <v>21931</v>
      </c>
      <c r="E45" s="2692">
        <v>21931</v>
      </c>
      <c r="F45" s="2692">
        <v>29607</v>
      </c>
      <c r="G45" s="2692">
        <f>'SCG Table C 2022'!$K$44</f>
        <v>29607</v>
      </c>
      <c r="H45" s="2692">
        <v>29607</v>
      </c>
      <c r="I45" s="2692">
        <v>29607</v>
      </c>
      <c r="J45" s="2692">
        <f>'SCG Table C 2023'!$K$44</f>
        <v>29607</v>
      </c>
      <c r="K45" s="2692">
        <v>29607</v>
      </c>
      <c r="L45" s="2692">
        <v>29607</v>
      </c>
      <c r="M45" s="2692">
        <f>'SCG Table C 2024'!$K$44</f>
        <v>29607</v>
      </c>
      <c r="N45" s="2692">
        <f>'SCG Table C 2025'!$K$44</f>
        <v>29607</v>
      </c>
      <c r="O45" s="15"/>
    </row>
    <row r="46" spans="1:15" s="163" customFormat="1" ht="21" thickBot="1" x14ac:dyDescent="0.35">
      <c r="A46" s="15" t="s">
        <v>11</v>
      </c>
      <c r="B46" s="2696" t="s">
        <v>273</v>
      </c>
      <c r="C46" s="2692">
        <v>78797.070000000007</v>
      </c>
      <c r="D46" s="2692">
        <v>140589.78899999999</v>
      </c>
      <c r="E46" s="2692">
        <v>328131</v>
      </c>
      <c r="F46" s="2692">
        <v>540589.78899999999</v>
      </c>
      <c r="G46" s="2692">
        <f>'SCG Table C 2022'!$K$45</f>
        <v>609473</v>
      </c>
      <c r="H46" s="2692">
        <v>263589.78899999999</v>
      </c>
      <c r="I46" s="2692">
        <v>332473</v>
      </c>
      <c r="J46" s="2692">
        <f>'SCG Table C 2023'!$K$45</f>
        <v>332473</v>
      </c>
      <c r="K46" s="2692">
        <v>241589.78899999999</v>
      </c>
      <c r="L46" s="2692">
        <v>310473</v>
      </c>
      <c r="M46" s="2692">
        <f>'SCG Table C 2024'!$K$45</f>
        <v>310473</v>
      </c>
      <c r="N46" s="2692">
        <f>'SCG Table C 2025'!$K$45</f>
        <v>310473</v>
      </c>
      <c r="O46" s="15"/>
    </row>
    <row r="47" spans="1:15" s="163" customFormat="1" ht="21" thickBot="1" x14ac:dyDescent="0.35">
      <c r="A47" s="15" t="s">
        <v>11</v>
      </c>
      <c r="B47" s="2696" t="s">
        <v>753</v>
      </c>
      <c r="C47" s="2692">
        <v>43333.08</v>
      </c>
      <c r="D47" s="2692">
        <v>43333</v>
      </c>
      <c r="E47" s="2692">
        <v>93291</v>
      </c>
      <c r="F47" s="2692">
        <v>53333</v>
      </c>
      <c r="G47" s="2692">
        <f>'SCG Table C 2022'!$K$46</f>
        <v>53333</v>
      </c>
      <c r="H47" s="2692">
        <v>53333</v>
      </c>
      <c r="I47" s="2692">
        <v>53333</v>
      </c>
      <c r="J47" s="2692">
        <f>'SCG Table C 2023'!$K$46</f>
        <v>53333</v>
      </c>
      <c r="K47" s="2692">
        <v>53333</v>
      </c>
      <c r="L47" s="2692">
        <v>53333</v>
      </c>
      <c r="M47" s="2692">
        <f>'SCG Table C 2024'!$K$46</f>
        <v>53333</v>
      </c>
      <c r="N47" s="2692">
        <f>'SCG Table C 2025'!$K$46</f>
        <v>53333</v>
      </c>
      <c r="O47" s="15"/>
    </row>
    <row r="48" spans="1:15" s="163" customFormat="1" ht="21" thickBot="1" x14ac:dyDescent="0.35">
      <c r="A48" s="15" t="s">
        <v>11</v>
      </c>
      <c r="B48" s="2696" t="s">
        <v>754</v>
      </c>
      <c r="C48" s="2692">
        <v>1597.4099999999999</v>
      </c>
      <c r="D48" s="2692">
        <v>10000</v>
      </c>
      <c r="E48" s="2692">
        <v>10000</v>
      </c>
      <c r="F48" s="2692">
        <v>10000</v>
      </c>
      <c r="G48" s="2692">
        <f>'SCG Table C 2022'!$K$47</f>
        <v>10000</v>
      </c>
      <c r="H48" s="2692">
        <v>10000</v>
      </c>
      <c r="I48" s="2692">
        <v>10000</v>
      </c>
      <c r="J48" s="2692">
        <f>'SCG Table C 2023'!$K$47</f>
        <v>10000</v>
      </c>
      <c r="K48" s="2692">
        <v>10000</v>
      </c>
      <c r="L48" s="2692">
        <v>10000</v>
      </c>
      <c r="M48" s="2692">
        <f>'SCG Table C 2024'!$K$47</f>
        <v>10000</v>
      </c>
      <c r="N48" s="2692">
        <f>'SCG Table C 2025'!$K$47</f>
        <v>10000</v>
      </c>
      <c r="O48" s="15"/>
    </row>
    <row r="49" spans="1:21" ht="21" thickBot="1" x14ac:dyDescent="0.35">
      <c r="A49" s="15" t="s">
        <v>11</v>
      </c>
      <c r="B49" s="2696" t="s">
        <v>755</v>
      </c>
      <c r="C49" s="2692">
        <v>629890.33000000007</v>
      </c>
      <c r="D49" s="2692">
        <v>646714.02352665039</v>
      </c>
      <c r="E49" s="2692">
        <v>696820</v>
      </c>
      <c r="F49" s="2692">
        <v>685984.06824421405</v>
      </c>
      <c r="G49" s="2692">
        <f ca="1">'SCG Table C 2022'!$K$48</f>
        <v>575618.46208575531</v>
      </c>
      <c r="H49" s="2692">
        <v>695217.65749929228</v>
      </c>
      <c r="I49" s="2692">
        <v>695217.65749929228</v>
      </c>
      <c r="J49" s="2692">
        <f ca="1">'SCG Table C 2023'!$K$48</f>
        <v>695217.65749929228</v>
      </c>
      <c r="K49" s="2692">
        <v>702324.38649843959</v>
      </c>
      <c r="L49" s="2692">
        <v>702324.38649843959</v>
      </c>
      <c r="M49" s="2692">
        <f ca="1">'SCG Table C 2024'!$K$48</f>
        <v>702324.38649843959</v>
      </c>
      <c r="N49" s="2692">
        <f ca="1">'SCG Table C 2025'!$K$48</f>
        <v>713929.0174136057</v>
      </c>
      <c r="O49" s="15"/>
    </row>
    <row r="50" spans="1:21" s="1" customFormat="1" ht="21" thickBot="1" x14ac:dyDescent="0.35">
      <c r="A50" s="19"/>
      <c r="B50" s="2697" t="s">
        <v>761</v>
      </c>
      <c r="C50" s="2694">
        <f t="shared" ref="C50:M50" si="16">SUM(C41:C49)</f>
        <v>1180601.2200000002</v>
      </c>
      <c r="D50" s="2694">
        <f t="shared" si="16"/>
        <v>1364351.7811006503</v>
      </c>
      <c r="E50" s="2694">
        <f t="shared" si="16"/>
        <v>1620323.8</v>
      </c>
      <c r="F50" s="2694">
        <f t="shared" si="16"/>
        <v>1921297.8258182141</v>
      </c>
      <c r="G50" s="2694">
        <f t="shared" ca="1" si="16"/>
        <v>1869640.4620857553</v>
      </c>
      <c r="H50" s="2694">
        <f t="shared" si="16"/>
        <v>1653531.4150732923</v>
      </c>
      <c r="I50" s="2694">
        <v>1712239.6574992924</v>
      </c>
      <c r="J50" s="2694">
        <f t="shared" ca="1" si="16"/>
        <v>1712239.6574992924</v>
      </c>
      <c r="K50" s="2694">
        <f t="shared" si="16"/>
        <v>1638638.1440724395</v>
      </c>
      <c r="L50" s="2694">
        <v>1697346.3864984396</v>
      </c>
      <c r="M50" s="2694">
        <f t="shared" ca="1" si="16"/>
        <v>1697346.3864984396</v>
      </c>
      <c r="N50" s="2694">
        <f t="shared" ref="N50" ca="1" si="17">SUM(N41:N49)</f>
        <v>1708951.0174136057</v>
      </c>
      <c r="O50" s="15"/>
    </row>
    <row r="51" spans="1:21" s="163" customFormat="1" ht="21" thickBot="1" x14ac:dyDescent="0.35">
      <c r="A51" s="13"/>
      <c r="B51" s="2699" t="s">
        <v>16</v>
      </c>
      <c r="C51" s="2694">
        <f t="shared" ref="C51:M51" si="18">+C50+C39+C34+C28+C24+C18</f>
        <v>14148695.550000001</v>
      </c>
      <c r="D51" s="2694">
        <f t="shared" si="18"/>
        <v>15093400.195048492</v>
      </c>
      <c r="E51" s="2694">
        <f t="shared" si="18"/>
        <v>16898462.800000001</v>
      </c>
      <c r="F51" s="2694">
        <f t="shared" si="18"/>
        <v>14498605.433128491</v>
      </c>
      <c r="G51" s="2694">
        <f t="shared" ca="1" si="18"/>
        <v>12180927.706089582</v>
      </c>
      <c r="H51" s="2694">
        <f t="shared" si="18"/>
        <v>14692510.807485135</v>
      </c>
      <c r="I51" s="2694">
        <v>14692510.811522786</v>
      </c>
      <c r="J51" s="2694">
        <f t="shared" ca="1" si="18"/>
        <v>14692510.807485137</v>
      </c>
      <c r="K51" s="2694">
        <f t="shared" si="18"/>
        <v>14841752.116467234</v>
      </c>
      <c r="L51" s="2694">
        <v>14841752.116467232</v>
      </c>
      <c r="M51" s="2694">
        <f t="shared" ca="1" si="18"/>
        <v>14841752.11329576</v>
      </c>
      <c r="N51" s="2694">
        <f t="shared" ref="N51" ca="1" si="19">+N50+N39+N34+N28+N24+N18</f>
        <v>14992509.362089997</v>
      </c>
      <c r="O51" s="15"/>
    </row>
    <row r="52" spans="1:21" s="4" customFormat="1" x14ac:dyDescent="0.2">
      <c r="A52" s="20"/>
      <c r="C52" s="163"/>
      <c r="D52" s="163"/>
      <c r="E52" s="163"/>
    </row>
    <row r="53" spans="1:21" s="4" customFormat="1" x14ac:dyDescent="0.2">
      <c r="A53" s="20"/>
      <c r="C53" s="756"/>
      <c r="D53" s="756"/>
      <c r="E53" s="756"/>
    </row>
    <row r="54" spans="1:21" s="4" customFormat="1" ht="13.5" thickBot="1" x14ac:dyDescent="0.25">
      <c r="A54" s="13"/>
      <c r="C54" s="756"/>
      <c r="D54" s="756"/>
      <c r="E54" s="756"/>
    </row>
    <row r="55" spans="1:21" s="37" customFormat="1" ht="21" thickBot="1" x14ac:dyDescent="0.35">
      <c r="A55" s="34"/>
      <c r="B55" s="2754" t="s">
        <v>123</v>
      </c>
      <c r="C55" s="2753"/>
      <c r="D55" s="2753"/>
      <c r="E55" s="2753"/>
      <c r="F55" s="2753"/>
      <c r="G55" s="2753"/>
      <c r="H55" s="2753"/>
      <c r="I55" s="2753"/>
      <c r="J55" s="2753"/>
      <c r="K55" s="2753"/>
      <c r="L55" s="2753"/>
      <c r="M55" s="2753"/>
      <c r="N55" s="2753"/>
    </row>
    <row r="56" spans="1:21" ht="21" thickBot="1" x14ac:dyDescent="0.35">
      <c r="A56" s="19"/>
      <c r="B56" s="2754" t="s">
        <v>7</v>
      </c>
      <c r="C56" s="2753"/>
      <c r="D56" s="2753"/>
      <c r="E56" s="2753"/>
      <c r="F56" s="2753">
        <f>F18+F30*0.8+F31*0.5+F32*0.5+F33*0.8+F36+F42*0.8+F26</f>
        <v>8865314.2352213785</v>
      </c>
      <c r="G56" s="2753">
        <f>G18+G30*0.8+G31*0.5+G32*0.5+G33*0.8+G36+G42*0.8+G26</f>
        <v>7220843.5159678487</v>
      </c>
      <c r="H56" s="2753">
        <f t="shared" ref="H56" si="20">H18+H30*0.8+H31*0.5+H32*0.5+H33*0.8+H36+H42*0.8+H26</f>
        <v>9173980.4744819086</v>
      </c>
      <c r="I56" s="2753">
        <v>9101984.0063275136</v>
      </c>
      <c r="J56" s="2753">
        <f t="shared" ref="J56:M56" si="21">J18+J30*0.8+J31*0.5+J32*0.5+J33*0.8+J36+J42*0.8+J26</f>
        <v>9101984.0022898652</v>
      </c>
      <c r="K56" s="2753">
        <f t="shared" si="21"/>
        <v>9289725.8319528718</v>
      </c>
      <c r="L56" s="2753">
        <v>9218977.7784862984</v>
      </c>
      <c r="M56" s="2753">
        <f t="shared" si="21"/>
        <v>9218977.7753148265</v>
      </c>
      <c r="N56" s="2753">
        <f t="shared" ref="N56" si="22">N18+N30*0.8+N31*0.5+N32*0.5+N33*0.8+N36+N42*0.8+N26</f>
        <v>9314708.3047708329</v>
      </c>
      <c r="S56" s="2685">
        <f>G56/1000000</f>
        <v>7.2208435159678483</v>
      </c>
      <c r="T56" s="2685">
        <f>J56/1000000</f>
        <v>9.1019840022898659</v>
      </c>
      <c r="U56" s="2685">
        <f t="shared" ref="U56:U59" si="23">M56/1000000</f>
        <v>9.2189777753148263</v>
      </c>
    </row>
    <row r="57" spans="1:21" ht="27" customHeight="1" thickBot="1" x14ac:dyDescent="0.35">
      <c r="B57" s="2754" t="s">
        <v>8</v>
      </c>
      <c r="C57" s="2753"/>
      <c r="D57" s="2753"/>
      <c r="E57" s="2753"/>
      <c r="F57" s="2753">
        <f>F24+F30*0.2+F31*0.5+F32*0.5+F33*0.2+F37+F42*0.2+F27</f>
        <v>3702093.3720888966</v>
      </c>
      <c r="G57" s="2753">
        <f>G24+G30*0.2+G31*0.5+G32*0.5+G33*0.2+G37+G42*0.2+G27</f>
        <v>3080543.728035978</v>
      </c>
      <c r="H57" s="2753">
        <f t="shared" ref="H57" si="24">H24+H30*0.2+H31*0.5+H32*0.5+H33*0.2+H37+H42*0.2+H27</f>
        <v>3855098.9179299334</v>
      </c>
      <c r="I57" s="2753">
        <v>3868387.14769598</v>
      </c>
      <c r="J57" s="2753">
        <f t="shared" ref="J57:M57" si="25">J24+J30*0.2+J31*0.5+J32*0.5+J33*0.2+J37+J42*0.2+J27</f>
        <v>3868387.14769598</v>
      </c>
      <c r="K57" s="2753">
        <f t="shared" si="25"/>
        <v>3903488.1404419211</v>
      </c>
      <c r="L57" s="2753">
        <v>3915527.9514824934</v>
      </c>
      <c r="M57" s="2753">
        <f t="shared" si="25"/>
        <v>3915527.9514824934</v>
      </c>
      <c r="N57" s="2753">
        <f t="shared" ref="N57" si="26">N24+N30*0.2+N31*0.5+N32*0.5+N33*0.2+N37+N42*0.2+N27</f>
        <v>3958950.0399055583</v>
      </c>
      <c r="S57" s="2685">
        <f t="shared" ref="S57:S59" si="27">G57/1000000</f>
        <v>3.0805437280359782</v>
      </c>
      <c r="T57" s="2685">
        <f>J57/1000000</f>
        <v>3.8683871476959801</v>
      </c>
      <c r="U57" s="2685">
        <f t="shared" si="23"/>
        <v>3.9155279514824932</v>
      </c>
    </row>
    <row r="58" spans="1:21" ht="21" thickBot="1" x14ac:dyDescent="0.35">
      <c r="B58" s="2754" t="s">
        <v>12</v>
      </c>
      <c r="C58" s="2753"/>
      <c r="D58" s="2753"/>
      <c r="E58" s="2753"/>
      <c r="F58" s="2753">
        <f t="shared" ref="F58:M58" si="28">F38+F41+F46+F43+F44+F45+F47+F48+F49</f>
        <v>1931197.8258182141</v>
      </c>
      <c r="G58" s="2753">
        <f t="shared" ca="1" si="28"/>
        <v>1879540.4620857553</v>
      </c>
      <c r="H58" s="2753">
        <f t="shared" si="28"/>
        <v>1663431.4150732923</v>
      </c>
      <c r="I58" s="2753">
        <v>1722139.6574992924</v>
      </c>
      <c r="J58" s="2753">
        <f t="shared" ca="1" si="28"/>
        <v>1722139.6574992924</v>
      </c>
      <c r="K58" s="2753">
        <f t="shared" si="28"/>
        <v>1648538.1440724395</v>
      </c>
      <c r="L58" s="2753">
        <v>1707246.3864984396</v>
      </c>
      <c r="M58" s="2753">
        <f t="shared" ca="1" si="28"/>
        <v>1707246.3864984396</v>
      </c>
      <c r="N58" s="2753">
        <f t="shared" ref="N58" ca="1" si="29">N38+N41+N46+N43+N44+N45+N47+N48+N49</f>
        <v>1718851.0174136057</v>
      </c>
      <c r="S58" s="2685">
        <f t="shared" ca="1" si="27"/>
        <v>1.8795404620857552</v>
      </c>
      <c r="T58" s="2685">
        <f ca="1">J58/1000000</f>
        <v>1.7221396574992924</v>
      </c>
      <c r="U58" s="2685">
        <f t="shared" ca="1" si="23"/>
        <v>1.7072463864984395</v>
      </c>
    </row>
    <row r="59" spans="1:21" ht="21" thickBot="1" x14ac:dyDescent="0.35">
      <c r="B59" s="2695" t="s">
        <v>33</v>
      </c>
      <c r="C59" s="2694"/>
      <c r="D59" s="2694"/>
      <c r="E59" s="2694"/>
      <c r="F59" s="2694">
        <f t="shared" ref="F59:M59" si="30">F18+F24+F34+F39+F50+F28</f>
        <v>14498605.433128491</v>
      </c>
      <c r="G59" s="2694">
        <f t="shared" ca="1" si="30"/>
        <v>12180927.70608958</v>
      </c>
      <c r="H59" s="2694">
        <f t="shared" si="30"/>
        <v>14692510.807485135</v>
      </c>
      <c r="I59" s="2694">
        <v>14692510.811522786</v>
      </c>
      <c r="J59" s="2694">
        <f t="shared" ca="1" si="30"/>
        <v>14692510.807485137</v>
      </c>
      <c r="K59" s="2694">
        <f t="shared" si="30"/>
        <v>14841752.116467234</v>
      </c>
      <c r="L59" s="2694">
        <v>14841752.11646723</v>
      </c>
      <c r="M59" s="2694">
        <f t="shared" ca="1" si="30"/>
        <v>14841752.11329576</v>
      </c>
      <c r="N59" s="2694">
        <f t="shared" ref="N59" ca="1" si="31">N18+N24+N34+N39+N50+N28</f>
        <v>14992509.362089995</v>
      </c>
      <c r="S59" s="2685">
        <f t="shared" ca="1" si="27"/>
        <v>12.18092770608958</v>
      </c>
      <c r="T59" s="2685">
        <f ca="1">J59/1000000</f>
        <v>14.692510807485137</v>
      </c>
      <c r="U59" s="2685">
        <f t="shared" ca="1" si="23"/>
        <v>14.84175211329576</v>
      </c>
    </row>
    <row r="60" spans="1:21" ht="19.5" customHeight="1" x14ac:dyDescent="0.2"/>
    <row r="61" spans="1:21" x14ac:dyDescent="0.2">
      <c r="B61" s="15"/>
      <c r="C61" s="2487"/>
      <c r="D61" s="2487"/>
      <c r="E61" s="2487"/>
      <c r="F61" s="2487">
        <v>14498605.433128491</v>
      </c>
      <c r="G61" s="2487">
        <f ca="1">'SCG Table C 2022'!K51</f>
        <v>12180927.70608958</v>
      </c>
      <c r="H61" s="2487">
        <v>0</v>
      </c>
      <c r="I61" s="2487">
        <v>14692510.811522786</v>
      </c>
      <c r="J61" s="2487">
        <f ca="1">'SCG Table C 2023'!K51</f>
        <v>14692510.807485137</v>
      </c>
      <c r="K61" s="2487">
        <v>0</v>
      </c>
      <c r="L61" s="2487">
        <v>14841752.11646723</v>
      </c>
      <c r="M61" s="2487">
        <f ca="1">'SCG Table C 2024'!K51</f>
        <v>14841752.11329576</v>
      </c>
      <c r="N61" s="2487">
        <f ca="1">'SCG Table C 2025'!K51</f>
        <v>14992509.362089995</v>
      </c>
    </row>
    <row r="62" spans="1:21" x14ac:dyDescent="0.2">
      <c r="B62" s="15"/>
      <c r="C62" s="14"/>
      <c r="D62" s="14"/>
      <c r="E62" s="14"/>
      <c r="F62" s="2837"/>
      <c r="G62" s="14"/>
      <c r="H62" s="2837"/>
      <c r="I62" s="14"/>
      <c r="J62" s="14"/>
      <c r="K62" s="2837"/>
      <c r="L62" s="14"/>
      <c r="M62" s="14"/>
      <c r="N62" s="14"/>
    </row>
    <row r="63" spans="1:21" x14ac:dyDescent="0.2">
      <c r="B63" s="3"/>
      <c r="F63" s="2837">
        <f t="shared" ref="F63:M63" si="32">+F61-F59</f>
        <v>0</v>
      </c>
      <c r="G63">
        <f t="shared" ca="1" si="32"/>
        <v>0</v>
      </c>
      <c r="H63" s="2837">
        <f t="shared" si="32"/>
        <v>-14692510.807485135</v>
      </c>
      <c r="I63" s="2838">
        <v>0</v>
      </c>
      <c r="J63">
        <f t="shared" ca="1" si="32"/>
        <v>0</v>
      </c>
      <c r="K63" s="2837">
        <f t="shared" si="32"/>
        <v>-14841752.116467234</v>
      </c>
      <c r="L63" s="2838">
        <v>0</v>
      </c>
      <c r="M63">
        <f t="shared" ca="1" si="32"/>
        <v>0</v>
      </c>
      <c r="N63" s="2838">
        <f t="shared" ref="N63" ca="1" si="33">+N61-N59</f>
        <v>0</v>
      </c>
    </row>
    <row r="64" spans="1:21" x14ac:dyDescent="0.2">
      <c r="C64" s="14"/>
      <c r="D64" s="14"/>
      <c r="E64" s="14"/>
      <c r="G64" s="14"/>
      <c r="I64" s="14"/>
      <c r="J64" s="14"/>
      <c r="L64" s="14"/>
      <c r="M64" s="14"/>
      <c r="N64" s="14"/>
    </row>
    <row r="65" spans="2:14" ht="20.25" x14ac:dyDescent="0.3">
      <c r="B65" s="2831"/>
    </row>
    <row r="66" spans="2:14" x14ac:dyDescent="0.2">
      <c r="C66" s="2752"/>
      <c r="D66" s="2752"/>
      <c r="E66" s="2752"/>
      <c r="G66" s="2752"/>
      <c r="I66" s="2752"/>
      <c r="J66" s="2752"/>
      <c r="L66" s="2752"/>
      <c r="M66" s="2752"/>
      <c r="N66" s="2752"/>
    </row>
  </sheetData>
  <phoneticPr fontId="10" type="noConversion"/>
  <printOptions horizontalCentered="1" verticalCentered="1"/>
  <pageMargins left="0.5" right="0.5" top="0.22" bottom="1.18" header="0.22" footer="0.23"/>
  <pageSetup scale="29" orientation="portrait" r:id="rId1"/>
  <headerFooter alignWithMargins="0">
    <oddFooter>&amp;R&amp;14
&amp;C&amp;"Arial"&amp;11&amp;K000000
Totals may vary due to rounding_x000D_&amp;1#&amp;"Calibri"&amp;12&amp;K008000Internal Use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indexed="44"/>
    <pageSetUpPr fitToPage="1"/>
  </sheetPr>
  <dimension ref="A1:U49"/>
  <sheetViews>
    <sheetView topLeftCell="A25" workbookViewId="0">
      <selection activeCell="H44" sqref="H44"/>
    </sheetView>
  </sheetViews>
  <sheetFormatPr defaultRowHeight="12.75" x14ac:dyDescent="0.2"/>
  <cols>
    <col min="1" max="1" width="32.5703125" customWidth="1"/>
    <col min="2" max="2" width="3.5703125" customWidth="1"/>
    <col min="3" max="3" width="14.42578125" customWidth="1"/>
    <col min="4" max="6" width="13.28515625" customWidth="1"/>
    <col min="7" max="7" width="14" customWidth="1"/>
    <col min="8" max="9" width="12.28515625" bestFit="1" customWidth="1"/>
    <col min="19" max="19" width="12.85546875" customWidth="1"/>
  </cols>
  <sheetData>
    <row r="1" spans="1:19" ht="15" x14ac:dyDescent="0.25">
      <c r="A1" s="2855" t="s">
        <v>469</v>
      </c>
      <c r="B1" s="2855"/>
      <c r="C1" s="2855"/>
      <c r="D1" s="2855"/>
      <c r="E1" s="2855"/>
      <c r="F1" s="29"/>
      <c r="O1" s="3"/>
      <c r="P1" s="3"/>
      <c r="Q1" s="3"/>
      <c r="R1" s="3"/>
      <c r="S1" s="3"/>
    </row>
    <row r="2" spans="1:19" ht="15" x14ac:dyDescent="0.25">
      <c r="A2" s="31"/>
      <c r="O2" s="3"/>
      <c r="P2" s="3"/>
      <c r="Q2" s="3"/>
      <c r="R2" s="3"/>
      <c r="S2" s="3"/>
    </row>
    <row r="3" spans="1:19" x14ac:dyDescent="0.2">
      <c r="O3" s="138"/>
      <c r="P3" s="98"/>
      <c r="Q3" s="15"/>
      <c r="R3" s="15"/>
      <c r="S3" s="3"/>
    </row>
    <row r="4" spans="1:19" x14ac:dyDescent="0.2">
      <c r="O4" s="139"/>
      <c r="P4" s="98"/>
      <c r="Q4" s="15"/>
      <c r="R4" s="15"/>
      <c r="S4" s="3"/>
    </row>
    <row r="5" spans="1:19" x14ac:dyDescent="0.2">
      <c r="O5" s="139"/>
      <c r="P5" s="98"/>
      <c r="Q5" s="15"/>
      <c r="R5" s="15"/>
      <c r="S5" s="3"/>
    </row>
    <row r="6" spans="1:19" x14ac:dyDescent="0.2">
      <c r="O6" s="139"/>
      <c r="P6" s="98"/>
      <c r="Q6" s="15"/>
      <c r="R6" s="15"/>
      <c r="S6" s="3"/>
    </row>
    <row r="7" spans="1:19" x14ac:dyDescent="0.2">
      <c r="O7" s="139"/>
      <c r="P7" s="98"/>
      <c r="Q7" s="15"/>
      <c r="R7" s="15"/>
      <c r="S7" s="3"/>
    </row>
    <row r="8" spans="1:19" x14ac:dyDescent="0.2">
      <c r="O8" s="15"/>
      <c r="P8" s="15"/>
      <c r="Q8" s="15"/>
      <c r="R8" s="15"/>
      <c r="S8" s="3"/>
    </row>
    <row r="9" spans="1:19" x14ac:dyDescent="0.2">
      <c r="O9" s="138"/>
      <c r="P9" s="15"/>
      <c r="Q9" s="15"/>
      <c r="R9" s="15"/>
      <c r="S9" s="3"/>
    </row>
    <row r="10" spans="1:19" x14ac:dyDescent="0.2">
      <c r="O10" s="15"/>
      <c r="P10" s="15"/>
      <c r="Q10" s="15"/>
      <c r="R10" s="15"/>
      <c r="S10" s="3"/>
    </row>
    <row r="11" spans="1:19" x14ac:dyDescent="0.2">
      <c r="O11" s="15"/>
      <c r="P11" s="98"/>
      <c r="Q11" s="15"/>
      <c r="R11" s="15"/>
      <c r="S11" s="3"/>
    </row>
    <row r="12" spans="1:19" x14ac:dyDescent="0.2">
      <c r="O12" s="15"/>
      <c r="P12" s="98"/>
      <c r="Q12" s="15"/>
      <c r="R12" s="15"/>
      <c r="S12" s="3"/>
    </row>
    <row r="13" spans="1:19" x14ac:dyDescent="0.2">
      <c r="O13" s="15"/>
      <c r="P13" s="15"/>
      <c r="Q13" s="15"/>
      <c r="R13" s="15"/>
      <c r="S13" s="3"/>
    </row>
    <row r="14" spans="1:19" x14ac:dyDescent="0.2">
      <c r="O14" s="3"/>
      <c r="P14" s="3"/>
      <c r="Q14" s="3"/>
      <c r="R14" s="3"/>
      <c r="S14" s="3"/>
    </row>
    <row r="15" spans="1:19" x14ac:dyDescent="0.2">
      <c r="O15" s="138"/>
      <c r="P15" s="98"/>
      <c r="Q15" s="15"/>
      <c r="R15" s="15"/>
      <c r="S15" s="3"/>
    </row>
    <row r="16" spans="1:19" x14ac:dyDescent="0.2">
      <c r="O16" s="139"/>
      <c r="P16" s="98"/>
      <c r="Q16" s="15"/>
      <c r="R16" s="15"/>
      <c r="S16" s="3"/>
    </row>
    <row r="17" spans="1:21" x14ac:dyDescent="0.2">
      <c r="O17" s="139"/>
      <c r="P17" s="98"/>
      <c r="Q17" s="15"/>
      <c r="R17" s="15"/>
      <c r="S17" s="3"/>
    </row>
    <row r="18" spans="1:21" x14ac:dyDescent="0.2">
      <c r="O18" s="139"/>
      <c r="P18" s="98"/>
      <c r="Q18" s="15"/>
      <c r="R18" s="15"/>
      <c r="S18" s="3"/>
    </row>
    <row r="19" spans="1:21" x14ac:dyDescent="0.2">
      <c r="O19" s="139"/>
      <c r="P19" s="98"/>
      <c r="Q19" s="15"/>
      <c r="R19" s="15"/>
      <c r="S19" s="3"/>
    </row>
    <row r="20" spans="1:21" x14ac:dyDescent="0.2">
      <c r="O20" s="15"/>
      <c r="P20" s="15"/>
      <c r="Q20" s="15"/>
      <c r="R20" s="15"/>
      <c r="S20" s="3"/>
    </row>
    <row r="21" spans="1:21" x14ac:dyDescent="0.2">
      <c r="O21" s="138"/>
      <c r="P21" s="15"/>
      <c r="Q21" s="15"/>
      <c r="R21" s="15"/>
      <c r="S21" s="3"/>
    </row>
    <row r="22" spans="1:21" x14ac:dyDescent="0.2">
      <c r="O22" s="15"/>
      <c r="P22" s="15"/>
      <c r="Q22" s="15"/>
      <c r="R22" s="15"/>
      <c r="S22" s="3"/>
    </row>
    <row r="23" spans="1:21" ht="13.5" customHeight="1" x14ac:dyDescent="0.2">
      <c r="O23" s="15"/>
      <c r="P23" s="98"/>
      <c r="Q23" s="15"/>
      <c r="R23" s="15"/>
      <c r="S23" s="3"/>
    </row>
    <row r="24" spans="1:21" ht="13.5" customHeight="1" x14ac:dyDescent="0.2">
      <c r="O24" s="15"/>
      <c r="P24" s="98"/>
      <c r="Q24" s="15"/>
      <c r="R24" s="15"/>
      <c r="S24" s="3"/>
    </row>
    <row r="25" spans="1:21" s="3" customFormat="1" ht="13.5" customHeight="1" x14ac:dyDescent="0.2">
      <c r="O25"/>
      <c r="P25"/>
      <c r="Q25"/>
      <c r="R25"/>
      <c r="S25"/>
      <c r="T25"/>
    </row>
    <row r="26" spans="1:21" s="3" customFormat="1" ht="13.5" customHeight="1" x14ac:dyDescent="0.2">
      <c r="O26"/>
      <c r="P26"/>
      <c r="Q26"/>
      <c r="R26"/>
      <c r="S26"/>
      <c r="T26"/>
    </row>
    <row r="27" spans="1:21" x14ac:dyDescent="0.2">
      <c r="O27" s="7"/>
      <c r="T27" s="28"/>
    </row>
    <row r="28" spans="1:21" ht="44.25" customHeight="1" x14ac:dyDescent="0.2">
      <c r="A28" s="209" t="s">
        <v>20</v>
      </c>
      <c r="B28" s="209"/>
      <c r="C28" s="209" t="s">
        <v>26</v>
      </c>
      <c r="D28" s="209" t="s">
        <v>57</v>
      </c>
      <c r="E28" s="209" t="s">
        <v>21</v>
      </c>
      <c r="F28" s="206"/>
      <c r="G28" s="206"/>
      <c r="H28" s="53"/>
      <c r="I28" s="49"/>
      <c r="O28" s="15"/>
      <c r="P28" s="15"/>
      <c r="Q28" s="13"/>
      <c r="R28" s="13"/>
      <c r="S28" s="44"/>
      <c r="T28" s="25"/>
      <c r="U28" s="13"/>
    </row>
    <row r="29" spans="1:21" x14ac:dyDescent="0.2">
      <c r="A29" s="176" t="s">
        <v>228</v>
      </c>
      <c r="B29" s="54"/>
      <c r="C29" s="55" t="e">
        <f>+'2012-2013 Combined Table A1 '!I12</f>
        <v>#REF!</v>
      </c>
      <c r="D29" s="56" t="e">
        <f>C29/C42</f>
        <v>#REF!</v>
      </c>
      <c r="E29" s="57" t="e">
        <f>C29/C36</f>
        <v>#REF!</v>
      </c>
      <c r="F29" s="207"/>
      <c r="G29" s="207"/>
      <c r="H29" s="49"/>
      <c r="I29" s="49"/>
      <c r="O29" s="15"/>
      <c r="P29" s="15"/>
      <c r="Q29" s="13"/>
      <c r="R29" s="13"/>
      <c r="S29" s="44"/>
      <c r="T29" s="25"/>
      <c r="U29" s="13"/>
    </row>
    <row r="30" spans="1:21" x14ac:dyDescent="0.2">
      <c r="A30" s="176" t="s">
        <v>229</v>
      </c>
      <c r="B30" s="54"/>
      <c r="C30" s="55" t="e">
        <f>+'SCG Table A'!#REF!-'SCG 2013 Table A Pie Charts'!C29</f>
        <v>#REF!</v>
      </c>
      <c r="D30" s="56" t="e">
        <f>C30/C42</f>
        <v>#REF!</v>
      </c>
      <c r="E30" s="57" t="e">
        <f>C30/C36</f>
        <v>#REF!</v>
      </c>
      <c r="F30" s="207"/>
      <c r="G30" s="207"/>
      <c r="H30" s="49"/>
      <c r="I30" s="58"/>
      <c r="J30" s="32"/>
      <c r="K30" s="32"/>
      <c r="L30" s="32"/>
      <c r="M30" s="32"/>
      <c r="O30" s="15"/>
      <c r="P30" s="15"/>
      <c r="Q30" s="13"/>
      <c r="R30" s="13"/>
      <c r="S30" s="44"/>
      <c r="T30" s="25"/>
      <c r="U30" s="13"/>
    </row>
    <row r="31" spans="1:21" x14ac:dyDescent="0.2">
      <c r="A31" s="108" t="s">
        <v>22</v>
      </c>
      <c r="B31" s="60"/>
      <c r="C31" s="61" t="e">
        <f>SUM(C29:C30)</f>
        <v>#REF!</v>
      </c>
      <c r="D31" s="62" t="e">
        <f>SUM(D29:D30)</f>
        <v>#REF!</v>
      </c>
      <c r="E31" s="62" t="e">
        <f>SUM(E29:E30)</f>
        <v>#REF!</v>
      </c>
      <c r="F31" s="207"/>
      <c r="G31" s="207"/>
      <c r="H31" s="49"/>
      <c r="I31" s="49"/>
      <c r="O31" s="15"/>
      <c r="P31" s="15"/>
      <c r="Q31" s="13"/>
      <c r="R31" s="13"/>
      <c r="S31" s="44"/>
      <c r="T31" s="25"/>
      <c r="U31" s="13"/>
    </row>
    <row r="32" spans="1:21" x14ac:dyDescent="0.2">
      <c r="A32" s="54"/>
      <c r="B32" s="54"/>
      <c r="C32" s="55"/>
      <c r="D32" s="56"/>
      <c r="E32" s="57"/>
      <c r="F32" s="207"/>
      <c r="G32" s="207"/>
      <c r="H32" s="65"/>
      <c r="I32" s="65"/>
      <c r="O32" s="13"/>
      <c r="P32" s="13"/>
      <c r="Q32" s="13"/>
      <c r="R32" s="13"/>
      <c r="S32" s="13"/>
      <c r="T32" s="13"/>
      <c r="U32" s="13"/>
    </row>
    <row r="33" spans="1:21" x14ac:dyDescent="0.2">
      <c r="A33" s="176" t="s">
        <v>56</v>
      </c>
      <c r="B33" s="54"/>
      <c r="C33" s="55" t="e">
        <f>+'SCG Table A'!#REF!</f>
        <v>#REF!</v>
      </c>
      <c r="D33" s="56" t="e">
        <f>SUM(C33/C42)</f>
        <v>#REF!</v>
      </c>
      <c r="E33" s="57" t="e">
        <f>SUM(C33/C36)</f>
        <v>#REF!</v>
      </c>
      <c r="F33" s="207"/>
      <c r="G33" s="207"/>
      <c r="H33" s="65"/>
      <c r="I33" s="65"/>
      <c r="O33" s="13"/>
      <c r="P33" s="13"/>
      <c r="Q33" s="13"/>
      <c r="R33" s="13"/>
      <c r="S33" s="13"/>
      <c r="T33" s="13"/>
      <c r="U33" s="13"/>
    </row>
    <row r="34" spans="1:21" x14ac:dyDescent="0.2">
      <c r="A34" s="108" t="s">
        <v>23</v>
      </c>
      <c r="B34" s="60"/>
      <c r="C34" s="61" t="e">
        <f>SUM(C32:C33)</f>
        <v>#REF!</v>
      </c>
      <c r="D34" s="62" t="e">
        <f>SUM(D32:D33)</f>
        <v>#REF!</v>
      </c>
      <c r="E34" s="62" t="e">
        <f>SUM(E32:E33)</f>
        <v>#REF!</v>
      </c>
      <c r="F34" s="207"/>
      <c r="G34" s="207"/>
      <c r="H34" s="49"/>
      <c r="I34" s="50"/>
      <c r="O34" s="13"/>
      <c r="P34" s="13"/>
      <c r="Q34" s="13"/>
      <c r="R34" s="13"/>
      <c r="S34" s="13"/>
      <c r="T34" s="13"/>
      <c r="U34" s="13"/>
    </row>
    <row r="35" spans="1:21" x14ac:dyDescent="0.2">
      <c r="A35" s="49"/>
      <c r="B35" s="49"/>
      <c r="C35" s="49"/>
      <c r="D35" s="63"/>
      <c r="E35" s="63"/>
      <c r="F35" s="165"/>
      <c r="G35" s="165"/>
      <c r="H35" s="49"/>
      <c r="I35" s="50"/>
    </row>
    <row r="36" spans="1:21" x14ac:dyDescent="0.2">
      <c r="A36" s="108" t="s">
        <v>29</v>
      </c>
      <c r="B36" s="59"/>
      <c r="C36" s="61" t="e">
        <f>C31+C34</f>
        <v>#REF!</v>
      </c>
      <c r="D36" s="62" t="e">
        <f>D31+D34</f>
        <v>#REF!</v>
      </c>
      <c r="E36" s="62" t="e">
        <f>E31+E34</f>
        <v>#REF!</v>
      </c>
      <c r="F36" s="207"/>
      <c r="G36" s="208"/>
      <c r="H36" s="49"/>
      <c r="I36" s="50"/>
    </row>
    <row r="37" spans="1:21" x14ac:dyDescent="0.2">
      <c r="A37" s="54"/>
      <c r="B37" s="54"/>
      <c r="C37" s="55"/>
      <c r="D37" s="57"/>
      <c r="E37" s="66"/>
      <c r="F37" s="203"/>
      <c r="G37" s="203"/>
      <c r="H37" s="49"/>
      <c r="I37" s="137"/>
    </row>
    <row r="38" spans="1:21" s="34" customFormat="1" ht="15" customHeight="1" x14ac:dyDescent="0.25">
      <c r="A38" s="177" t="s">
        <v>24</v>
      </c>
      <c r="B38" s="67"/>
      <c r="C38" s="68"/>
      <c r="D38" s="69"/>
      <c r="E38" s="51"/>
      <c r="F38" s="68"/>
      <c r="G38" s="202"/>
      <c r="H38" s="51"/>
      <c r="I38" s="51"/>
    </row>
    <row r="39" spans="1:21" s="34" customFormat="1" ht="15" customHeight="1" x14ac:dyDescent="0.2">
      <c r="A39" s="176" t="s">
        <v>24</v>
      </c>
      <c r="B39" s="54"/>
      <c r="C39" s="70" t="e">
        <f>+'2012-2013 Combined Table A1 '!I56</f>
        <v>#REF!</v>
      </c>
      <c r="D39" s="56" t="e">
        <f>C39/C42</f>
        <v>#REF!</v>
      </c>
      <c r="E39" s="51"/>
      <c r="F39" s="68"/>
      <c r="G39" s="202"/>
      <c r="H39" s="51"/>
      <c r="I39" s="51"/>
    </row>
    <row r="40" spans="1:21" s="34" customFormat="1" ht="15" customHeight="1" x14ac:dyDescent="0.2">
      <c r="A40" s="108" t="s">
        <v>25</v>
      </c>
      <c r="B40" s="71"/>
      <c r="C40" s="72" t="e">
        <f>SUM(C39)</f>
        <v>#REF!</v>
      </c>
      <c r="D40" s="73" t="e">
        <f>SUM(D39)</f>
        <v>#REF!</v>
      </c>
      <c r="E40" s="74"/>
      <c r="F40" s="68"/>
      <c r="G40" s="203"/>
      <c r="H40" s="51"/>
      <c r="I40" s="51"/>
    </row>
    <row r="41" spans="1:21" s="34" customFormat="1" x14ac:dyDescent="0.2">
      <c r="A41" s="75"/>
      <c r="B41" s="75"/>
      <c r="C41" s="76"/>
      <c r="D41" s="77"/>
      <c r="E41" s="78"/>
      <c r="F41" s="204"/>
      <c r="G41" s="205"/>
      <c r="H41" s="51"/>
      <c r="I41" s="51"/>
    </row>
    <row r="42" spans="1:21" s="34" customFormat="1" x14ac:dyDescent="0.2">
      <c r="A42" s="79" t="s">
        <v>16</v>
      </c>
      <c r="B42" s="79"/>
      <c r="C42" s="80" t="e">
        <f>C40+C36</f>
        <v>#REF!</v>
      </c>
      <c r="D42" s="57" t="e">
        <f>D36+D40</f>
        <v>#REF!</v>
      </c>
      <c r="E42" s="51"/>
      <c r="F42" s="52"/>
      <c r="G42" s="52"/>
      <c r="H42" s="51"/>
      <c r="I42" s="51"/>
    </row>
    <row r="43" spans="1:21" s="37" customFormat="1" x14ac:dyDescent="0.2">
      <c r="A43" s="35"/>
      <c r="B43" s="35"/>
      <c r="C43" s="38"/>
      <c r="D43" s="30"/>
      <c r="F43" s="201"/>
      <c r="G43" s="201"/>
    </row>
    <row r="44" spans="1:21" s="37" customFormat="1" x14ac:dyDescent="0.2">
      <c r="A44" s="33"/>
      <c r="B44" s="33"/>
      <c r="C44" s="33"/>
      <c r="D44" s="33"/>
      <c r="E44" s="33"/>
      <c r="F44" s="201"/>
      <c r="G44" s="201"/>
    </row>
    <row r="45" spans="1:21" s="37" customFormat="1" x14ac:dyDescent="0.2">
      <c r="A45" s="35"/>
      <c r="B45" s="35"/>
      <c r="C45" s="38"/>
      <c r="D45" s="39"/>
      <c r="E45" s="39"/>
      <c r="F45" s="36"/>
      <c r="G45" s="40"/>
    </row>
    <row r="46" spans="1:21" s="37" customFormat="1" x14ac:dyDescent="0.2">
      <c r="A46" s="35"/>
      <c r="B46" s="35"/>
      <c r="C46" s="38"/>
      <c r="D46" s="40"/>
      <c r="E46" s="40"/>
      <c r="F46" s="40"/>
      <c r="G46" s="40"/>
    </row>
    <row r="47" spans="1:21" s="37" customFormat="1" x14ac:dyDescent="0.2">
      <c r="A47" s="35"/>
      <c r="B47" s="35"/>
      <c r="C47" s="38"/>
      <c r="D47" s="34"/>
      <c r="E47" s="34"/>
      <c r="F47" s="34"/>
      <c r="G47" s="34"/>
    </row>
    <row r="48" spans="1:21" x14ac:dyDescent="0.2">
      <c r="A48" s="41"/>
      <c r="B48" s="41"/>
      <c r="C48" s="42"/>
      <c r="D48" s="13"/>
      <c r="E48" s="13"/>
      <c r="F48" s="13"/>
      <c r="G48" s="13"/>
    </row>
    <row r="49" spans="1:7" x14ac:dyDescent="0.2">
      <c r="A49" s="13"/>
      <c r="B49" s="13"/>
      <c r="C49" s="43"/>
      <c r="D49" s="13"/>
      <c r="E49" s="13"/>
      <c r="F49" s="13"/>
      <c r="G49" s="13"/>
    </row>
  </sheetData>
  <mergeCells count="1">
    <mergeCell ref="A1:E1"/>
  </mergeCells>
  <phoneticPr fontId="10" type="noConversion"/>
  <pageMargins left="0.75" right="0.75" top="1" bottom="1" header="0.5" footer="0.5"/>
  <pageSetup orientation="portrait" r:id="rId1"/>
  <headerFooter alignWithMargins="0">
    <oddHeader xml:space="preserve">&amp;R&amp;12
</oddHeader>
    <oddFooter>&amp;C&amp;"Arial"&amp;11&amp;K000000Totals may vary due to rounding
_x000D_&amp;1#&amp;"Calibri"&amp;12&amp;K008000Internal Use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indexed="44"/>
    <pageSetUpPr fitToPage="1"/>
  </sheetPr>
  <dimension ref="A1:U49"/>
  <sheetViews>
    <sheetView topLeftCell="A22" workbookViewId="0">
      <selection activeCell="H44" sqref="H44"/>
    </sheetView>
  </sheetViews>
  <sheetFormatPr defaultRowHeight="12.75" x14ac:dyDescent="0.2"/>
  <cols>
    <col min="1" max="1" width="32.5703125" customWidth="1"/>
    <col min="2" max="2" width="3.5703125" customWidth="1"/>
    <col min="3" max="3" width="14.42578125" customWidth="1"/>
    <col min="4" max="6" width="13.28515625" customWidth="1"/>
    <col min="7" max="7" width="14" customWidth="1"/>
    <col min="8" max="9" width="12.28515625" bestFit="1" customWidth="1"/>
    <col min="19" max="19" width="12.85546875" customWidth="1"/>
  </cols>
  <sheetData>
    <row r="1" spans="1:19" ht="15" x14ac:dyDescent="0.25">
      <c r="A1" s="2855" t="s">
        <v>470</v>
      </c>
      <c r="B1" s="2855"/>
      <c r="C1" s="2855"/>
      <c r="D1" s="2855"/>
      <c r="E1" s="2855"/>
      <c r="F1" s="29"/>
      <c r="O1" s="3"/>
      <c r="P1" s="3"/>
      <c r="Q1" s="3"/>
      <c r="R1" s="3"/>
      <c r="S1" s="3"/>
    </row>
    <row r="2" spans="1:19" ht="15" x14ac:dyDescent="0.25">
      <c r="A2" s="31"/>
      <c r="O2" s="3"/>
      <c r="P2" s="3"/>
      <c r="Q2" s="3"/>
      <c r="R2" s="3"/>
      <c r="S2" s="3"/>
    </row>
    <row r="3" spans="1:19" x14ac:dyDescent="0.2">
      <c r="O3" s="138"/>
      <c r="P3" s="98"/>
      <c r="Q3" s="15"/>
      <c r="R3" s="15"/>
      <c r="S3" s="3"/>
    </row>
    <row r="4" spans="1:19" x14ac:dyDescent="0.2">
      <c r="O4" s="139"/>
      <c r="P4" s="98"/>
      <c r="Q4" s="15"/>
      <c r="R4" s="15"/>
      <c r="S4" s="3"/>
    </row>
    <row r="5" spans="1:19" x14ac:dyDescent="0.2">
      <c r="O5" s="139"/>
      <c r="P5" s="98"/>
      <c r="Q5" s="15"/>
      <c r="R5" s="15"/>
      <c r="S5" s="3"/>
    </row>
    <row r="6" spans="1:19" x14ac:dyDescent="0.2">
      <c r="O6" s="139"/>
      <c r="P6" s="98"/>
      <c r="Q6" s="15"/>
      <c r="R6" s="15"/>
      <c r="S6" s="3"/>
    </row>
    <row r="7" spans="1:19" x14ac:dyDescent="0.2">
      <c r="O7" s="139"/>
      <c r="P7" s="98"/>
      <c r="Q7" s="15"/>
      <c r="R7" s="15"/>
      <c r="S7" s="3"/>
    </row>
    <row r="8" spans="1:19" x14ac:dyDescent="0.2">
      <c r="O8" s="15"/>
      <c r="P8" s="15"/>
      <c r="Q8" s="15"/>
      <c r="R8" s="15"/>
      <c r="S8" s="3"/>
    </row>
    <row r="9" spans="1:19" x14ac:dyDescent="0.2">
      <c r="O9" s="138"/>
      <c r="P9" s="15"/>
      <c r="Q9" s="15"/>
      <c r="R9" s="15"/>
      <c r="S9" s="3"/>
    </row>
    <row r="10" spans="1:19" x14ac:dyDescent="0.2">
      <c r="O10" s="15"/>
      <c r="P10" s="15"/>
      <c r="Q10" s="15"/>
      <c r="R10" s="15"/>
      <c r="S10" s="3"/>
    </row>
    <row r="11" spans="1:19" x14ac:dyDescent="0.2">
      <c r="O11" s="15"/>
      <c r="P11" s="98"/>
      <c r="Q11" s="15"/>
      <c r="R11" s="15"/>
      <c r="S11" s="3"/>
    </row>
    <row r="12" spans="1:19" x14ac:dyDescent="0.2">
      <c r="O12" s="15"/>
      <c r="P12" s="98"/>
      <c r="Q12" s="15"/>
      <c r="R12" s="15"/>
      <c r="S12" s="3"/>
    </row>
    <row r="13" spans="1:19" x14ac:dyDescent="0.2">
      <c r="O13" s="15"/>
      <c r="P13" s="15"/>
      <c r="Q13" s="15"/>
      <c r="R13" s="15"/>
      <c r="S13" s="3"/>
    </row>
    <row r="14" spans="1:19" x14ac:dyDescent="0.2">
      <c r="O14" s="3"/>
      <c r="P14" s="3"/>
      <c r="Q14" s="3"/>
      <c r="R14" s="3"/>
      <c r="S14" s="3"/>
    </row>
    <row r="15" spans="1:19" x14ac:dyDescent="0.2">
      <c r="O15" s="138"/>
      <c r="P15" s="98"/>
      <c r="Q15" s="15"/>
      <c r="R15" s="15"/>
      <c r="S15" s="3"/>
    </row>
    <row r="16" spans="1:19" x14ac:dyDescent="0.2">
      <c r="O16" s="139"/>
      <c r="P16" s="98"/>
      <c r="Q16" s="15"/>
      <c r="R16" s="15"/>
      <c r="S16" s="3"/>
    </row>
    <row r="17" spans="1:21" x14ac:dyDescent="0.2">
      <c r="O17" s="139"/>
      <c r="P17" s="98"/>
      <c r="Q17" s="15"/>
      <c r="R17" s="15"/>
      <c r="S17" s="3"/>
    </row>
    <row r="18" spans="1:21" x14ac:dyDescent="0.2">
      <c r="O18" s="139"/>
      <c r="P18" s="98"/>
      <c r="Q18" s="15"/>
      <c r="R18" s="15"/>
      <c r="S18" s="3"/>
    </row>
    <row r="19" spans="1:21" x14ac:dyDescent="0.2">
      <c r="O19" s="139"/>
      <c r="P19" s="98"/>
      <c r="Q19" s="15"/>
      <c r="R19" s="15"/>
      <c r="S19" s="3"/>
    </row>
    <row r="20" spans="1:21" x14ac:dyDescent="0.2">
      <c r="O20" s="15"/>
      <c r="P20" s="15"/>
      <c r="Q20" s="15"/>
      <c r="R20" s="15"/>
      <c r="S20" s="3"/>
    </row>
    <row r="21" spans="1:21" x14ac:dyDescent="0.2">
      <c r="O21" s="138"/>
      <c r="P21" s="15"/>
      <c r="Q21" s="15"/>
      <c r="R21" s="15"/>
      <c r="S21" s="3"/>
    </row>
    <row r="22" spans="1:21" x14ac:dyDescent="0.2">
      <c r="O22" s="15"/>
      <c r="P22" s="15"/>
      <c r="Q22" s="15"/>
      <c r="R22" s="15"/>
      <c r="S22" s="3"/>
    </row>
    <row r="23" spans="1:21" ht="13.5" customHeight="1" x14ac:dyDescent="0.2">
      <c r="O23" s="15"/>
      <c r="P23" s="98"/>
      <c r="Q23" s="15"/>
      <c r="R23" s="15"/>
      <c r="S23" s="3"/>
    </row>
    <row r="24" spans="1:21" ht="13.5" customHeight="1" x14ac:dyDescent="0.2">
      <c r="O24" s="15"/>
      <c r="P24" s="98"/>
      <c r="Q24" s="15"/>
      <c r="R24" s="15"/>
      <c r="S24" s="3"/>
    </row>
    <row r="25" spans="1:21" s="3" customFormat="1" ht="13.5" customHeight="1" x14ac:dyDescent="0.2">
      <c r="O25"/>
      <c r="P25"/>
      <c r="Q25"/>
      <c r="R25"/>
      <c r="S25"/>
      <c r="T25"/>
    </row>
    <row r="26" spans="1:21" s="3" customFormat="1" ht="13.5" customHeight="1" x14ac:dyDescent="0.2">
      <c r="O26"/>
      <c r="P26"/>
      <c r="Q26"/>
      <c r="R26"/>
      <c r="S26"/>
      <c r="T26"/>
    </row>
    <row r="27" spans="1:21" x14ac:dyDescent="0.2">
      <c r="O27" s="7"/>
      <c r="T27" s="28"/>
    </row>
    <row r="28" spans="1:21" ht="44.25" customHeight="1" x14ac:dyDescent="0.2">
      <c r="A28" s="209" t="s">
        <v>20</v>
      </c>
      <c r="B28" s="209"/>
      <c r="C28" s="209" t="s">
        <v>26</v>
      </c>
      <c r="D28" s="209" t="s">
        <v>57</v>
      </c>
      <c r="E28" s="209" t="s">
        <v>21</v>
      </c>
      <c r="F28" s="206"/>
      <c r="G28" s="206"/>
      <c r="H28" s="53"/>
      <c r="I28" s="49"/>
      <c r="O28" s="15"/>
      <c r="P28" s="15"/>
      <c r="Q28" s="13"/>
      <c r="R28" s="13"/>
      <c r="S28" s="44"/>
      <c r="T28" s="25"/>
      <c r="U28" s="13"/>
    </row>
    <row r="29" spans="1:21" x14ac:dyDescent="0.2">
      <c r="A29" s="176" t="s">
        <v>228</v>
      </c>
      <c r="B29" s="54"/>
      <c r="C29" s="55" t="e">
        <f>+'SCG Table A'!#REF!</f>
        <v>#REF!</v>
      </c>
      <c r="D29" s="56">
        <v>0.17852532363449433</v>
      </c>
      <c r="E29" s="57">
        <v>0.20029677069242199</v>
      </c>
      <c r="F29" s="207"/>
      <c r="G29" s="207"/>
      <c r="H29" s="49"/>
      <c r="I29" s="49"/>
      <c r="O29" s="15"/>
      <c r="P29" s="15"/>
      <c r="Q29" s="13"/>
      <c r="R29" s="13"/>
      <c r="S29" s="44"/>
      <c r="T29" s="25"/>
      <c r="U29" s="13"/>
    </row>
    <row r="30" spans="1:21" x14ac:dyDescent="0.2">
      <c r="A30" s="176" t="s">
        <v>229</v>
      </c>
      <c r="B30" s="54"/>
      <c r="C30" s="55" t="e">
        <f>+'SCG Table A'!#REF!-C29</f>
        <v>#REF!</v>
      </c>
      <c r="D30" s="56">
        <v>0.41785862791782891</v>
      </c>
      <c r="E30" s="57">
        <v>0.46881715195353901</v>
      </c>
      <c r="F30" s="207"/>
      <c r="G30" s="207"/>
      <c r="H30" s="49"/>
      <c r="I30" s="58"/>
      <c r="J30" s="32"/>
      <c r="K30" s="32"/>
      <c r="L30" s="32"/>
      <c r="M30" s="32"/>
      <c r="O30" s="15"/>
      <c r="P30" s="15"/>
      <c r="Q30" s="13"/>
      <c r="R30" s="13"/>
      <c r="S30" s="44"/>
      <c r="T30" s="25"/>
      <c r="U30" s="13"/>
    </row>
    <row r="31" spans="1:21" x14ac:dyDescent="0.2">
      <c r="A31" s="108" t="s">
        <v>22</v>
      </c>
      <c r="B31" s="60"/>
      <c r="C31" s="61" t="e">
        <f>SUM(C29:C30)</f>
        <v>#REF!</v>
      </c>
      <c r="D31" s="62">
        <v>0.59638395155232327</v>
      </c>
      <c r="E31" s="62">
        <v>0.66911392264596103</v>
      </c>
      <c r="F31" s="207"/>
      <c r="G31" s="207"/>
      <c r="H31" s="49"/>
      <c r="I31" s="49"/>
      <c r="O31" s="15"/>
      <c r="P31" s="15"/>
      <c r="Q31" s="13"/>
      <c r="R31" s="13"/>
      <c r="S31" s="44"/>
      <c r="T31" s="25"/>
      <c r="U31" s="13"/>
    </row>
    <row r="32" spans="1:21" x14ac:dyDescent="0.2">
      <c r="A32" s="54"/>
      <c r="B32" s="54"/>
      <c r="C32" s="55"/>
      <c r="D32" s="56"/>
      <c r="E32" s="57"/>
      <c r="F32" s="207"/>
      <c r="G32" s="207"/>
      <c r="H32" s="65"/>
      <c r="I32" s="65"/>
      <c r="O32" s="13"/>
      <c r="P32" s="13"/>
      <c r="Q32" s="13"/>
      <c r="R32" s="13"/>
      <c r="S32" s="13"/>
      <c r="T32" s="13"/>
      <c r="U32" s="13"/>
    </row>
    <row r="33" spans="1:21" x14ac:dyDescent="0.2">
      <c r="A33" s="176" t="s">
        <v>56</v>
      </c>
      <c r="B33" s="54"/>
      <c r="C33" s="55" t="e">
        <f>+'SCG Table A'!#REF!</f>
        <v>#REF!</v>
      </c>
      <c r="D33" s="56">
        <v>0.29492010201447066</v>
      </c>
      <c r="E33" s="57">
        <v>0.33088607735403897</v>
      </c>
      <c r="F33" s="207"/>
      <c r="G33" s="207"/>
      <c r="H33" s="65"/>
      <c r="I33" s="65"/>
      <c r="O33" s="13"/>
      <c r="P33" s="13"/>
      <c r="Q33" s="13"/>
      <c r="R33" s="13"/>
      <c r="S33" s="13"/>
      <c r="T33" s="13"/>
      <c r="U33" s="13"/>
    </row>
    <row r="34" spans="1:21" x14ac:dyDescent="0.2">
      <c r="A34" s="108" t="s">
        <v>23</v>
      </c>
      <c r="B34" s="60"/>
      <c r="C34" s="61" t="e">
        <f>SUM(C32:C33)</f>
        <v>#REF!</v>
      </c>
      <c r="D34" s="62">
        <v>0.29492010201447066</v>
      </c>
      <c r="E34" s="62">
        <v>0.33088607735403897</v>
      </c>
      <c r="F34" s="207"/>
      <c r="G34" s="207"/>
      <c r="H34" s="49"/>
      <c r="I34" s="50"/>
      <c r="O34" s="13"/>
      <c r="P34" s="13"/>
      <c r="Q34" s="13"/>
      <c r="R34" s="13"/>
      <c r="S34" s="13"/>
      <c r="T34" s="13"/>
      <c r="U34" s="13"/>
    </row>
    <row r="35" spans="1:21" x14ac:dyDescent="0.2">
      <c r="A35" s="49"/>
      <c r="B35" s="49"/>
      <c r="C35" s="49"/>
      <c r="D35" s="63"/>
      <c r="E35" s="63"/>
      <c r="F35" s="165"/>
      <c r="G35" s="165"/>
      <c r="H35" s="49"/>
      <c r="I35" s="50"/>
    </row>
    <row r="36" spans="1:21" x14ac:dyDescent="0.2">
      <c r="A36" s="108" t="s">
        <v>29</v>
      </c>
      <c r="B36" s="59"/>
      <c r="C36" s="61" t="e">
        <f>C31+C34</f>
        <v>#REF!</v>
      </c>
      <c r="D36" s="62">
        <v>0.89130405356679399</v>
      </c>
      <c r="E36" s="62">
        <v>1</v>
      </c>
      <c r="F36" s="207"/>
      <c r="G36" s="208"/>
      <c r="H36" s="49"/>
      <c r="I36" s="50"/>
    </row>
    <row r="37" spans="1:21" x14ac:dyDescent="0.2">
      <c r="A37" s="54"/>
      <c r="B37" s="54"/>
      <c r="C37" s="55"/>
      <c r="D37" s="57"/>
      <c r="E37" s="66"/>
      <c r="F37" s="203"/>
      <c r="G37" s="203"/>
      <c r="H37" s="49"/>
      <c r="I37" s="137"/>
    </row>
    <row r="38" spans="1:21" s="34" customFormat="1" ht="15" customHeight="1" x14ac:dyDescent="0.25">
      <c r="A38" s="177" t="s">
        <v>24</v>
      </c>
      <c r="B38" s="67"/>
      <c r="C38" s="68"/>
      <c r="D38" s="69"/>
      <c r="E38" s="51"/>
      <c r="F38" s="68"/>
      <c r="G38" s="202"/>
      <c r="H38" s="51"/>
      <c r="I38" s="51"/>
    </row>
    <row r="39" spans="1:21" s="34" customFormat="1" ht="15" customHeight="1" x14ac:dyDescent="0.2">
      <c r="A39" s="176" t="s">
        <v>24</v>
      </c>
      <c r="B39" s="54"/>
      <c r="C39" s="70" t="e">
        <f>+'SCG Table A'!#REF!</f>
        <v>#REF!</v>
      </c>
      <c r="D39" s="56">
        <v>0.10869594643320615</v>
      </c>
      <c r="E39" s="51"/>
      <c r="F39" s="68"/>
      <c r="G39" s="202"/>
      <c r="H39" s="51"/>
      <c r="I39" s="51"/>
    </row>
    <row r="40" spans="1:21" s="34" customFormat="1" ht="15" customHeight="1" x14ac:dyDescent="0.2">
      <c r="A40" s="108" t="s">
        <v>25</v>
      </c>
      <c r="B40" s="71"/>
      <c r="C40" s="72" t="e">
        <f>SUM(C39)</f>
        <v>#REF!</v>
      </c>
      <c r="D40" s="73">
        <v>0.10869594643320615</v>
      </c>
      <c r="E40" s="74"/>
      <c r="F40" s="68"/>
      <c r="G40" s="203"/>
      <c r="H40" s="51"/>
      <c r="I40" s="51"/>
    </row>
    <row r="41" spans="1:21" s="34" customFormat="1" x14ac:dyDescent="0.2">
      <c r="A41" s="75"/>
      <c r="B41" s="75"/>
      <c r="C41" s="76"/>
      <c r="D41" s="77"/>
      <c r="E41" s="78"/>
      <c r="F41" s="204"/>
      <c r="G41" s="205"/>
      <c r="H41" s="51"/>
      <c r="I41" s="51"/>
    </row>
    <row r="42" spans="1:21" s="34" customFormat="1" x14ac:dyDescent="0.2">
      <c r="A42" s="79" t="s">
        <v>16</v>
      </c>
      <c r="B42" s="79"/>
      <c r="C42" s="80" t="e">
        <f>C40+C36</f>
        <v>#REF!</v>
      </c>
      <c r="D42" s="57">
        <v>1.0000000000000002</v>
      </c>
      <c r="E42" s="51"/>
      <c r="F42" s="52"/>
      <c r="G42" s="52"/>
      <c r="H42" s="51"/>
      <c r="I42" s="51"/>
    </row>
    <row r="43" spans="1:21" s="37" customFormat="1" x14ac:dyDescent="0.2">
      <c r="A43" s="35"/>
      <c r="B43" s="35"/>
      <c r="C43" s="38"/>
      <c r="D43" s="30"/>
      <c r="F43" s="201"/>
      <c r="G43" s="201"/>
    </row>
    <row r="44" spans="1:21" s="37" customFormat="1" x14ac:dyDescent="0.2">
      <c r="A44" s="33"/>
      <c r="B44" s="33"/>
      <c r="C44" s="33"/>
      <c r="D44" s="33"/>
      <c r="E44" s="33"/>
      <c r="F44" s="201"/>
      <c r="G44" s="201"/>
    </row>
    <row r="45" spans="1:21" s="37" customFormat="1" x14ac:dyDescent="0.2">
      <c r="A45" s="35"/>
      <c r="B45" s="35"/>
      <c r="C45" s="38"/>
      <c r="D45" s="39"/>
      <c r="E45" s="39"/>
      <c r="F45" s="36"/>
      <c r="G45" s="40"/>
    </row>
    <row r="46" spans="1:21" s="37" customFormat="1" x14ac:dyDescent="0.2">
      <c r="A46" s="35"/>
      <c r="B46" s="35"/>
      <c r="C46" s="38"/>
      <c r="D46" s="40"/>
      <c r="E46" s="40"/>
      <c r="F46" s="40"/>
      <c r="G46" s="40"/>
    </row>
    <row r="47" spans="1:21" s="37" customFormat="1" x14ac:dyDescent="0.2">
      <c r="A47" s="35"/>
      <c r="B47" s="35"/>
      <c r="C47" s="38"/>
      <c r="D47" s="34"/>
      <c r="E47" s="34"/>
      <c r="F47" s="34"/>
      <c r="G47" s="34"/>
    </row>
    <row r="48" spans="1:21" x14ac:dyDescent="0.2">
      <c r="A48" s="41"/>
      <c r="B48" s="41"/>
      <c r="C48" s="42"/>
      <c r="D48" s="13"/>
      <c r="E48" s="13"/>
      <c r="F48" s="13"/>
      <c r="G48" s="13"/>
    </row>
    <row r="49" spans="1:7" x14ac:dyDescent="0.2">
      <c r="A49" s="13"/>
      <c r="B49" s="13"/>
      <c r="C49" s="43"/>
      <c r="D49" s="13"/>
      <c r="E49" s="13"/>
      <c r="F49" s="13"/>
      <c r="G49" s="13"/>
    </row>
  </sheetData>
  <mergeCells count="1">
    <mergeCell ref="A1:E1"/>
  </mergeCells>
  <pageMargins left="0.75" right="0.75" top="1" bottom="1" header="0.5" footer="0.5"/>
  <pageSetup orientation="portrait" r:id="rId1"/>
  <headerFooter alignWithMargins="0">
    <oddHeader xml:space="preserve">&amp;R&amp;12
</oddHeader>
    <oddFooter>&amp;C&amp;"Arial"&amp;11&amp;K000000Totals may vary due to rounding
_x000D_&amp;1#&amp;"Calibri"&amp;12&amp;K008000Internal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34"/>
    <pageSetUpPr fitToPage="1"/>
  </sheetPr>
  <dimension ref="A1:Q19"/>
  <sheetViews>
    <sheetView zoomScale="75" workbookViewId="0">
      <pane xSplit="1" ySplit="5" topLeftCell="C6" activePane="bottomRight" state="frozen"/>
      <selection activeCell="S28" sqref="S28"/>
      <selection pane="topRight" activeCell="S28" sqref="S28"/>
      <selection pane="bottomLeft" activeCell="S28" sqref="S28"/>
      <selection pane="bottomRight" activeCell="K15" sqref="K15"/>
    </sheetView>
  </sheetViews>
  <sheetFormatPr defaultRowHeight="12.75" x14ac:dyDescent="0.2"/>
  <cols>
    <col min="1" max="1" width="60.28515625" customWidth="1"/>
    <col min="2" max="4" width="20.85546875" hidden="1" customWidth="1"/>
    <col min="5" max="5" width="20.85546875" style="2" hidden="1" customWidth="1"/>
    <col min="6" max="6" width="21" hidden="1" customWidth="1"/>
    <col min="7" max="9" width="21" customWidth="1"/>
    <col min="10" max="10" width="0" hidden="1" customWidth="1"/>
    <col min="11" max="13" width="21" customWidth="1"/>
    <col min="14" max="14" width="21" hidden="1" customWidth="1"/>
    <col min="15" max="17" width="21" customWidth="1"/>
  </cols>
  <sheetData>
    <row r="1" spans="1:17" ht="23.25" x14ac:dyDescent="0.35">
      <c r="A1" s="2854"/>
      <c r="B1" s="2854"/>
      <c r="C1" s="2854"/>
      <c r="D1" s="2854"/>
      <c r="E1" s="2854"/>
    </row>
    <row r="2" spans="1:17" ht="20.25" customHeight="1" x14ac:dyDescent="0.3">
      <c r="A2" s="2849" t="s">
        <v>184</v>
      </c>
      <c r="B2" s="2849"/>
      <c r="C2" s="2849"/>
      <c r="D2" s="2849"/>
      <c r="E2" s="2849"/>
      <c r="F2" s="2849"/>
      <c r="G2" s="2849"/>
      <c r="H2" s="2849"/>
      <c r="I2" s="2849"/>
      <c r="J2" s="2849"/>
      <c r="K2" s="2849"/>
      <c r="L2" s="2849"/>
      <c r="M2" s="2849"/>
      <c r="N2" s="2849"/>
      <c r="O2" s="2849"/>
      <c r="P2" s="2849"/>
      <c r="Q2" s="2849"/>
    </row>
    <row r="3" spans="1:17" ht="20.25" customHeight="1" x14ac:dyDescent="0.3">
      <c r="A3" s="2849" t="s">
        <v>543</v>
      </c>
      <c r="B3" s="2849"/>
      <c r="C3" s="2849"/>
      <c r="D3" s="2849"/>
      <c r="E3" s="2849"/>
      <c r="F3" s="2849"/>
      <c r="G3" s="2849"/>
      <c r="H3" s="2849"/>
      <c r="I3" s="2849"/>
      <c r="J3" s="2849"/>
      <c r="K3" s="2849"/>
      <c r="L3" s="2849"/>
      <c r="M3" s="2849"/>
      <c r="N3" s="2849"/>
      <c r="O3" s="2849"/>
      <c r="P3" s="2849"/>
      <c r="Q3" s="2849"/>
    </row>
    <row r="4" spans="1:17" ht="20.25" customHeight="1" x14ac:dyDescent="0.3">
      <c r="A4" s="2849" t="s">
        <v>612</v>
      </c>
      <c r="B4" s="2849"/>
      <c r="C4" s="2849"/>
      <c r="D4" s="2849"/>
      <c r="E4" s="2849"/>
      <c r="F4" s="2849"/>
      <c r="G4" s="2849"/>
      <c r="H4" s="2849"/>
      <c r="I4" s="2849"/>
      <c r="J4" s="2849"/>
      <c r="K4" s="2849"/>
      <c r="L4" s="2849"/>
      <c r="M4" s="2849"/>
      <c r="N4" s="2849"/>
      <c r="O4" s="2849"/>
      <c r="P4" s="2849"/>
      <c r="Q4" s="2849"/>
    </row>
    <row r="5" spans="1:17" ht="20.25" customHeight="1" x14ac:dyDescent="0.3">
      <c r="A5" s="213"/>
      <c r="B5" s="213"/>
      <c r="C5" s="213"/>
      <c r="D5" s="213"/>
      <c r="E5" s="213"/>
    </row>
    <row r="6" spans="1:17" ht="15.75" thickBot="1" x14ac:dyDescent="0.25">
      <c r="A6" s="237"/>
    </row>
    <row r="7" spans="1:17" ht="21" thickBot="1" x14ac:dyDescent="0.35">
      <c r="B7" s="2850">
        <v>2016</v>
      </c>
      <c r="C7" s="2851"/>
      <c r="D7" s="2851"/>
      <c r="E7" s="2852"/>
      <c r="F7" s="2850">
        <v>2017</v>
      </c>
      <c r="G7" s="2851"/>
      <c r="H7" s="2851"/>
      <c r="I7" s="2852"/>
      <c r="J7" s="2850">
        <v>2018</v>
      </c>
      <c r="K7" s="2851"/>
      <c r="L7" s="2851"/>
      <c r="M7" s="2852"/>
      <c r="N7" s="2850">
        <v>2019</v>
      </c>
      <c r="O7" s="2851"/>
      <c r="P7" s="2851"/>
      <c r="Q7" s="2852"/>
    </row>
    <row r="8" spans="1:17" s="6" customFormat="1" ht="17.25" customHeight="1" x14ac:dyDescent="0.25">
      <c r="A8" s="92"/>
      <c r="B8" s="938">
        <v>2014</v>
      </c>
      <c r="C8" s="158">
        <v>2016</v>
      </c>
      <c r="D8" s="159">
        <v>2016</v>
      </c>
      <c r="E8" s="160">
        <v>2016</v>
      </c>
      <c r="F8" s="938">
        <v>2015</v>
      </c>
      <c r="G8" s="158">
        <v>2017</v>
      </c>
      <c r="H8" s="159">
        <v>2017</v>
      </c>
      <c r="I8" s="160">
        <v>2017</v>
      </c>
      <c r="J8" s="938">
        <v>2015</v>
      </c>
      <c r="K8" s="158">
        <v>2018</v>
      </c>
      <c r="L8" s="159">
        <v>2018</v>
      </c>
      <c r="M8" s="160">
        <v>2018</v>
      </c>
      <c r="N8" s="938">
        <v>2015</v>
      </c>
      <c r="O8" s="158">
        <v>2019</v>
      </c>
      <c r="P8" s="159">
        <v>2019</v>
      </c>
      <c r="Q8" s="160">
        <v>2019</v>
      </c>
    </row>
    <row r="9" spans="1:17" ht="17.25" customHeight="1" x14ac:dyDescent="0.25">
      <c r="A9" s="93"/>
      <c r="B9" s="939" t="s">
        <v>36</v>
      </c>
      <c r="C9" s="149" t="s">
        <v>37</v>
      </c>
      <c r="D9" s="153" t="s">
        <v>38</v>
      </c>
      <c r="E9" s="151" t="s">
        <v>39</v>
      </c>
      <c r="F9" s="939" t="s">
        <v>36</v>
      </c>
      <c r="G9" s="149" t="s">
        <v>37</v>
      </c>
      <c r="H9" s="153" t="s">
        <v>38</v>
      </c>
      <c r="I9" s="151" t="s">
        <v>39</v>
      </c>
      <c r="J9" s="939" t="s">
        <v>36</v>
      </c>
      <c r="K9" s="149" t="s">
        <v>37</v>
      </c>
      <c r="L9" s="153" t="s">
        <v>38</v>
      </c>
      <c r="M9" s="151" t="s">
        <v>39</v>
      </c>
      <c r="N9" s="939" t="s">
        <v>36</v>
      </c>
      <c r="O9" s="149" t="s">
        <v>37</v>
      </c>
      <c r="P9" s="153" t="s">
        <v>38</v>
      </c>
      <c r="Q9" s="151" t="s">
        <v>39</v>
      </c>
    </row>
    <row r="10" spans="1:17" ht="16.5" customHeight="1" x14ac:dyDescent="0.25">
      <c r="A10" s="95" t="s">
        <v>613</v>
      </c>
      <c r="B10" s="939" t="s">
        <v>182</v>
      </c>
      <c r="C10" s="147" t="s">
        <v>182</v>
      </c>
      <c r="D10" s="148" t="s">
        <v>182</v>
      </c>
      <c r="E10" s="151" t="s">
        <v>544</v>
      </c>
      <c r="F10" s="939" t="s">
        <v>182</v>
      </c>
      <c r="G10" s="147" t="s">
        <v>182</v>
      </c>
      <c r="H10" s="148" t="s">
        <v>182</v>
      </c>
      <c r="I10" s="151" t="s">
        <v>544</v>
      </c>
      <c r="J10" s="939" t="s">
        <v>182</v>
      </c>
      <c r="K10" s="147" t="s">
        <v>182</v>
      </c>
      <c r="L10" s="148" t="s">
        <v>182</v>
      </c>
      <c r="M10" s="151" t="s">
        <v>544</v>
      </c>
      <c r="N10" s="939" t="s">
        <v>182</v>
      </c>
      <c r="O10" s="147" t="s">
        <v>182</v>
      </c>
      <c r="P10" s="148" t="s">
        <v>182</v>
      </c>
      <c r="Q10" s="151" t="s">
        <v>544</v>
      </c>
    </row>
    <row r="11" spans="1:17" ht="18" customHeight="1" thickBot="1" x14ac:dyDescent="0.3">
      <c r="A11" s="96"/>
      <c r="B11" s="940"/>
      <c r="C11" s="150"/>
      <c r="D11" s="154"/>
      <c r="E11" s="152" t="s">
        <v>0</v>
      </c>
      <c r="F11" s="940"/>
      <c r="G11" s="150"/>
      <c r="H11" s="154"/>
      <c r="I11" s="152" t="s">
        <v>0</v>
      </c>
      <c r="J11" s="940"/>
      <c r="K11" s="150"/>
      <c r="L11" s="154"/>
      <c r="M11" s="152" t="s">
        <v>0</v>
      </c>
      <c r="N11" s="940"/>
      <c r="O11" s="150"/>
      <c r="P11" s="154"/>
      <c r="Q11" s="152" t="s">
        <v>0</v>
      </c>
    </row>
    <row r="12" spans="1:17" s="3" customFormat="1" ht="15.75" hidden="1" customHeight="1" thickBot="1" x14ac:dyDescent="0.25">
      <c r="A12" s="156" t="s">
        <v>213</v>
      </c>
      <c r="B12" s="214">
        <v>0</v>
      </c>
      <c r="C12" s="214">
        <v>0</v>
      </c>
      <c r="D12" s="214">
        <v>0</v>
      </c>
      <c r="E12" s="97">
        <f>SUM(B12:D12)</f>
        <v>0</v>
      </c>
      <c r="F12" s="214">
        <v>0</v>
      </c>
      <c r="G12" s="214">
        <v>0</v>
      </c>
      <c r="H12" s="214">
        <v>0</v>
      </c>
      <c r="I12" s="97">
        <f>SUM(F12:H12)</f>
        <v>0</v>
      </c>
      <c r="J12" s="214">
        <v>0</v>
      </c>
      <c r="K12" s="214">
        <v>0</v>
      </c>
      <c r="L12" s="214">
        <v>0</v>
      </c>
      <c r="M12" s="97">
        <f>SUM(J12:L12)</f>
        <v>0</v>
      </c>
      <c r="N12" s="214">
        <v>0</v>
      </c>
      <c r="O12" s="214">
        <v>0</v>
      </c>
      <c r="P12" s="214">
        <v>0</v>
      </c>
      <c r="Q12" s="97">
        <f>SUM(N12:P12)</f>
        <v>0</v>
      </c>
    </row>
    <row r="13" spans="1:17" s="3" customFormat="1" ht="15.75" thickBot="1" x14ac:dyDescent="0.25">
      <c r="A13" s="156" t="s">
        <v>304</v>
      </c>
      <c r="B13" s="230"/>
      <c r="C13" s="230">
        <v>18406810</v>
      </c>
      <c r="D13" s="230">
        <v>10520840</v>
      </c>
      <c r="E13" s="189">
        <f>SUM(B13:D13)</f>
        <v>28927650</v>
      </c>
      <c r="F13" s="230"/>
      <c r="G13" s="230">
        <v>17721305</v>
      </c>
      <c r="H13" s="230">
        <v>10196461</v>
      </c>
      <c r="I13" s="189">
        <f>SUM(F13:H13)</f>
        <v>27917766</v>
      </c>
      <c r="J13" s="230"/>
      <c r="K13" s="230">
        <v>17339127</v>
      </c>
      <c r="L13" s="230">
        <v>14702272</v>
      </c>
      <c r="M13" s="189">
        <f>SUM(J13:L13)</f>
        <v>32041399</v>
      </c>
      <c r="N13" s="230"/>
      <c r="O13" s="230">
        <v>18035532</v>
      </c>
      <c r="P13" s="230">
        <v>15377317</v>
      </c>
      <c r="Q13" s="189">
        <f>SUM(N13:P13)</f>
        <v>33412849</v>
      </c>
    </row>
    <row r="14" spans="1:17" s="3" customFormat="1" ht="15.75" hidden="1" customHeight="1" thickBot="1" x14ac:dyDescent="0.25">
      <c r="A14" s="220" t="s">
        <v>181</v>
      </c>
      <c r="B14" s="214">
        <v>0</v>
      </c>
      <c r="C14" s="214">
        <v>0</v>
      </c>
      <c r="D14" s="214">
        <v>0</v>
      </c>
      <c r="E14" s="97">
        <f>SUM(B14:D14)</f>
        <v>0</v>
      </c>
      <c r="F14" s="214">
        <v>0</v>
      </c>
      <c r="G14" s="214">
        <v>0</v>
      </c>
      <c r="H14" s="214">
        <v>0</v>
      </c>
      <c r="I14" s="97">
        <f>SUM(F14:H14)</f>
        <v>0</v>
      </c>
      <c r="J14" s="214">
        <v>0</v>
      </c>
      <c r="K14" s="214">
        <v>0</v>
      </c>
      <c r="L14" s="214">
        <v>0</v>
      </c>
      <c r="M14" s="97">
        <f>SUM(J14:L14)</f>
        <v>0</v>
      </c>
      <c r="N14" s="214">
        <v>0</v>
      </c>
      <c r="O14" s="214">
        <v>0</v>
      </c>
      <c r="P14" s="214">
        <v>0</v>
      </c>
      <c r="Q14" s="97">
        <f>SUM(N14:P14)</f>
        <v>0</v>
      </c>
    </row>
    <row r="15" spans="1:17" ht="16.5" thickBot="1" x14ac:dyDescent="0.3">
      <c r="A15" s="233" t="s">
        <v>183</v>
      </c>
      <c r="B15" s="101">
        <f>'2013-2015 Combined Table A1'!G63</f>
        <v>14959425</v>
      </c>
      <c r="C15" s="101">
        <f>SUM(C12:C14)</f>
        <v>18406810</v>
      </c>
      <c r="D15" s="101">
        <f t="shared" ref="D15:I15" si="0">SUM(D12:D14)</f>
        <v>10520840</v>
      </c>
      <c r="E15" s="101">
        <f t="shared" si="0"/>
        <v>28927650</v>
      </c>
      <c r="F15" s="101">
        <f t="shared" si="0"/>
        <v>0</v>
      </c>
      <c r="G15" s="101">
        <f t="shared" si="0"/>
        <v>17721305</v>
      </c>
      <c r="H15" s="101">
        <f t="shared" si="0"/>
        <v>10196461</v>
      </c>
      <c r="I15" s="101">
        <f t="shared" si="0"/>
        <v>27917766</v>
      </c>
      <c r="J15" s="101">
        <f t="shared" ref="J15:Q15" si="1">SUM(J12:J14)</f>
        <v>0</v>
      </c>
      <c r="K15" s="101">
        <f t="shared" si="1"/>
        <v>17339127</v>
      </c>
      <c r="L15" s="101">
        <f t="shared" si="1"/>
        <v>14702272</v>
      </c>
      <c r="M15" s="101">
        <f t="shared" si="1"/>
        <v>32041399</v>
      </c>
      <c r="N15" s="101">
        <f t="shared" si="1"/>
        <v>0</v>
      </c>
      <c r="O15" s="101">
        <f t="shared" si="1"/>
        <v>18035532</v>
      </c>
      <c r="P15" s="101">
        <f t="shared" si="1"/>
        <v>15377317</v>
      </c>
      <c r="Q15" s="101">
        <f t="shared" si="1"/>
        <v>33412849</v>
      </c>
    </row>
    <row r="16" spans="1:17" s="3" customFormat="1" ht="15.75" x14ac:dyDescent="0.25">
      <c r="A16" s="164"/>
      <c r="B16" s="161"/>
      <c r="C16" s="161"/>
      <c r="D16" s="161"/>
      <c r="E16" s="162"/>
    </row>
    <row r="17" spans="1:1" ht="15" x14ac:dyDescent="0.2">
      <c r="A17" s="237"/>
    </row>
    <row r="18" spans="1:1" ht="15" x14ac:dyDescent="0.2">
      <c r="A18" s="237"/>
    </row>
    <row r="19" spans="1:1" ht="15" x14ac:dyDescent="0.2">
      <c r="A19" s="237"/>
    </row>
  </sheetData>
  <mergeCells count="8">
    <mergeCell ref="A1:E1"/>
    <mergeCell ref="F7:I7"/>
    <mergeCell ref="N7:Q7"/>
    <mergeCell ref="A2:Q2"/>
    <mergeCell ref="A3:Q3"/>
    <mergeCell ref="A4:Q4"/>
    <mergeCell ref="J7:M7"/>
    <mergeCell ref="B7:E7"/>
  </mergeCells>
  <phoneticPr fontId="10" type="noConversion"/>
  <pageMargins left="0.5" right="0.5" top="0.22" bottom="1.18" header="0.22" footer="0.23"/>
  <pageSetup scale="52" orientation="landscape" r:id="rId1"/>
  <headerFooter alignWithMargins="0">
    <oddFooter>&amp;R&amp;14
&amp;C&amp;"Arial"&amp;11&amp;K000000
Totals may vary due to rounding_x000D_&amp;1#&amp;"Calibri"&amp;12&amp;K008000Internal Use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pageSetUpPr fitToPage="1"/>
  </sheetPr>
  <dimension ref="A1:V77"/>
  <sheetViews>
    <sheetView zoomScale="75" zoomScaleNormal="100" workbookViewId="0">
      <pane xSplit="2" ySplit="5" topLeftCell="C6" activePane="bottomRight" state="frozen"/>
      <selection activeCell="I17" sqref="I17"/>
      <selection pane="topRight" activeCell="I17" sqref="I17"/>
      <selection pane="bottomLeft" activeCell="I17" sqref="I17"/>
      <selection pane="bottomRight" activeCell="I17" sqref="I17"/>
    </sheetView>
  </sheetViews>
  <sheetFormatPr defaultRowHeight="12.75" x14ac:dyDescent="0.2"/>
  <cols>
    <col min="1" max="1" width="9.7109375" style="704" bestFit="1" customWidth="1"/>
    <col min="2" max="2" width="44.28515625" style="704" customWidth="1"/>
    <col min="3" max="3" width="16.140625" style="704" bestFit="1" customWidth="1"/>
    <col min="4" max="4" width="15.7109375" style="704" customWidth="1"/>
    <col min="5" max="5" width="15.5703125" style="704" customWidth="1"/>
    <col min="6" max="6" width="16.140625" style="704" bestFit="1" customWidth="1"/>
    <col min="7" max="7" width="16.7109375" style="704" customWidth="1"/>
    <col min="8" max="8" width="12.28515625" style="704" customWidth="1"/>
    <col min="9" max="9" width="12.85546875" style="704" customWidth="1"/>
    <col min="10" max="10" width="13.140625" style="704" customWidth="1"/>
    <col min="11" max="11" width="11.28515625" style="820" customWidth="1"/>
    <col min="12" max="12" width="11.7109375" style="704" customWidth="1"/>
    <col min="13" max="13" width="13.7109375" style="704" customWidth="1"/>
    <col min="14" max="14" width="16.85546875" style="704" bestFit="1" customWidth="1"/>
    <col min="15" max="15" width="11.28515625" style="704" customWidth="1"/>
    <col min="16" max="16" width="10.140625" style="704" customWidth="1"/>
    <col min="17" max="17" width="13.85546875" style="704" customWidth="1"/>
    <col min="18" max="18" width="10.28515625" style="704" bestFit="1" customWidth="1"/>
    <col min="19" max="19" width="12" style="704" bestFit="1" customWidth="1"/>
    <col min="20" max="16384" width="9.140625" style="704"/>
  </cols>
  <sheetData>
    <row r="1" spans="2:21" ht="18" x14ac:dyDescent="0.25">
      <c r="B1" s="2870" t="s">
        <v>78</v>
      </c>
      <c r="C1" s="2870"/>
      <c r="D1" s="2870"/>
      <c r="E1" s="2870"/>
      <c r="F1" s="2870"/>
      <c r="G1" s="2870"/>
      <c r="H1" s="2870"/>
      <c r="I1" s="2870"/>
      <c r="J1" s="2870"/>
      <c r="K1" s="2870"/>
      <c r="L1" s="2870"/>
      <c r="M1" s="2870"/>
      <c r="N1" s="2870"/>
      <c r="O1" s="2870"/>
      <c r="P1" s="2870"/>
      <c r="Q1" s="2870"/>
    </row>
    <row r="2" spans="2:21" ht="18" customHeight="1" x14ac:dyDescent="0.25">
      <c r="B2" s="2870" t="s">
        <v>490</v>
      </c>
      <c r="C2" s="2870"/>
      <c r="D2" s="2870"/>
      <c r="E2" s="2870"/>
      <c r="F2" s="2870"/>
      <c r="G2" s="2870"/>
      <c r="H2" s="2870"/>
      <c r="I2" s="2870"/>
      <c r="J2" s="2870"/>
      <c r="K2" s="2870"/>
      <c r="L2" s="2870"/>
      <c r="M2" s="2870"/>
      <c r="N2" s="2870"/>
      <c r="O2" s="2870"/>
      <c r="P2" s="2870"/>
      <c r="Q2" s="2870"/>
    </row>
    <row r="3" spans="2:21" ht="13.5" thickBot="1" x14ac:dyDescent="0.25">
      <c r="C3" s="243"/>
    </row>
    <row r="4" spans="2:21" ht="63.75" thickBot="1" x14ac:dyDescent="0.3">
      <c r="B4" s="941" t="s">
        <v>79</v>
      </c>
      <c r="C4" s="941" t="s">
        <v>309</v>
      </c>
      <c r="D4" s="941" t="s">
        <v>310</v>
      </c>
      <c r="E4" s="942" t="s">
        <v>311</v>
      </c>
      <c r="F4" s="942" t="s">
        <v>107</v>
      </c>
      <c r="G4" s="942" t="s">
        <v>161</v>
      </c>
      <c r="H4" s="943" t="s">
        <v>312</v>
      </c>
      <c r="I4" s="1915" t="s">
        <v>80</v>
      </c>
      <c r="J4" s="1915" t="s">
        <v>162</v>
      </c>
      <c r="K4" s="1916" t="s">
        <v>163</v>
      </c>
      <c r="L4" s="1917" t="s">
        <v>81</v>
      </c>
      <c r="M4" s="1836" t="s">
        <v>166</v>
      </c>
      <c r="N4" s="1836" t="s">
        <v>165</v>
      </c>
      <c r="O4" s="1836" t="s">
        <v>203</v>
      </c>
      <c r="P4" s="1918" t="s">
        <v>164</v>
      </c>
      <c r="Q4" s="1919" t="s">
        <v>167</v>
      </c>
    </row>
    <row r="5" spans="2:21" ht="16.5" thickBot="1" x14ac:dyDescent="0.3">
      <c r="B5" s="2864" t="s">
        <v>5</v>
      </c>
      <c r="C5" s="2865"/>
      <c r="D5" s="2865"/>
      <c r="E5" s="2865"/>
      <c r="F5" s="2865"/>
      <c r="G5" s="2865"/>
      <c r="H5" s="2865"/>
      <c r="I5" s="2865"/>
      <c r="J5" s="2865"/>
      <c r="K5" s="2865"/>
      <c r="L5" s="2865"/>
      <c r="M5" s="2865"/>
      <c r="N5" s="2865"/>
      <c r="O5" s="2865"/>
      <c r="P5" s="2865"/>
      <c r="Q5" s="2866"/>
    </row>
    <row r="6" spans="2:21" ht="19.5" customHeight="1" x14ac:dyDescent="0.2">
      <c r="B6" s="1920" t="s">
        <v>232</v>
      </c>
      <c r="C6" s="1921">
        <v>1730000</v>
      </c>
      <c r="D6" s="874">
        <v>0</v>
      </c>
      <c r="E6" s="874">
        <v>1730000</v>
      </c>
      <c r="F6" s="874">
        <v>2437021.7633972745</v>
      </c>
      <c r="G6" s="874">
        <v>2495975.2105772253</v>
      </c>
      <c r="H6" s="1115">
        <v>0.20316968191613671</v>
      </c>
      <c r="I6" s="1922">
        <v>1.4086831002296385</v>
      </c>
      <c r="J6" s="1922">
        <v>1.4427602373278758</v>
      </c>
      <c r="K6" s="1923">
        <v>2181.2825764517579</v>
      </c>
      <c r="L6" s="1924" t="s">
        <v>241</v>
      </c>
      <c r="M6" s="1923">
        <v>236395.15537493158</v>
      </c>
      <c r="N6" s="1923">
        <v>4414099.6755117718</v>
      </c>
      <c r="O6" s="1923">
        <v>2153.1424714919908</v>
      </c>
      <c r="P6" s="1925">
        <v>7.3182548824071931</v>
      </c>
      <c r="Q6" s="1926">
        <v>0.39192590271524019</v>
      </c>
    </row>
    <row r="7" spans="2:21" ht="18" customHeight="1" x14ac:dyDescent="0.2">
      <c r="B7" s="1920" t="s">
        <v>233</v>
      </c>
      <c r="C7" s="1277">
        <v>1686570</v>
      </c>
      <c r="D7" s="874">
        <v>0</v>
      </c>
      <c r="E7" s="874">
        <v>1686570</v>
      </c>
      <c r="F7" s="874">
        <v>2297541.0870056814</v>
      </c>
      <c r="G7" s="874">
        <v>2553728.1108668302</v>
      </c>
      <c r="H7" s="1115">
        <v>0.19640019840895195</v>
      </c>
      <c r="I7" s="1922">
        <v>1.3622565840763687</v>
      </c>
      <c r="J7" s="1922">
        <v>1.5141548295456637</v>
      </c>
      <c r="K7" s="1923">
        <v>2660</v>
      </c>
      <c r="L7" s="1924" t="s">
        <v>241</v>
      </c>
      <c r="M7" s="1923">
        <v>213531.35052634272</v>
      </c>
      <c r="N7" s="1923">
        <v>4219270.3496548869</v>
      </c>
      <c r="O7" s="1923">
        <v>1911.9696172871704</v>
      </c>
      <c r="P7" s="1925">
        <v>7.898465475175894</v>
      </c>
      <c r="Q7" s="1926">
        <v>0.39973025197068779</v>
      </c>
    </row>
    <row r="8" spans="2:21" ht="19.5" customHeight="1" thickBot="1" x14ac:dyDescent="0.25">
      <c r="B8" s="1920" t="s">
        <v>234</v>
      </c>
      <c r="C8" s="1927">
        <v>1560176</v>
      </c>
      <c r="D8" s="874">
        <v>0</v>
      </c>
      <c r="E8" s="874">
        <v>1560176</v>
      </c>
      <c r="F8" s="874">
        <v>2124793.6368548786</v>
      </c>
      <c r="G8" s="874">
        <v>2361718.4784708284</v>
      </c>
      <c r="H8" s="1115">
        <v>0.22236363841080953</v>
      </c>
      <c r="I8" s="1922">
        <v>1.3618935535829795</v>
      </c>
      <c r="J8" s="1922">
        <v>1.5137513193837286</v>
      </c>
      <c r="K8" s="1923">
        <v>2460</v>
      </c>
      <c r="L8" s="1924" t="s">
        <v>241</v>
      </c>
      <c r="M8" s="1923">
        <v>197476.3617649636</v>
      </c>
      <c r="N8" s="1923">
        <v>3902031.9775003856</v>
      </c>
      <c r="O8" s="1923">
        <v>1768.2125032054289</v>
      </c>
      <c r="P8" s="1925">
        <v>7.9005709141883109</v>
      </c>
      <c r="Q8" s="1926">
        <v>0.39983680528406068</v>
      </c>
    </row>
    <row r="9" spans="2:21" ht="17.25" customHeight="1" thickBot="1" x14ac:dyDescent="0.3">
      <c r="B9" s="1928" t="s">
        <v>235</v>
      </c>
      <c r="C9" s="1929">
        <f>SUM(C6:C8)</f>
        <v>4976746</v>
      </c>
      <c r="D9" s="1929">
        <f>SUM(D6:D8)</f>
        <v>0</v>
      </c>
      <c r="E9" s="1929">
        <f>SUM(E6:E8)</f>
        <v>4976746</v>
      </c>
      <c r="F9" s="1929">
        <f>SUM(F6:F8)</f>
        <v>6859356.4872578345</v>
      </c>
      <c r="G9" s="1929">
        <f>SUM(G6:G8)</f>
        <v>7411421.7999148834</v>
      </c>
      <c r="H9" s="1930">
        <f>SUM(C9/$C$71)</f>
        <v>0.20634308759398706</v>
      </c>
      <c r="I9" s="1931">
        <f>F9/C9</f>
        <v>1.3782814086268085</v>
      </c>
      <c r="J9" s="1931">
        <f>G9/E9</f>
        <v>1.489210379616497</v>
      </c>
      <c r="K9" s="1932">
        <f>SUM(K6:K8)</f>
        <v>7301.2825764517584</v>
      </c>
      <c r="L9" s="1933" t="s">
        <v>241</v>
      </c>
      <c r="M9" s="1934">
        <f>SUM(M6:M8)</f>
        <v>647402.86766623787</v>
      </c>
      <c r="N9" s="1934">
        <f>SUM(N6:N8)</f>
        <v>12535402.002667043</v>
      </c>
      <c r="O9" s="1934">
        <f>SUM(O6:O8)</f>
        <v>5833.3245919845904</v>
      </c>
      <c r="P9" s="1935">
        <f>C9/M9</f>
        <v>7.6872473826694758</v>
      </c>
      <c r="Q9" s="1936">
        <f>C9/N9</f>
        <v>0.39701526915061386</v>
      </c>
      <c r="R9" s="557" t="s">
        <v>291</v>
      </c>
      <c r="S9" s="704" t="s">
        <v>290</v>
      </c>
    </row>
    <row r="10" spans="2:21" ht="42" customHeight="1" x14ac:dyDescent="0.2">
      <c r="B10" s="1920" t="s">
        <v>139</v>
      </c>
      <c r="C10" s="1106">
        <v>1940000</v>
      </c>
      <c r="D10" s="874">
        <v>881769.40428588027</v>
      </c>
      <c r="E10" s="874">
        <v>2821769.4042858803</v>
      </c>
      <c r="F10" s="874">
        <v>3482590.9565684125</v>
      </c>
      <c r="G10" s="874">
        <v>3878891.1396069876</v>
      </c>
      <c r="H10" s="1115">
        <v>0.22783189764006084</v>
      </c>
      <c r="I10" s="1922">
        <v>1.7951499776125837</v>
      </c>
      <c r="J10" s="1922">
        <v>1.3746308021185163</v>
      </c>
      <c r="K10" s="1923">
        <v>2650.9536711482665</v>
      </c>
      <c r="L10" s="1924" t="s">
        <v>292</v>
      </c>
      <c r="M10" s="1923">
        <v>313356.92299090751</v>
      </c>
      <c r="N10" s="1923">
        <v>6291880.4614982344</v>
      </c>
      <c r="O10" s="1923">
        <v>2768.0168803782685</v>
      </c>
      <c r="P10" s="1925">
        <v>6.1910232634505791</v>
      </c>
      <c r="Q10" s="1926">
        <v>0.30833389347928641</v>
      </c>
      <c r="R10" s="821">
        <f>C10/K10</f>
        <v>731.81211015267752</v>
      </c>
      <c r="S10" s="822">
        <f>M10/K10</f>
        <v>118.20535620872478</v>
      </c>
      <c r="T10" s="823"/>
    </row>
    <row r="11" spans="2:21" ht="39" customHeight="1" x14ac:dyDescent="0.2">
      <c r="B11" s="615" t="s">
        <v>140</v>
      </c>
      <c r="C11" s="1106">
        <v>1905430</v>
      </c>
      <c r="D11" s="874">
        <v>389854.49979505129</v>
      </c>
      <c r="E11" s="874">
        <v>2295284.4997950513</v>
      </c>
      <c r="F11" s="874">
        <v>2754192.9516465263</v>
      </c>
      <c r="G11" s="874">
        <v>2921289.6777291959</v>
      </c>
      <c r="H11" s="1115">
        <v>0.2218863314622988</v>
      </c>
      <c r="I11" s="1922">
        <v>1.4454443100226859</v>
      </c>
      <c r="J11" s="1922">
        <v>1.2727353310624636</v>
      </c>
      <c r="K11" s="1923">
        <v>2426</v>
      </c>
      <c r="L11" s="1924" t="s">
        <v>292</v>
      </c>
      <c r="M11" s="1923">
        <v>252894.43940752835</v>
      </c>
      <c r="N11" s="1923">
        <v>5032854.3741158796</v>
      </c>
      <c r="O11" s="1923">
        <v>2321.3648880989163</v>
      </c>
      <c r="P11" s="1925">
        <v>7.5344875295161504</v>
      </c>
      <c r="Q11" s="1926">
        <v>0.3785982781062936</v>
      </c>
      <c r="R11" s="821">
        <f>C11/K11</f>
        <v>785.42044517724651</v>
      </c>
      <c r="S11" s="822"/>
      <c r="T11" s="823"/>
      <c r="U11" s="822"/>
    </row>
    <row r="12" spans="2:21" ht="36.75" customHeight="1" thickBot="1" x14ac:dyDescent="0.25">
      <c r="B12" s="1937" t="s">
        <v>141</v>
      </c>
      <c r="C12" s="1106">
        <v>1726574</v>
      </c>
      <c r="D12" s="874">
        <v>355547.11521646986</v>
      </c>
      <c r="E12" s="874">
        <v>2082121.1152164699</v>
      </c>
      <c r="F12" s="874">
        <v>2437384.5269272691</v>
      </c>
      <c r="G12" s="874">
        <v>2582514.2273929161</v>
      </c>
      <c r="H12" s="1115">
        <v>0.24607946579456744</v>
      </c>
      <c r="I12" s="1922">
        <v>1.4116884228114572</v>
      </c>
      <c r="J12" s="1922">
        <v>1.2403285325332394</v>
      </c>
      <c r="K12" s="1923">
        <v>2160</v>
      </c>
      <c r="L12" s="1924" t="s">
        <v>292</v>
      </c>
      <c r="M12" s="1923">
        <v>224000.2217504576</v>
      </c>
      <c r="N12" s="1923">
        <v>4453011.7780101495</v>
      </c>
      <c r="O12" s="1923">
        <v>2057.0307060455821</v>
      </c>
      <c r="P12" s="1925">
        <v>7.7079120123526081</v>
      </c>
      <c r="Q12" s="1926">
        <v>0.38773173889325041</v>
      </c>
      <c r="R12" s="821">
        <f>C12/K12</f>
        <v>799.33981481481476</v>
      </c>
      <c r="S12" s="822"/>
      <c r="T12" s="823"/>
      <c r="U12" s="822"/>
    </row>
    <row r="13" spans="2:21" ht="17.25" customHeight="1" thickBot="1" x14ac:dyDescent="0.3">
      <c r="B13" s="1928" t="s">
        <v>146</v>
      </c>
      <c r="C13" s="1929">
        <f>SUM(C10:C12)</f>
        <v>5572004</v>
      </c>
      <c r="D13" s="1929">
        <f>SUM(D10:D12)</f>
        <v>1627171.0192974014</v>
      </c>
      <c r="E13" s="1929">
        <f>SUM(E10:E12)</f>
        <v>7199175.0192974005</v>
      </c>
      <c r="F13" s="1929">
        <f>SUM(F10:F12)</f>
        <v>8674168.4351422079</v>
      </c>
      <c r="G13" s="1929">
        <f>SUM(G10:G12)</f>
        <v>9382695.0447290987</v>
      </c>
      <c r="H13" s="1930">
        <f>SUM(C13/$C$71)</f>
        <v>0.2310233452633601</v>
      </c>
      <c r="I13" s="1931">
        <f>F13/C13</f>
        <v>1.5567412433914634</v>
      </c>
      <c r="J13" s="1931">
        <f>G13/E13</f>
        <v>1.303301422673955</v>
      </c>
      <c r="K13" s="1932">
        <f>SUM(K10:K12)</f>
        <v>7236.9536711482669</v>
      </c>
      <c r="L13" s="1933" t="s">
        <v>241</v>
      </c>
      <c r="M13" s="1934">
        <f>SUM(M10:M12)</f>
        <v>790251.58414889337</v>
      </c>
      <c r="N13" s="1934">
        <f>SUM(N10:N12)</f>
        <v>15777746.613624264</v>
      </c>
      <c r="O13" s="1934">
        <f>SUM(O10:O12)</f>
        <v>7146.4124745227673</v>
      </c>
      <c r="P13" s="1935">
        <f>C13/M13</f>
        <v>7.0509241762559558</v>
      </c>
      <c r="Q13" s="1938">
        <f>C13/N13</f>
        <v>0.35315588064955428</v>
      </c>
    </row>
    <row r="14" spans="2:21" ht="15.75" customHeight="1" x14ac:dyDescent="0.2">
      <c r="B14" s="1920" t="s">
        <v>169</v>
      </c>
      <c r="C14" s="1106">
        <v>650000</v>
      </c>
      <c r="D14" s="874">
        <v>547658.48638177989</v>
      </c>
      <c r="E14" s="874">
        <v>1197658.4863817799</v>
      </c>
      <c r="F14" s="874">
        <v>658193.85072159127</v>
      </c>
      <c r="G14" s="874">
        <v>658193.85072159127</v>
      </c>
      <c r="H14" s="1115">
        <v>7.6335429621669865E-2</v>
      </c>
      <c r="I14" s="1922">
        <v>1.0126059241870635</v>
      </c>
      <c r="J14" s="1922">
        <v>0.54956722488565701</v>
      </c>
      <c r="K14" s="1923">
        <v>281</v>
      </c>
      <c r="L14" s="1924" t="s">
        <v>241</v>
      </c>
      <c r="M14" s="1923">
        <v>54533.592662337665</v>
      </c>
      <c r="N14" s="1923">
        <v>1290431.7165584415</v>
      </c>
      <c r="O14" s="1923">
        <v>469.67361073120702</v>
      </c>
      <c r="P14" s="1925">
        <v>11.919258722319741</v>
      </c>
      <c r="Q14" s="1926">
        <v>0.50370739626079442</v>
      </c>
      <c r="R14" s="821"/>
    </row>
    <row r="15" spans="2:21" ht="15.75" customHeight="1" x14ac:dyDescent="0.2">
      <c r="B15" s="615" t="s">
        <v>170</v>
      </c>
      <c r="C15" s="1106">
        <v>1387864</v>
      </c>
      <c r="D15" s="874">
        <v>745692.69343086891</v>
      </c>
      <c r="E15" s="874">
        <v>2133556.6934308689</v>
      </c>
      <c r="F15" s="874">
        <v>1551301.7716703527</v>
      </c>
      <c r="G15" s="874">
        <v>1551301.7716703527</v>
      </c>
      <c r="H15" s="1115">
        <v>0.16161604022640133</v>
      </c>
      <c r="I15" s="1922">
        <v>1.1177620946075066</v>
      </c>
      <c r="J15" s="1922">
        <v>0.72709657842547393</v>
      </c>
      <c r="K15" s="1923">
        <v>645.01426041982529</v>
      </c>
      <c r="L15" s="1924" t="s">
        <v>241</v>
      </c>
      <c r="M15" s="1923">
        <v>120147.75845230906</v>
      </c>
      <c r="N15" s="1923">
        <v>3003693.9613077268</v>
      </c>
      <c r="O15" s="1923">
        <v>1100.5943073303533</v>
      </c>
      <c r="P15" s="1925">
        <v>11.551309969306608</v>
      </c>
      <c r="Q15" s="1926">
        <v>0.46205239877226428</v>
      </c>
      <c r="R15" s="821"/>
    </row>
    <row r="16" spans="2:21" ht="15.75" customHeight="1" thickBot="1" x14ac:dyDescent="0.25">
      <c r="B16" s="1937" t="s">
        <v>171</v>
      </c>
      <c r="C16" s="1106">
        <v>340685</v>
      </c>
      <c r="D16" s="874">
        <v>145473.83225110726</v>
      </c>
      <c r="E16" s="874">
        <v>486158.83225110726</v>
      </c>
      <c r="F16" s="874">
        <v>302636.48241544684</v>
      </c>
      <c r="G16" s="874">
        <v>302636.48241544684</v>
      </c>
      <c r="H16" s="1115">
        <v>4.8556032237380045E-2</v>
      </c>
      <c r="I16" s="1922">
        <v>0.88831760252270231</v>
      </c>
      <c r="J16" s="1922">
        <v>0.62250536725645911</v>
      </c>
      <c r="K16" s="1923">
        <v>125.83292976650928</v>
      </c>
      <c r="L16" s="1924" t="s">
        <v>241</v>
      </c>
      <c r="M16" s="1923">
        <v>23439.085580980191</v>
      </c>
      <c r="N16" s="1923">
        <v>585977.13952450478</v>
      </c>
      <c r="O16" s="1923">
        <v>214.70999119551186</v>
      </c>
      <c r="P16" s="1925">
        <v>14.534910025519563</v>
      </c>
      <c r="Q16" s="1926">
        <v>0.58139640102078249</v>
      </c>
    </row>
    <row r="17" spans="2:22" ht="17.25" customHeight="1" thickBot="1" x14ac:dyDescent="0.3">
      <c r="B17" s="1928" t="s">
        <v>204</v>
      </c>
      <c r="C17" s="1929">
        <f>SUM(C14:C16)</f>
        <v>2378549</v>
      </c>
      <c r="D17" s="1929">
        <f>SUM(D14:D16)</f>
        <v>1438825.0120637561</v>
      </c>
      <c r="E17" s="1929">
        <f>SUM(E14:E16)</f>
        <v>3817374.0120637561</v>
      </c>
      <c r="F17" s="1929">
        <f>SUM(F14:F16)</f>
        <v>2512132.1048073908</v>
      </c>
      <c r="G17" s="1929">
        <f>SUM(G14:G16)</f>
        <v>2512132.1048073908</v>
      </c>
      <c r="H17" s="1930">
        <f>SUM(C17/$C$71)</f>
        <v>9.8618081906046706E-2</v>
      </c>
      <c r="I17" s="1931">
        <f>F17/C17</f>
        <v>1.0561615946559817</v>
      </c>
      <c r="J17" s="1931">
        <f>G17/E17</f>
        <v>0.65807858933090946</v>
      </c>
      <c r="K17" s="1932">
        <f>SUM(K14:K16)</f>
        <v>1051.8471901863345</v>
      </c>
      <c r="L17" s="1933" t="s">
        <v>241</v>
      </c>
      <c r="M17" s="1934">
        <f>SUM(M14:M16)</f>
        <v>198120.43669562694</v>
      </c>
      <c r="N17" s="1934">
        <f>SUM(N14:N16)</f>
        <v>4880102.8173906729</v>
      </c>
      <c r="O17" s="1934">
        <f>SUM(O14:O16)</f>
        <v>1784.977909257072</v>
      </c>
      <c r="P17" s="1935">
        <f>C17/M17</f>
        <v>12.005571154954461</v>
      </c>
      <c r="Q17" s="1938">
        <f>C17/N17</f>
        <v>0.48739731292624261</v>
      </c>
    </row>
    <row r="18" spans="2:22" ht="15.75" customHeight="1" x14ac:dyDescent="0.2">
      <c r="B18" s="1920" t="s">
        <v>142</v>
      </c>
      <c r="C18" s="1106">
        <v>70000</v>
      </c>
      <c r="D18" s="874">
        <v>402288</v>
      </c>
      <c r="E18" s="874">
        <v>472288</v>
      </c>
      <c r="F18" s="874">
        <v>99845.862272026119</v>
      </c>
      <c r="G18" s="874">
        <v>99845.862272026119</v>
      </c>
      <c r="H18" s="1115">
        <v>8.2207385746413709E-3</v>
      </c>
      <c r="I18" s="1922">
        <v>1.4263694610289446</v>
      </c>
      <c r="J18" s="1922">
        <v>0.21140884856703138</v>
      </c>
      <c r="K18" s="1923">
        <v>289</v>
      </c>
      <c r="L18" s="1924" t="s">
        <v>242</v>
      </c>
      <c r="M18" s="1923">
        <v>14780.206023255803</v>
      </c>
      <c r="N18" s="1923">
        <v>177362.47227906965</v>
      </c>
      <c r="O18" s="1923">
        <v>47.44446133465113</v>
      </c>
      <c r="P18" s="1925">
        <v>4.736063887733299</v>
      </c>
      <c r="Q18" s="1926">
        <v>0.39467199064444153</v>
      </c>
      <c r="R18" s="822"/>
    </row>
    <row r="19" spans="2:22" ht="15.75" customHeight="1" x14ac:dyDescent="0.2">
      <c r="B19" s="615" t="s">
        <v>143</v>
      </c>
      <c r="C19" s="1106">
        <v>40055</v>
      </c>
      <c r="D19" s="874">
        <v>77350</v>
      </c>
      <c r="E19" s="874">
        <v>117405</v>
      </c>
      <c r="F19" s="874">
        <v>41796.22332068035</v>
      </c>
      <c r="G19" s="874">
        <v>41796.22332068035</v>
      </c>
      <c r="H19" s="1115">
        <v>4.6643838958777698E-3</v>
      </c>
      <c r="I19" s="1922">
        <v>1.0434708106523618</v>
      </c>
      <c r="J19" s="1922">
        <v>0.35600036898496956</v>
      </c>
      <c r="K19" s="1923">
        <v>119</v>
      </c>
      <c r="L19" s="1924" t="s">
        <v>242</v>
      </c>
      <c r="M19" s="1923">
        <v>6069</v>
      </c>
      <c r="N19" s="1923">
        <v>72828</v>
      </c>
      <c r="O19" s="1923">
        <v>19.481490000000001</v>
      </c>
      <c r="P19" s="1925">
        <v>6.599934091283572</v>
      </c>
      <c r="Q19" s="1926">
        <v>0.54999450760696433</v>
      </c>
      <c r="R19" s="822"/>
    </row>
    <row r="20" spans="2:22" ht="15.75" customHeight="1" thickBot="1" x14ac:dyDescent="0.25">
      <c r="B20" s="1937" t="s">
        <v>144</v>
      </c>
      <c r="C20" s="1106">
        <v>46210</v>
      </c>
      <c r="D20" s="874">
        <v>92950</v>
      </c>
      <c r="E20" s="874">
        <v>139160</v>
      </c>
      <c r="F20" s="874">
        <v>50225.713738296552</v>
      </c>
      <c r="G20" s="874">
        <v>50225.713738296552</v>
      </c>
      <c r="H20" s="1115">
        <v>6.5860670404899882E-3</v>
      </c>
      <c r="I20" s="1922">
        <v>1.0869014009585924</v>
      </c>
      <c r="J20" s="1922">
        <v>0.3609206218618608</v>
      </c>
      <c r="K20" s="1923">
        <v>143</v>
      </c>
      <c r="L20" s="1924" t="s">
        <v>242</v>
      </c>
      <c r="M20" s="1923">
        <v>7293</v>
      </c>
      <c r="N20" s="1923">
        <v>87516</v>
      </c>
      <c r="O20" s="1923">
        <v>23.410530000000001</v>
      </c>
      <c r="P20" s="1925">
        <v>6.3362128068010417</v>
      </c>
      <c r="Q20" s="1926">
        <v>0.52801773390008688</v>
      </c>
      <c r="R20" s="822"/>
    </row>
    <row r="21" spans="2:22" ht="17.25" customHeight="1" thickBot="1" x14ac:dyDescent="0.3">
      <c r="B21" s="1928" t="s">
        <v>145</v>
      </c>
      <c r="C21" s="1939">
        <f>SUM(C18:C20)</f>
        <v>156265</v>
      </c>
      <c r="D21" s="1940">
        <f>SUM(D18:D20)</f>
        <v>572588</v>
      </c>
      <c r="E21" s="1929">
        <f>SUM(E18:E20)</f>
        <v>728853</v>
      </c>
      <c r="F21" s="1929">
        <f>SUM(F18:F20)</f>
        <v>191867.79933100301</v>
      </c>
      <c r="G21" s="1929">
        <f>SUM(G18:G20)</f>
        <v>191867.79933100301</v>
      </c>
      <c r="H21" s="1930">
        <f>SUM(C21/$C$71)</f>
        <v>6.4789729238491156E-3</v>
      </c>
      <c r="I21" s="1931">
        <f>F21/C21</f>
        <v>1.2278360434582474</v>
      </c>
      <c r="J21" s="1931">
        <f>G21/E21</f>
        <v>0.2632462229434509</v>
      </c>
      <c r="K21" s="1932">
        <f>SUM(K18:K20)</f>
        <v>551</v>
      </c>
      <c r="L21" s="1941" t="s">
        <v>242</v>
      </c>
      <c r="M21" s="1934">
        <f>SUM(M18:M20)</f>
        <v>28142.206023255803</v>
      </c>
      <c r="N21" s="1934">
        <f>SUM(N18:N20)</f>
        <v>337706.47227906965</v>
      </c>
      <c r="O21" s="1934">
        <f>SUM(O18:O20)</f>
        <v>90.336481334651126</v>
      </c>
      <c r="P21" s="1935">
        <f>C21/M21</f>
        <v>5.5526919201311973</v>
      </c>
      <c r="Q21" s="1938">
        <f>C21/N21</f>
        <v>0.46272432667759972</v>
      </c>
    </row>
    <row r="22" spans="2:22" ht="17.25" customHeight="1" thickBot="1" x14ac:dyDescent="0.3">
      <c r="B22" s="1124" t="s">
        <v>88</v>
      </c>
      <c r="C22" s="1942">
        <f>C9+C13+C17+C21</f>
        <v>13083564</v>
      </c>
      <c r="D22" s="1943">
        <f>D9+D13+D17+D21</f>
        <v>3638584.0313611575</v>
      </c>
      <c r="E22" s="1942">
        <f>E9+E13+E17+E21</f>
        <v>16722148.031361157</v>
      </c>
      <c r="F22" s="1942">
        <f>F9+F13+F17+F21</f>
        <v>18237524.826538436</v>
      </c>
      <c r="G22" s="1942">
        <f>G9+G13+G17+G21</f>
        <v>19498116.748782374</v>
      </c>
      <c r="H22" s="1944">
        <f>SUM(C22/C71)</f>
        <v>0.54246348768724295</v>
      </c>
      <c r="I22" s="1915">
        <f>F22/C22</f>
        <v>1.3939263664348978</v>
      </c>
      <c r="J22" s="1915">
        <f>G22/E22</f>
        <v>1.1660055103097455</v>
      </c>
      <c r="K22" s="1945">
        <f>K9+K13+K17+K21</f>
        <v>16141.083437786359</v>
      </c>
      <c r="L22" s="941" t="s">
        <v>243</v>
      </c>
      <c r="M22" s="1934">
        <f>M9+M13+M17+M21</f>
        <v>1663917.0945340139</v>
      </c>
      <c r="N22" s="1934">
        <f>N9+N13+N17+N21</f>
        <v>33530957.905961048</v>
      </c>
      <c r="O22" s="1934">
        <f>O9+O13+O17+O21</f>
        <v>14855.05145709908</v>
      </c>
      <c r="P22" s="1946">
        <f>C22/M22</f>
        <v>7.8631105137267072</v>
      </c>
      <c r="Q22" s="1946">
        <f>C22/N22</f>
        <v>0.39019356490480811</v>
      </c>
    </row>
    <row r="23" spans="2:22" ht="15.75" customHeight="1" x14ac:dyDescent="0.25">
      <c r="B23" s="1117"/>
      <c r="C23" s="1947"/>
      <c r="D23" s="1947"/>
      <c r="E23" s="1947"/>
      <c r="F23" s="1947"/>
      <c r="G23" s="1947"/>
      <c r="H23" s="1948"/>
      <c r="I23" s="1949"/>
      <c r="J23" s="1949"/>
      <c r="K23" s="1950"/>
      <c r="L23" s="1951"/>
      <c r="M23" s="1952"/>
      <c r="N23" s="1952"/>
      <c r="O23" s="1952"/>
      <c r="P23" s="1953"/>
      <c r="Q23" s="1954"/>
    </row>
    <row r="24" spans="2:22" ht="15.75" customHeight="1" thickBot="1" x14ac:dyDescent="0.3">
      <c r="B24" s="2871" t="s">
        <v>131</v>
      </c>
      <c r="C24" s="2872"/>
      <c r="D24" s="2872"/>
      <c r="E24" s="2872"/>
      <c r="F24" s="2872"/>
      <c r="G24" s="2872"/>
      <c r="H24" s="2872"/>
      <c r="I24" s="2872"/>
      <c r="J24" s="2872"/>
      <c r="K24" s="2872"/>
      <c r="L24" s="2872"/>
      <c r="M24" s="2872"/>
      <c r="N24" s="2872"/>
      <c r="O24" s="2872"/>
      <c r="P24" s="2872"/>
      <c r="Q24" s="2873"/>
    </row>
    <row r="25" spans="2:22" ht="15.75" customHeight="1" x14ac:dyDescent="0.2">
      <c r="B25" s="1128" t="s">
        <v>124</v>
      </c>
      <c r="C25" s="1106">
        <v>1480000</v>
      </c>
      <c r="D25" s="874">
        <v>602436.76057062461</v>
      </c>
      <c r="E25" s="874">
        <v>2082436.7605706246</v>
      </c>
      <c r="F25" s="874">
        <v>2079763.3400422037</v>
      </c>
      <c r="G25" s="874">
        <v>2079763.3400422037</v>
      </c>
      <c r="H25" s="1115">
        <v>0.17380990129241755</v>
      </c>
      <c r="I25" s="1922">
        <v>1.405245500028516</v>
      </c>
      <c r="J25" s="1922">
        <v>0.99871620565913921</v>
      </c>
      <c r="K25" s="1923">
        <v>37</v>
      </c>
      <c r="L25" s="1924" t="s">
        <v>244</v>
      </c>
      <c r="M25" s="1923">
        <v>237105.41466844972</v>
      </c>
      <c r="N25" s="1923">
        <v>3641926.8190821717</v>
      </c>
      <c r="O25" s="1923">
        <v>1871.084159697863</v>
      </c>
      <c r="P25" s="1925">
        <v>6.2419493965142889</v>
      </c>
      <c r="Q25" s="1926">
        <v>0.40637829191004599</v>
      </c>
    </row>
    <row r="26" spans="2:22" ht="15" x14ac:dyDescent="0.2">
      <c r="B26" s="979" t="s">
        <v>125</v>
      </c>
      <c r="C26" s="874">
        <v>1240000</v>
      </c>
      <c r="D26" s="874">
        <v>472225.37547766697</v>
      </c>
      <c r="E26" s="874">
        <v>1712225.375477667</v>
      </c>
      <c r="F26" s="874">
        <v>1761613.7047964269</v>
      </c>
      <c r="G26" s="874">
        <v>1761613.7047964269</v>
      </c>
      <c r="H26" s="1115">
        <f>C26/C69</f>
        <v>0.14439735440989726</v>
      </c>
      <c r="I26" s="1922">
        <v>1.4206562135455056</v>
      </c>
      <c r="J26" s="1922">
        <v>1.0288445259754324</v>
      </c>
      <c r="K26" s="1923">
        <v>30.535163118708905</v>
      </c>
      <c r="L26" s="1924" t="s">
        <v>244</v>
      </c>
      <c r="M26" s="1923">
        <v>196178.48629574545</v>
      </c>
      <c r="N26" s="1923">
        <v>3013291.3310582852</v>
      </c>
      <c r="O26" s="1923">
        <v>1806.435284246181</v>
      </c>
      <c r="P26" s="1925">
        <v>6.3207746344349891</v>
      </c>
      <c r="Q26" s="1926">
        <v>0.4115101607399192</v>
      </c>
    </row>
    <row r="27" spans="2:22" ht="15.75" thickBot="1" x14ac:dyDescent="0.25">
      <c r="B27" s="1260" t="s">
        <v>126</v>
      </c>
      <c r="C27" s="874">
        <v>1150000</v>
      </c>
      <c r="D27" s="874">
        <v>431991.71777316788</v>
      </c>
      <c r="E27" s="874">
        <v>1581991.7177731679</v>
      </c>
      <c r="F27" s="874">
        <v>1611524.0093101542</v>
      </c>
      <c r="G27" s="874">
        <v>1611524.0093101542</v>
      </c>
      <c r="H27" s="1115">
        <f>C27/C70</f>
        <v>0.16390342126300556</v>
      </c>
      <c r="I27" s="1922">
        <v>1.4013252254870907</v>
      </c>
      <c r="J27" s="1922">
        <v>1.0186677914967572</v>
      </c>
      <c r="K27" s="1923">
        <v>27.933563618414205</v>
      </c>
      <c r="L27" s="1924" t="s">
        <v>244</v>
      </c>
      <c r="M27" s="1923">
        <v>179464.05611793927</v>
      </c>
      <c r="N27" s="1923">
        <v>2756558.5541398483</v>
      </c>
      <c r="O27" s="1923">
        <v>1652.5267849026777</v>
      </c>
      <c r="P27" s="1925">
        <v>6.4079683969933727</v>
      </c>
      <c r="Q27" s="1926">
        <v>0.41718685724012999</v>
      </c>
    </row>
    <row r="28" spans="2:22" ht="17.25" customHeight="1" thickBot="1" x14ac:dyDescent="0.3">
      <c r="B28" s="1955" t="s">
        <v>137</v>
      </c>
      <c r="C28" s="1956">
        <f>SUM(C25:C27)</f>
        <v>3870000</v>
      </c>
      <c r="D28" s="1956">
        <f>SUM(D25:D27)</f>
        <v>1506653.8538214595</v>
      </c>
      <c r="E28" s="1956">
        <f>SUM(E25:E27)</f>
        <v>5376653.8538214602</v>
      </c>
      <c r="F28" s="1956">
        <f>SUM(F25:F27)</f>
        <v>5452901.0541487848</v>
      </c>
      <c r="G28" s="1956">
        <f>SUM(G25:G27)</f>
        <v>5452901.0541487848</v>
      </c>
      <c r="H28" s="1957">
        <f>SUM(C28/$C$71)</f>
        <v>0.16045579762132325</v>
      </c>
      <c r="I28" s="1958">
        <f>F28/C28</f>
        <v>1.409018360245164</v>
      </c>
      <c r="J28" s="1958">
        <f>G28/E28</f>
        <v>1.0141811621875438</v>
      </c>
      <c r="K28" s="1959">
        <f>+K25+K26+K27</f>
        <v>95.46872673712312</v>
      </c>
      <c r="L28" s="1929" t="s">
        <v>244</v>
      </c>
      <c r="M28" s="1934">
        <f>SUM(M25:M27)</f>
        <v>612747.95708213444</v>
      </c>
      <c r="N28" s="1934">
        <f>SUM(N25:N27)</f>
        <v>9411776.7042803057</v>
      </c>
      <c r="O28" s="1934">
        <f>SUM(O25:O27)</f>
        <v>5330.0462288467215</v>
      </c>
      <c r="P28" s="1935">
        <f>C28/M28</f>
        <v>6.3158105306930539</v>
      </c>
      <c r="Q28" s="1938">
        <f>C28/N28</f>
        <v>0.41118697580659708</v>
      </c>
    </row>
    <row r="29" spans="2:22" ht="15.75" customHeight="1" thickBot="1" x14ac:dyDescent="0.3">
      <c r="B29" s="2871" t="s">
        <v>132</v>
      </c>
      <c r="C29" s="2872"/>
      <c r="D29" s="2872"/>
      <c r="E29" s="2872"/>
      <c r="F29" s="2872"/>
      <c r="G29" s="2872"/>
      <c r="H29" s="2872"/>
      <c r="I29" s="2872"/>
      <c r="J29" s="2872"/>
      <c r="K29" s="2872"/>
      <c r="L29" s="2872"/>
      <c r="M29" s="2872"/>
      <c r="N29" s="2872"/>
      <c r="O29" s="2872"/>
      <c r="P29" s="2872"/>
      <c r="Q29" s="2873"/>
    </row>
    <row r="30" spans="2:22" ht="15.75" customHeight="1" x14ac:dyDescent="0.2">
      <c r="B30" s="1920" t="s">
        <v>128</v>
      </c>
      <c r="C30" s="1106">
        <v>1120000</v>
      </c>
      <c r="D30" s="874">
        <v>1768379.3049322264</v>
      </c>
      <c r="E30" s="874">
        <v>2888379.3049322264</v>
      </c>
      <c r="F30" s="874">
        <v>2110399.8185379547</v>
      </c>
      <c r="G30" s="874">
        <v>2110399.8185379547</v>
      </c>
      <c r="H30" s="1115">
        <v>0.13153181719426194</v>
      </c>
      <c r="I30" s="1922">
        <v>1.8842855522660309</v>
      </c>
      <c r="J30" s="1922">
        <v>0.73065189704628275</v>
      </c>
      <c r="K30" s="1923">
        <v>22</v>
      </c>
      <c r="L30" s="1924" t="s">
        <v>244</v>
      </c>
      <c r="M30" s="1923">
        <v>302116.40070979972</v>
      </c>
      <c r="N30" s="1923">
        <v>3400929.7190521373</v>
      </c>
      <c r="O30" s="1923">
        <v>3470.0968753222355</v>
      </c>
      <c r="P30" s="1925">
        <v>3.7071804025489659</v>
      </c>
      <c r="Q30" s="1926">
        <v>0.32932171274393512</v>
      </c>
      <c r="U30" s="821"/>
      <c r="V30" s="822"/>
    </row>
    <row r="31" spans="2:22" ht="15.75" customHeight="1" x14ac:dyDescent="0.2">
      <c r="B31" s="615" t="s">
        <v>129</v>
      </c>
      <c r="C31" s="874">
        <v>860000</v>
      </c>
      <c r="D31" s="874">
        <v>1273656.4120925278</v>
      </c>
      <c r="E31" s="874">
        <v>2133656.4120925278</v>
      </c>
      <c r="F31" s="874">
        <v>1587852.7057717533</v>
      </c>
      <c r="G31" s="874">
        <v>1587852.7057717533</v>
      </c>
      <c r="H31" s="1115">
        <v>0.10014655225202551</v>
      </c>
      <c r="I31" s="1922">
        <v>1.8463403555485505</v>
      </c>
      <c r="J31" s="1922">
        <v>0.74419325284641691</v>
      </c>
      <c r="K31" s="1923">
        <v>17.051644277896305</v>
      </c>
      <c r="L31" s="1924" t="s">
        <v>244</v>
      </c>
      <c r="M31" s="1923">
        <v>223199.80531041368</v>
      </c>
      <c r="N31" s="1923">
        <v>2514969.8078974234</v>
      </c>
      <c r="O31" s="1923">
        <v>2867.251036972541</v>
      </c>
      <c r="P31" s="1925">
        <v>3.85304995586336</v>
      </c>
      <c r="Q31" s="1926">
        <v>0.34195241521367653</v>
      </c>
      <c r="S31" s="706"/>
    </row>
    <row r="32" spans="2:22" ht="15.75" customHeight="1" thickBot="1" x14ac:dyDescent="0.25">
      <c r="B32" s="1937" t="s">
        <v>130</v>
      </c>
      <c r="C32" s="874">
        <v>800000</v>
      </c>
      <c r="D32" s="874">
        <v>1175592.1500633648</v>
      </c>
      <c r="E32" s="874">
        <v>1975592.1500633648</v>
      </c>
      <c r="F32" s="874">
        <v>1465597.1254408748</v>
      </c>
      <c r="G32" s="874">
        <v>1465597.1254408748</v>
      </c>
      <c r="H32" s="1115">
        <v>0.11401977131339518</v>
      </c>
      <c r="I32" s="1922">
        <v>1.8319964068010934</v>
      </c>
      <c r="J32" s="1922">
        <v>0.74185206971685302</v>
      </c>
      <c r="K32" s="1923">
        <v>15.738765155536715</v>
      </c>
      <c r="L32" s="1924" t="s">
        <v>244</v>
      </c>
      <c r="M32" s="1923">
        <v>206014.69637129389</v>
      </c>
      <c r="N32" s="1923">
        <v>2321331.5111829331</v>
      </c>
      <c r="O32" s="1923">
        <v>2646.4890996686536</v>
      </c>
      <c r="P32" s="1925">
        <v>3.8832181106059775</v>
      </c>
      <c r="Q32" s="1926">
        <v>0.34462979378258901</v>
      </c>
      <c r="S32" s="706"/>
    </row>
    <row r="33" spans="2:17" ht="18" customHeight="1" thickBot="1" x14ac:dyDescent="0.3">
      <c r="B33" s="1928" t="s">
        <v>138</v>
      </c>
      <c r="C33" s="1929">
        <f>SUM(C30:C32)</f>
        <v>2780000</v>
      </c>
      <c r="D33" s="1929">
        <f>SUM(D30:D32)</f>
        <v>4217627.8670881186</v>
      </c>
      <c r="E33" s="1929">
        <f>SUM(E30:E32)</f>
        <v>6997627.8670881195</v>
      </c>
      <c r="F33" s="1929">
        <f>SUM(F30:F32)</f>
        <v>5163849.6497505829</v>
      </c>
      <c r="G33" s="1929">
        <f>SUM(G30:G32)</f>
        <v>5163849.6497505829</v>
      </c>
      <c r="H33" s="1930">
        <f>SUM(C33/$C$71)</f>
        <v>0.11526282103030455</v>
      </c>
      <c r="I33" s="1931">
        <f>F33/C33</f>
        <v>1.8574998740110011</v>
      </c>
      <c r="J33" s="1931">
        <f>G33/E33</f>
        <v>0.73794287833419536</v>
      </c>
      <c r="K33" s="1932">
        <f>+K30+K31+K32</f>
        <v>54.790409433433013</v>
      </c>
      <c r="L33" s="1929" t="s">
        <v>244</v>
      </c>
      <c r="M33" s="1934">
        <f>SUM(M30:M32)</f>
        <v>731330.90239150729</v>
      </c>
      <c r="N33" s="1934">
        <f>SUM(N30:N32)</f>
        <v>8237231.0381324934</v>
      </c>
      <c r="O33" s="1934">
        <f>SUM(O30:O32)</f>
        <v>8983.837011963431</v>
      </c>
      <c r="P33" s="1935">
        <f>C33/M33</f>
        <v>3.8012888432707959</v>
      </c>
      <c r="Q33" s="1938">
        <f>C33/N33</f>
        <v>0.33749205128890847</v>
      </c>
    </row>
    <row r="34" spans="2:17" ht="15.75" customHeight="1" x14ac:dyDescent="0.2">
      <c r="B34" s="1920" t="s">
        <v>133</v>
      </c>
      <c r="C34" s="1106">
        <v>100000</v>
      </c>
      <c r="D34" s="874">
        <v>158787.16957241882</v>
      </c>
      <c r="E34" s="874">
        <v>258787.16957241882</v>
      </c>
      <c r="F34" s="874">
        <v>163558.89278901264</v>
      </c>
      <c r="G34" s="874">
        <v>163558.89278901264</v>
      </c>
      <c r="H34" s="1115">
        <v>1.1743912249487672E-2</v>
      </c>
      <c r="I34" s="1922">
        <v>1.6355889278901263</v>
      </c>
      <c r="J34" s="1922">
        <v>0.63202087282477282</v>
      </c>
      <c r="K34" s="1923">
        <v>3</v>
      </c>
      <c r="L34" s="1924" t="s">
        <v>244</v>
      </c>
      <c r="M34" s="1923">
        <v>40800.523412933908</v>
      </c>
      <c r="N34" s="1923">
        <v>274694.4980919502</v>
      </c>
      <c r="O34" s="1923">
        <v>476.92819321341568</v>
      </c>
      <c r="P34" s="1925">
        <v>2.4509489495494967</v>
      </c>
      <c r="Q34" s="1926">
        <v>0.36404078237681475</v>
      </c>
    </row>
    <row r="35" spans="2:17" ht="15.75" customHeight="1" x14ac:dyDescent="0.2">
      <c r="B35" s="615" t="s">
        <v>134</v>
      </c>
      <c r="C35" s="874">
        <v>100000</v>
      </c>
      <c r="D35" s="874">
        <v>122958.41586327853</v>
      </c>
      <c r="E35" s="874">
        <v>222958.41586327853</v>
      </c>
      <c r="F35" s="874">
        <v>162787.93777760246</v>
      </c>
      <c r="G35" s="874">
        <v>162787.93777760246</v>
      </c>
      <c r="H35" s="1115">
        <v>1.1644947936282037E-2</v>
      </c>
      <c r="I35" s="1922">
        <v>1.6278793777760245</v>
      </c>
      <c r="J35" s="1922">
        <v>0.73012690347345532</v>
      </c>
      <c r="K35" s="1923">
        <v>1.3489398500328076</v>
      </c>
      <c r="L35" s="1924" t="s">
        <v>244</v>
      </c>
      <c r="M35" s="1923">
        <v>31103.664283420549</v>
      </c>
      <c r="N35" s="1923">
        <v>248829.31426736439</v>
      </c>
      <c r="O35" s="1923">
        <v>342.45150561397173</v>
      </c>
      <c r="P35" s="1925">
        <v>3.2150552773714143</v>
      </c>
      <c r="Q35" s="1926">
        <v>0.40188190967142678</v>
      </c>
    </row>
    <row r="36" spans="2:17" ht="16.5" customHeight="1" thickBot="1" x14ac:dyDescent="0.25">
      <c r="B36" s="1937" t="s">
        <v>135</v>
      </c>
      <c r="C36" s="874">
        <v>100000</v>
      </c>
      <c r="D36" s="874">
        <v>127495.99886626977</v>
      </c>
      <c r="E36" s="874">
        <v>227495.99886626977</v>
      </c>
      <c r="F36" s="874">
        <v>168795.36536493403</v>
      </c>
      <c r="G36" s="874">
        <v>168795.36536493403</v>
      </c>
      <c r="H36" s="1115">
        <v>1.4252471414174397E-2</v>
      </c>
      <c r="I36" s="1922">
        <v>1.6879536536493402</v>
      </c>
      <c r="J36" s="1922">
        <v>0.74197069929198156</v>
      </c>
      <c r="K36" s="1923">
        <v>1.398720310301363</v>
      </c>
      <c r="L36" s="1924" t="s">
        <v>244</v>
      </c>
      <c r="M36" s="1923">
        <v>32251.495095913517</v>
      </c>
      <c r="N36" s="1923">
        <v>258011.96076730813</v>
      </c>
      <c r="O36" s="1923">
        <v>355.0891288324633</v>
      </c>
      <c r="P36" s="1925">
        <v>3.1006314498787586</v>
      </c>
      <c r="Q36" s="1926">
        <v>0.38757893123484483</v>
      </c>
    </row>
    <row r="37" spans="2:17" ht="19.5" customHeight="1" thickBot="1" x14ac:dyDescent="0.3">
      <c r="B37" s="1928" t="s">
        <v>136</v>
      </c>
      <c r="C37" s="1929">
        <f>SUM(C34:C36)</f>
        <v>300000</v>
      </c>
      <c r="D37" s="1929">
        <f>SUM(D34:D36)</f>
        <v>409241.58430196712</v>
      </c>
      <c r="E37" s="1929">
        <f>SUM(E34:E36)</f>
        <v>709241.58430196717</v>
      </c>
      <c r="F37" s="1929">
        <f>SUM(F34:F36)</f>
        <v>495142.19593154913</v>
      </c>
      <c r="G37" s="1929">
        <f>SUM(G34:G36)</f>
        <v>495142.19593154913</v>
      </c>
      <c r="H37" s="1930">
        <f>SUM(C37/$C$71)</f>
        <v>1.2438433924133584E-2</v>
      </c>
      <c r="I37" s="1931">
        <f t="shared" ref="I37:I42" si="0">F37/C37</f>
        <v>1.6504739864384972</v>
      </c>
      <c r="J37" s="1931">
        <f t="shared" ref="J37:J42" si="1">G37/E37</f>
        <v>0.69812910987003973</v>
      </c>
      <c r="K37" s="1932">
        <f>SUM(K34:K36)</f>
        <v>5.7476601603341706</v>
      </c>
      <c r="L37" s="1929" t="s">
        <v>244</v>
      </c>
      <c r="M37" s="1934">
        <f>SUM(M34:M36)</f>
        <v>104155.68279226798</v>
      </c>
      <c r="N37" s="1934">
        <f>SUM(N34:N36)</f>
        <v>781535.77312662266</v>
      </c>
      <c r="O37" s="1934">
        <f>SUM(O34:O36)</f>
        <v>1174.4688276598508</v>
      </c>
      <c r="P37" s="1935">
        <f>C37/M37</f>
        <v>2.880303714184576</v>
      </c>
      <c r="Q37" s="1938">
        <f>C37/N37</f>
        <v>0.38385958815399568</v>
      </c>
    </row>
    <row r="38" spans="2:17" ht="15.75" customHeight="1" x14ac:dyDescent="0.2">
      <c r="B38" s="1920" t="s">
        <v>251</v>
      </c>
      <c r="C38" s="1106">
        <v>100000</v>
      </c>
      <c r="D38" s="874">
        <v>137254.69564701518</v>
      </c>
      <c r="E38" s="874">
        <v>237254.69564701518</v>
      </c>
      <c r="F38" s="874">
        <v>182609.80181719773</v>
      </c>
      <c r="G38" s="874">
        <v>182609.80181719773</v>
      </c>
      <c r="H38" s="1115">
        <v>1.1743912249487672E-2</v>
      </c>
      <c r="I38" s="1922">
        <v>1.8260980181719773</v>
      </c>
      <c r="J38" s="1922">
        <v>0.76967834638300481</v>
      </c>
      <c r="K38" s="1923">
        <v>7</v>
      </c>
      <c r="L38" s="1924" t="s">
        <v>244</v>
      </c>
      <c r="M38" s="1923">
        <v>26141.689159906178</v>
      </c>
      <c r="N38" s="1923">
        <v>294277.46180369542</v>
      </c>
      <c r="O38" s="1923">
        <v>300.26239441589212</v>
      </c>
      <c r="P38" s="1925">
        <v>3.8253075150695004</v>
      </c>
      <c r="Q38" s="1926">
        <v>0.33981535448578565</v>
      </c>
    </row>
    <row r="39" spans="2:17" ht="15.75" customHeight="1" x14ac:dyDescent="0.2">
      <c r="B39" s="615" t="s">
        <v>252</v>
      </c>
      <c r="C39" s="874">
        <v>100000</v>
      </c>
      <c r="D39" s="874">
        <v>140132.67331236013</v>
      </c>
      <c r="E39" s="874">
        <v>240132.67331236013</v>
      </c>
      <c r="F39" s="874">
        <v>196294.13675909862</v>
      </c>
      <c r="G39" s="874">
        <v>196294.13675909862</v>
      </c>
      <c r="H39" s="1115">
        <v>1.1644947936282037E-2</v>
      </c>
      <c r="I39" s="1922">
        <v>1.9629413675909861</v>
      </c>
      <c r="J39" s="1922">
        <v>0.81744035100031076</v>
      </c>
      <c r="K39" s="1923">
        <v>3.7521775485858853</v>
      </c>
      <c r="L39" s="1924" t="s">
        <v>244</v>
      </c>
      <c r="M39" s="1923">
        <v>27592.492017017365</v>
      </c>
      <c r="N39" s="1923">
        <v>310906.5630722199</v>
      </c>
      <c r="O39" s="1923">
        <v>315.46620348613254</v>
      </c>
      <c r="P39" s="1925">
        <v>3.6241742840163225</v>
      </c>
      <c r="Q39" s="1926">
        <v>0.32164004198512591</v>
      </c>
    </row>
    <row r="40" spans="2:17" ht="15.75" customHeight="1" thickBot="1" x14ac:dyDescent="0.25">
      <c r="B40" s="1937" t="s">
        <v>253</v>
      </c>
      <c r="C40" s="874">
        <v>100000</v>
      </c>
      <c r="D40" s="874">
        <v>140131.91221377149</v>
      </c>
      <c r="E40" s="874">
        <v>240131.91221377149</v>
      </c>
      <c r="F40" s="874">
        <v>196293.07063235663</v>
      </c>
      <c r="G40" s="874">
        <v>196293.07063235663</v>
      </c>
      <c r="H40" s="1115">
        <v>1.4252471414174397E-2</v>
      </c>
      <c r="I40" s="1922">
        <v>1.9629307063235664</v>
      </c>
      <c r="J40" s="1922">
        <v>0.81743850212466385</v>
      </c>
      <c r="K40" s="1923">
        <v>3.7521571694910669</v>
      </c>
      <c r="L40" s="1924" t="s">
        <v>244</v>
      </c>
      <c r="M40" s="1923">
        <v>27592.342154703063</v>
      </c>
      <c r="N40" s="1923">
        <v>310904.87445427832</v>
      </c>
      <c r="O40" s="1923">
        <v>315.46449010354615</v>
      </c>
      <c r="P40" s="1925">
        <v>3.6241939679975732</v>
      </c>
      <c r="Q40" s="1926">
        <v>0.32164178890899314</v>
      </c>
    </row>
    <row r="41" spans="2:17" ht="19.5" customHeight="1" thickBot="1" x14ac:dyDescent="0.3">
      <c r="B41" s="1928" t="s">
        <v>302</v>
      </c>
      <c r="C41" s="1929">
        <f>SUM(C38:C40)</f>
        <v>300000</v>
      </c>
      <c r="D41" s="1929">
        <f>SUM(D38:D40)</f>
        <v>417519.2811731468</v>
      </c>
      <c r="E41" s="1929">
        <f>SUM(E38:E40)</f>
        <v>717519.2811731468</v>
      </c>
      <c r="F41" s="1929">
        <f>SUM(F38:F40)</f>
        <v>575197.00920865289</v>
      </c>
      <c r="G41" s="1929">
        <f>SUM(G38:G40)</f>
        <v>575197.00920865289</v>
      </c>
      <c r="H41" s="1930">
        <f>SUM(C41/$C$71)</f>
        <v>1.2438433924133584E-2</v>
      </c>
      <c r="I41" s="1931">
        <f t="shared" si="0"/>
        <v>1.917323364028843</v>
      </c>
      <c r="J41" s="1931">
        <f t="shared" si="1"/>
        <v>0.801646763092141</v>
      </c>
      <c r="K41" s="1932">
        <f>SUM(K38:K40)</f>
        <v>14.504334718076953</v>
      </c>
      <c r="L41" s="1929" t="s">
        <v>244</v>
      </c>
      <c r="M41" s="1934">
        <f>SUM(M38:M40)</f>
        <v>81326.523331626609</v>
      </c>
      <c r="N41" s="1934">
        <f>SUM(N38:N40)</f>
        <v>916088.89933019364</v>
      </c>
      <c r="O41" s="1934">
        <f>SUM(O38:O40)</f>
        <v>931.19308800557076</v>
      </c>
      <c r="P41" s="1935">
        <f>C41/M41</f>
        <v>3.6888334544523032</v>
      </c>
      <c r="Q41" s="1938">
        <f>C41/N41</f>
        <v>0.32747913463349204</v>
      </c>
    </row>
    <row r="42" spans="2:17" ht="15.75" customHeight="1" thickBot="1" x14ac:dyDescent="0.3">
      <c r="B42" s="1124" t="s">
        <v>127</v>
      </c>
      <c r="C42" s="1942">
        <f>C41+C37+C33+C28</f>
        <v>7250000</v>
      </c>
      <c r="D42" s="1942">
        <f>D41+D37+D33+D28</f>
        <v>6551042.5863846922</v>
      </c>
      <c r="E42" s="1942">
        <f>E41+E37+E33+E28</f>
        <v>13801042.586384693</v>
      </c>
      <c r="F42" s="1942">
        <f>F41+F37+F33+F28</f>
        <v>11687089.90903957</v>
      </c>
      <c r="G42" s="1942">
        <f>G41+G37+G33+G28</f>
        <v>11687089.90903957</v>
      </c>
      <c r="H42" s="1944">
        <f>SUM(C42/C71)</f>
        <v>0.30059548649989498</v>
      </c>
      <c r="I42" s="1915">
        <f t="shared" si="0"/>
        <v>1.6120124012468373</v>
      </c>
      <c r="J42" s="1915">
        <f t="shared" si="1"/>
        <v>0.84682659559136308</v>
      </c>
      <c r="K42" s="1932">
        <f>K41+K37+K33+K28</f>
        <v>170.51113104896726</v>
      </c>
      <c r="L42" s="631" t="s">
        <v>244</v>
      </c>
      <c r="M42" s="1960">
        <f>M41+M37+M33+M28</f>
        <v>1529561.0655975363</v>
      </c>
      <c r="N42" s="1961">
        <f>N41+N37+N33+N28</f>
        <v>19346632.414869614</v>
      </c>
      <c r="O42" s="1961">
        <f>O41+O37+O33+O28</f>
        <v>16419.545156475575</v>
      </c>
      <c r="P42" s="1946">
        <f>C42/M42</f>
        <v>4.739921905090938</v>
      </c>
      <c r="Q42" s="1946">
        <f>C42/N42</f>
        <v>0.3747422209990266</v>
      </c>
    </row>
    <row r="43" spans="2:17" ht="15" x14ac:dyDescent="0.2">
      <c r="B43" s="1962"/>
      <c r="C43" s="1963"/>
      <c r="D43" s="1963"/>
      <c r="E43" s="1963"/>
      <c r="F43" s="1963"/>
      <c r="G43" s="1963"/>
      <c r="H43" s="1963"/>
      <c r="I43" s="1963"/>
      <c r="J43" s="1963"/>
      <c r="K43" s="1964"/>
      <c r="L43" s="1963"/>
      <c r="M43" s="1963"/>
      <c r="N43" s="1963"/>
      <c r="O43" s="1963"/>
      <c r="P43" s="1963"/>
      <c r="Q43" s="1965"/>
    </row>
    <row r="44" spans="2:17" ht="16.5" thickBot="1" x14ac:dyDescent="0.3">
      <c r="B44" s="2867" t="s">
        <v>41</v>
      </c>
      <c r="C44" s="2868"/>
      <c r="D44" s="2868"/>
      <c r="E44" s="2868"/>
      <c r="F44" s="2868"/>
      <c r="G44" s="2868"/>
      <c r="H44" s="2868"/>
      <c r="I44" s="2868"/>
      <c r="J44" s="2868"/>
      <c r="K44" s="2868"/>
      <c r="L44" s="2868"/>
      <c r="M44" s="2868"/>
      <c r="N44" s="2868"/>
      <c r="O44" s="2868"/>
      <c r="P44" s="2868"/>
      <c r="Q44" s="2869"/>
    </row>
    <row r="45" spans="2:17" ht="15.75" customHeight="1" x14ac:dyDescent="0.2">
      <c r="B45" s="1107" t="s">
        <v>172</v>
      </c>
      <c r="C45" s="1108">
        <v>235000</v>
      </c>
      <c r="D45" s="1109"/>
      <c r="E45" s="1108"/>
      <c r="F45" s="1109"/>
      <c r="G45" s="1109"/>
      <c r="H45" s="1110"/>
      <c r="I45" s="1966"/>
      <c r="J45" s="1966"/>
      <c r="K45" s="1967"/>
      <c r="L45" s="1966"/>
      <c r="M45" s="1966"/>
      <c r="N45" s="1966"/>
      <c r="O45" s="1966"/>
      <c r="P45" s="1966"/>
      <c r="Q45" s="1968"/>
    </row>
    <row r="46" spans="2:17" ht="15.75" customHeight="1" x14ac:dyDescent="0.2">
      <c r="B46" s="979" t="s">
        <v>173</v>
      </c>
      <c r="C46" s="1106">
        <v>215000</v>
      </c>
      <c r="D46" s="1114"/>
      <c r="E46" s="874"/>
      <c r="F46" s="1114"/>
      <c r="G46" s="1114"/>
      <c r="H46" s="1115"/>
      <c r="I46" s="1268"/>
      <c r="J46" s="1268"/>
      <c r="K46" s="900"/>
      <c r="L46" s="1268"/>
      <c r="M46" s="1268"/>
      <c r="N46" s="1268"/>
      <c r="O46" s="1268"/>
      <c r="P46" s="1268"/>
      <c r="Q46" s="1269"/>
    </row>
    <row r="47" spans="2:17" ht="15.75" customHeight="1" thickBot="1" x14ac:dyDescent="0.25">
      <c r="B47" s="979" t="s">
        <v>174</v>
      </c>
      <c r="C47" s="1106">
        <v>215000</v>
      </c>
      <c r="D47" s="1116"/>
      <c r="E47" s="1106"/>
      <c r="F47" s="1116"/>
      <c r="G47" s="1116"/>
      <c r="H47" s="1969"/>
      <c r="I47" s="1130"/>
      <c r="J47" s="1130"/>
      <c r="K47" s="905"/>
      <c r="L47" s="1130"/>
      <c r="M47" s="1130"/>
      <c r="N47" s="1130"/>
      <c r="O47" s="1130"/>
      <c r="P47" s="1130"/>
      <c r="Q47" s="1131"/>
    </row>
    <row r="48" spans="2:17" ht="16.5" customHeight="1" x14ac:dyDescent="0.25">
      <c r="B48" s="1117" t="s">
        <v>175</v>
      </c>
      <c r="C48" s="1118">
        <f>SUM(C45:C47)</f>
        <v>665000</v>
      </c>
      <c r="D48" s="1119"/>
      <c r="E48" s="1120"/>
      <c r="F48" s="1121"/>
      <c r="G48" s="1121"/>
      <c r="H48" s="1970"/>
      <c r="I48" s="1121"/>
      <c r="J48" s="1121"/>
      <c r="K48" s="1122"/>
      <c r="L48" s="1121"/>
      <c r="M48" s="1121"/>
      <c r="N48" s="1121"/>
      <c r="O48" s="1121"/>
      <c r="P48" s="1121"/>
      <c r="Q48" s="1123"/>
    </row>
    <row r="49" spans="1:17" ht="15.75" customHeight="1" x14ac:dyDescent="0.2">
      <c r="B49" s="1114" t="s">
        <v>237</v>
      </c>
      <c r="C49" s="874">
        <v>1090050</v>
      </c>
      <c r="D49" s="1114"/>
      <c r="E49" s="874"/>
      <c r="F49" s="1114"/>
      <c r="G49" s="1114"/>
      <c r="H49" s="1115"/>
      <c r="I49" s="1268"/>
      <c r="J49" s="1268"/>
      <c r="K49" s="900"/>
      <c r="L49" s="1268"/>
      <c r="M49" s="1268"/>
      <c r="N49" s="1268"/>
      <c r="O49" s="1268"/>
      <c r="P49" s="1268"/>
      <c r="Q49" s="1268"/>
    </row>
    <row r="50" spans="1:17" ht="15.75" customHeight="1" thickBot="1" x14ac:dyDescent="0.3">
      <c r="B50" s="1128" t="s">
        <v>238</v>
      </c>
      <c r="C50" s="1253">
        <v>1052495.95</v>
      </c>
      <c r="D50" s="1129"/>
      <c r="E50" s="1106"/>
      <c r="F50" s="1129"/>
      <c r="G50" s="1129"/>
      <c r="H50" s="1971"/>
      <c r="I50" s="1130"/>
      <c r="J50" s="1130"/>
      <c r="K50" s="905"/>
      <c r="L50" s="1130"/>
      <c r="M50" s="1130"/>
      <c r="N50" s="1130"/>
      <c r="O50" s="1130"/>
      <c r="P50" s="1130"/>
      <c r="Q50" s="1131"/>
    </row>
    <row r="51" spans="1:17" ht="15.75" customHeight="1" thickBot="1" x14ac:dyDescent="0.3">
      <c r="B51" s="1260" t="s">
        <v>239</v>
      </c>
      <c r="C51" s="1261">
        <v>977682</v>
      </c>
      <c r="D51" s="1132"/>
      <c r="E51" s="1972"/>
      <c r="F51" s="1132"/>
      <c r="G51" s="1132"/>
      <c r="H51" s="1276"/>
      <c r="I51" s="1256"/>
      <c r="J51" s="1256"/>
      <c r="K51" s="1257"/>
      <c r="L51" s="1256"/>
      <c r="M51" s="1256"/>
      <c r="N51" s="1256"/>
      <c r="O51" s="1256"/>
      <c r="P51" s="1256"/>
      <c r="Q51" s="1258"/>
    </row>
    <row r="52" spans="1:17" ht="15.75" customHeight="1" thickBot="1" x14ac:dyDescent="0.3">
      <c r="B52" s="1124" t="s">
        <v>89</v>
      </c>
      <c r="C52" s="1133">
        <f>SUM(C49:C51)</f>
        <v>3120227.95</v>
      </c>
      <c r="D52" s="1134"/>
      <c r="E52" s="1125"/>
      <c r="F52" s="1134"/>
      <c r="G52" s="1134"/>
      <c r="H52" s="1973"/>
      <c r="I52" s="1134"/>
      <c r="J52" s="1134"/>
      <c r="K52" s="1135"/>
      <c r="L52" s="1134"/>
      <c r="M52" s="1134"/>
      <c r="N52" s="1134"/>
      <c r="O52" s="1134"/>
      <c r="P52" s="1134"/>
      <c r="Q52" s="1127"/>
    </row>
    <row r="53" spans="1:17" ht="15.75" customHeight="1" thickBot="1" x14ac:dyDescent="0.3">
      <c r="B53" s="1136" t="s">
        <v>90</v>
      </c>
      <c r="C53" s="1137">
        <f>C48+C52</f>
        <v>3785227.95</v>
      </c>
      <c r="D53" s="1137"/>
      <c r="E53" s="1137"/>
      <c r="F53" s="1137"/>
      <c r="G53" s="1137"/>
      <c r="H53" s="1138"/>
      <c r="I53" s="1139"/>
      <c r="J53" s="1139"/>
      <c r="K53" s="1140"/>
      <c r="L53" s="1141"/>
      <c r="M53" s="1142"/>
      <c r="N53" s="1142"/>
      <c r="O53" s="1142"/>
      <c r="P53" s="1143"/>
      <c r="Q53" s="1144"/>
    </row>
    <row r="54" spans="1:17" ht="15.75" thickBot="1" x14ac:dyDescent="0.25">
      <c r="B54" s="1962"/>
      <c r="C54" s="1963"/>
      <c r="D54" s="1963"/>
      <c r="E54" s="1963"/>
      <c r="F54" s="1963"/>
      <c r="G54" s="1963"/>
      <c r="H54" s="1963"/>
      <c r="I54" s="1963"/>
      <c r="J54" s="1963"/>
      <c r="K54" s="1964"/>
      <c r="L54" s="1963"/>
      <c r="M54" s="1963"/>
      <c r="N54" s="1963"/>
      <c r="O54" s="1963"/>
      <c r="P54" s="1963"/>
      <c r="Q54" s="1965"/>
    </row>
    <row r="55" spans="1:17" ht="16.5" thickBot="1" x14ac:dyDescent="0.3">
      <c r="B55" s="1017" t="s">
        <v>28</v>
      </c>
      <c r="C55" s="1962"/>
      <c r="D55" s="1963"/>
      <c r="E55" s="1963"/>
      <c r="F55" s="1963"/>
      <c r="G55" s="1963"/>
      <c r="H55" s="1963"/>
      <c r="I55" s="1963"/>
      <c r="J55" s="1963"/>
      <c r="K55" s="1964"/>
      <c r="L55" s="1963"/>
      <c r="M55" s="1963"/>
      <c r="N55" s="1963"/>
      <c r="O55" s="1963"/>
      <c r="P55" s="1963"/>
      <c r="Q55" s="1965"/>
    </row>
    <row r="56" spans="1:17" ht="15.75" x14ac:dyDescent="0.25">
      <c r="B56" s="1974" t="s">
        <v>91</v>
      </c>
      <c r="C56" s="1975">
        <f t="shared" ref="C56:G58" si="2">C6+C10+C14+C18</f>
        <v>4390000</v>
      </c>
      <c r="D56" s="1976">
        <f t="shared" si="2"/>
        <v>1831715.8906676602</v>
      </c>
      <c r="E56" s="1976">
        <f t="shared" si="2"/>
        <v>6221715.8906676602</v>
      </c>
      <c r="F56" s="1976">
        <f t="shared" si="2"/>
        <v>6677652.4329593042</v>
      </c>
      <c r="G56" s="1976">
        <f t="shared" si="2"/>
        <v>7132906.0631778305</v>
      </c>
      <c r="H56" s="1977">
        <f>SUM(C56/$C$68)</f>
        <v>0.51555774775250884</v>
      </c>
      <c r="I56" s="1978"/>
      <c r="J56" s="1109"/>
      <c r="K56" s="1979"/>
      <c r="L56" s="1109"/>
      <c r="M56" s="1980">
        <f>M6+M10+M14+M18</f>
        <v>619065.87705143262</v>
      </c>
      <c r="N56" s="1980">
        <f>N6+N10+N18+N14</f>
        <v>12173774.325847518</v>
      </c>
      <c r="O56" s="1980">
        <f>O6+O10+O14+O18</f>
        <v>5438.2774239361179</v>
      </c>
      <c r="P56" s="1981">
        <f>SUM(C56/M56)</f>
        <v>7.0913293120099956</v>
      </c>
      <c r="Q56" s="1982">
        <f>SUM(C56/N56)</f>
        <v>0.36061125190066112</v>
      </c>
    </row>
    <row r="57" spans="1:17" ht="15.75" x14ac:dyDescent="0.25">
      <c r="A57" s="706"/>
      <c r="B57" s="1983" t="s">
        <v>92</v>
      </c>
      <c r="C57" s="1984">
        <f>C7+C11+C15+C19</f>
        <v>5019919</v>
      </c>
      <c r="D57" s="1985">
        <f t="shared" si="2"/>
        <v>1212897.1932259202</v>
      </c>
      <c r="E57" s="1985">
        <f t="shared" si="2"/>
        <v>6232816.1932259202</v>
      </c>
      <c r="F57" s="1985">
        <f t="shared" si="2"/>
        <v>6644832.033643241</v>
      </c>
      <c r="G57" s="1985">
        <f t="shared" si="2"/>
        <v>7068115.7835870599</v>
      </c>
      <c r="H57" s="1986">
        <f>SUM(C57/$C$69)</f>
        <v>0.58456695399352987</v>
      </c>
      <c r="I57" s="1129"/>
      <c r="J57" s="1129"/>
      <c r="K57" s="1987"/>
      <c r="L57" s="1129"/>
      <c r="M57" s="1988">
        <f>M7+M11+M15+M19</f>
        <v>592642.54838618007</v>
      </c>
      <c r="N57" s="1988">
        <f>N7+N11+N19+N15</f>
        <v>12328646.685078494</v>
      </c>
      <c r="O57" s="1988">
        <f>O7+O11+O15+O19</f>
        <v>5353.4103027164401</v>
      </c>
      <c r="P57" s="1925">
        <f t="shared" ref="P57:P63" si="3">SUM(C57/M57)</f>
        <v>8.4703992544404709</v>
      </c>
      <c r="Q57" s="1989">
        <f t="shared" ref="Q57:Q63" si="4">SUM(C57/N57)</f>
        <v>0.40717518542206799</v>
      </c>
    </row>
    <row r="58" spans="1:17" ht="16.5" thickBot="1" x14ac:dyDescent="0.3">
      <c r="B58" s="1990" t="s">
        <v>93</v>
      </c>
      <c r="C58" s="1991">
        <f t="shared" si="2"/>
        <v>3673645</v>
      </c>
      <c r="D58" s="1992">
        <f t="shared" si="2"/>
        <v>593970.94746757718</v>
      </c>
      <c r="E58" s="1992">
        <f t="shared" si="2"/>
        <v>4267615.9474675767</v>
      </c>
      <c r="F58" s="1992">
        <f t="shared" si="2"/>
        <v>4915040.3599358909</v>
      </c>
      <c r="G58" s="1992">
        <f t="shared" si="2"/>
        <v>5297094.9020174872</v>
      </c>
      <c r="H58" s="1993">
        <f>SUM(C58/$C$70)</f>
        <v>0.523585203483247</v>
      </c>
      <c r="I58" s="1249"/>
      <c r="J58" s="1249"/>
      <c r="K58" s="1994"/>
      <c r="L58" s="1249"/>
      <c r="M58" s="1995">
        <f>M8+M12+M16+M20</f>
        <v>452208.66909640137</v>
      </c>
      <c r="N58" s="1995">
        <f>N8+N12+N20+N16</f>
        <v>9028536.8950350396</v>
      </c>
      <c r="O58" s="1995">
        <f>O8+O12+O16+O20</f>
        <v>4063.3637304465228</v>
      </c>
      <c r="P58" s="1996">
        <f t="shared" si="3"/>
        <v>8.1237827822731461</v>
      </c>
      <c r="Q58" s="1997">
        <f t="shared" si="4"/>
        <v>0.4068926164570702</v>
      </c>
    </row>
    <row r="59" spans="1:17" ht="16.5" thickBot="1" x14ac:dyDescent="0.3">
      <c r="B59" s="1124" t="s">
        <v>94</v>
      </c>
      <c r="C59" s="1998">
        <f>SUM(C56:C58)</f>
        <v>13083564</v>
      </c>
      <c r="D59" s="1998">
        <f>SUM(D56:D58)</f>
        <v>3638584.0313611575</v>
      </c>
      <c r="E59" s="1998">
        <f>SUM(E56:E58)</f>
        <v>16722148.031361157</v>
      </c>
      <c r="F59" s="1998">
        <f>SUM(F56:F58)</f>
        <v>18237524.826538436</v>
      </c>
      <c r="G59" s="1942">
        <f>SUM(G56:G58)</f>
        <v>19498116.748782378</v>
      </c>
      <c r="H59" s="1999">
        <f>SUM(C59/$C$71)</f>
        <v>0.54246348768724295</v>
      </c>
      <c r="I59" s="2000"/>
      <c r="J59" s="1126"/>
      <c r="K59" s="1932"/>
      <c r="L59" s="1126"/>
      <c r="M59" s="2001">
        <f>SUM(M56:M58)</f>
        <v>1663917.0945340141</v>
      </c>
      <c r="N59" s="2001">
        <f>SUM(N56:N58)</f>
        <v>33530957.905961052</v>
      </c>
      <c r="O59" s="2001">
        <f>SUM(O56:O58)</f>
        <v>14855.051457099082</v>
      </c>
      <c r="P59" s="2002">
        <f t="shared" si="3"/>
        <v>7.8631105137267063</v>
      </c>
      <c r="Q59" s="1938">
        <f t="shared" si="4"/>
        <v>0.39019356490480805</v>
      </c>
    </row>
    <row r="60" spans="1:17" ht="16.5" thickBot="1" x14ac:dyDescent="0.3">
      <c r="B60" s="2003" t="s">
        <v>95</v>
      </c>
      <c r="C60" s="1108">
        <f t="shared" ref="C60:G62" si="5">C25+C30+C34+C38</f>
        <v>2800000</v>
      </c>
      <c r="D60" s="1108">
        <f t="shared" si="5"/>
        <v>2666857.9307222855</v>
      </c>
      <c r="E60" s="1108">
        <f t="shared" si="5"/>
        <v>5466857.9307222851</v>
      </c>
      <c r="F60" s="1108">
        <f t="shared" si="5"/>
        <v>4536331.853186368</v>
      </c>
      <c r="G60" s="1108">
        <f t="shared" si="5"/>
        <v>4536331.853186368</v>
      </c>
      <c r="H60" s="1977">
        <f>SUM(C60/$C$68)</f>
        <v>0.32882954298565481</v>
      </c>
      <c r="I60" s="1109"/>
      <c r="J60" s="1109"/>
      <c r="K60" s="1979"/>
      <c r="L60" s="1109"/>
      <c r="M60" s="1988">
        <f t="shared" ref="M60:O62" si="6">M25+M30+M34+M38</f>
        <v>606164.02795108943</v>
      </c>
      <c r="N60" s="1988">
        <f t="shared" si="6"/>
        <v>7611828.4980299538</v>
      </c>
      <c r="O60" s="1988">
        <f t="shared" si="6"/>
        <v>6118.3716226494062</v>
      </c>
      <c r="P60" s="2004">
        <f t="shared" si="3"/>
        <v>4.6192117494407441</v>
      </c>
      <c r="Q60" s="2005">
        <f t="shared" si="4"/>
        <v>0.36784854003537765</v>
      </c>
    </row>
    <row r="61" spans="1:17" ht="16.5" thickBot="1" x14ac:dyDescent="0.3">
      <c r="B61" s="2006" t="s">
        <v>96</v>
      </c>
      <c r="C61" s="1108">
        <f t="shared" si="5"/>
        <v>2300000</v>
      </c>
      <c r="D61" s="1108">
        <f t="shared" si="5"/>
        <v>2008972.8767458335</v>
      </c>
      <c r="E61" s="1108">
        <f t="shared" si="5"/>
        <v>4308972.8767458331</v>
      </c>
      <c r="F61" s="1108">
        <f t="shared" si="5"/>
        <v>3708548.4851048817</v>
      </c>
      <c r="G61" s="1108">
        <f t="shared" si="5"/>
        <v>3708548.4851048817</v>
      </c>
      <c r="H61" s="1986">
        <f>SUM(C61/$C$69)</f>
        <v>0.26783380253448685</v>
      </c>
      <c r="I61" s="1114"/>
      <c r="J61" s="1114"/>
      <c r="K61" s="2007"/>
      <c r="L61" s="1114"/>
      <c r="M61" s="1988">
        <f t="shared" si="6"/>
        <v>478074.44790659705</v>
      </c>
      <c r="N61" s="1988">
        <f t="shared" si="6"/>
        <v>6087997.0162952924</v>
      </c>
      <c r="O61" s="1988">
        <f t="shared" si="6"/>
        <v>5331.6040303188256</v>
      </c>
      <c r="P61" s="2008">
        <f t="shared" si="3"/>
        <v>4.8109661791616158</v>
      </c>
      <c r="Q61" s="2009">
        <f t="shared" si="4"/>
        <v>0.37779256360404906</v>
      </c>
    </row>
    <row r="62" spans="1:17" ht="16.5" thickBot="1" x14ac:dyDescent="0.3">
      <c r="B62" s="2010" t="s">
        <v>97</v>
      </c>
      <c r="C62" s="1108">
        <f t="shared" si="5"/>
        <v>2150000</v>
      </c>
      <c r="D62" s="1108">
        <f t="shared" si="5"/>
        <v>1875211.7789165741</v>
      </c>
      <c r="E62" s="1108">
        <f t="shared" si="5"/>
        <v>4025211.7789165741</v>
      </c>
      <c r="F62" s="1108">
        <f t="shared" si="5"/>
        <v>3442209.5707483198</v>
      </c>
      <c r="G62" s="1108">
        <f t="shared" si="5"/>
        <v>3442209.5707483198</v>
      </c>
      <c r="H62" s="1993">
        <f>SUM(C62/$C$70)</f>
        <v>0.3064281354047495</v>
      </c>
      <c r="I62" s="1116"/>
      <c r="J62" s="1116"/>
      <c r="K62" s="2011"/>
      <c r="L62" s="1116"/>
      <c r="M62" s="1995">
        <f t="shared" si="6"/>
        <v>445322.58973984973</v>
      </c>
      <c r="N62" s="1995">
        <f t="shared" si="6"/>
        <v>5646806.9005443677</v>
      </c>
      <c r="O62" s="1995">
        <f t="shared" si="6"/>
        <v>4969.5695035073404</v>
      </c>
      <c r="P62" s="2012">
        <f t="shared" si="3"/>
        <v>4.8279607851377921</v>
      </c>
      <c r="Q62" s="2013">
        <f t="shared" si="4"/>
        <v>0.38074615227107095</v>
      </c>
    </row>
    <row r="63" spans="1:17" ht="16.5" thickBot="1" x14ac:dyDescent="0.3">
      <c r="B63" s="1124" t="s">
        <v>98</v>
      </c>
      <c r="C63" s="1998">
        <f>SUM(C60:C62)</f>
        <v>7250000</v>
      </c>
      <c r="D63" s="1998">
        <f>SUM(D60:D62)</f>
        <v>6551042.5863846932</v>
      </c>
      <c r="E63" s="1998">
        <f>SUM(E60:E62)</f>
        <v>13801042.586384691</v>
      </c>
      <c r="F63" s="1998">
        <f>SUM(F60:F62)</f>
        <v>11687089.90903957</v>
      </c>
      <c r="G63" s="1942">
        <f>SUM(G60:G62)</f>
        <v>11687089.90903957</v>
      </c>
      <c r="H63" s="1999">
        <f>SUM(C63/$C$71)</f>
        <v>0.30059548649989498</v>
      </c>
      <c r="I63" s="1254"/>
      <c r="J63" s="1126"/>
      <c r="K63" s="1932"/>
      <c r="L63" s="1126"/>
      <c r="M63" s="2001">
        <f>SUM(M60:M62)</f>
        <v>1529561.0655975363</v>
      </c>
      <c r="N63" s="2001">
        <f>SUM(N60:N62)</f>
        <v>19346632.414869614</v>
      </c>
      <c r="O63" s="2001">
        <f>SUM(O60:O62)</f>
        <v>16419.545156475571</v>
      </c>
      <c r="P63" s="2014">
        <f t="shared" si="3"/>
        <v>4.739921905090938</v>
      </c>
      <c r="Q63" s="2015">
        <f t="shared" si="4"/>
        <v>0.3747422209990266</v>
      </c>
    </row>
    <row r="64" spans="1:17" ht="15.75" x14ac:dyDescent="0.25">
      <c r="B64" s="1990" t="s">
        <v>99</v>
      </c>
      <c r="C64" s="1106">
        <f>C45+C49</f>
        <v>1325050</v>
      </c>
      <c r="D64" s="1106"/>
      <c r="E64" s="1106"/>
      <c r="F64" s="1106"/>
      <c r="G64" s="1106"/>
      <c r="H64" s="2016">
        <f>SUM(C64/$C$68)</f>
        <v>0.1556127092618364</v>
      </c>
      <c r="I64" s="1129"/>
      <c r="J64" s="1129"/>
      <c r="K64" s="2017"/>
      <c r="L64" s="1129"/>
      <c r="M64" s="2018"/>
      <c r="N64" s="2018"/>
      <c r="O64" s="2018"/>
      <c r="P64" s="2018"/>
      <c r="Q64" s="2018"/>
    </row>
    <row r="65" spans="2:17" ht="15.75" x14ac:dyDescent="0.25">
      <c r="B65" s="2019" t="s">
        <v>100</v>
      </c>
      <c r="C65" s="1106">
        <f>C46+C50</f>
        <v>1267495.95</v>
      </c>
      <c r="D65" s="1106"/>
      <c r="E65" s="1106"/>
      <c r="F65" s="1106"/>
      <c r="G65" s="1106"/>
      <c r="H65" s="1986">
        <f>SUM(C65/$C$69)</f>
        <v>0.14759924347198339</v>
      </c>
      <c r="I65" s="1114"/>
      <c r="J65" s="1114"/>
      <c r="K65" s="2020"/>
      <c r="L65" s="1114"/>
      <c r="M65" s="2018"/>
      <c r="N65" s="2018"/>
      <c r="O65" s="2018"/>
      <c r="P65" s="2018"/>
      <c r="Q65" s="2018"/>
    </row>
    <row r="66" spans="2:17" ht="16.5" thickBot="1" x14ac:dyDescent="0.3">
      <c r="B66" s="1990" t="s">
        <v>101</v>
      </c>
      <c r="C66" s="1106">
        <f>C47+C51</f>
        <v>1192682</v>
      </c>
      <c r="D66" s="1106"/>
      <c r="E66" s="1106"/>
      <c r="F66" s="1106"/>
      <c r="G66" s="1106"/>
      <c r="H66" s="1250">
        <f>SUM(C66/$C$70)</f>
        <v>0.16998666111200347</v>
      </c>
      <c r="I66" s="1249"/>
      <c r="J66" s="1249"/>
      <c r="K66" s="2021"/>
      <c r="L66" s="1249"/>
      <c r="M66" s="2018"/>
      <c r="N66" s="2018"/>
      <c r="O66" s="2018"/>
      <c r="P66" s="2018"/>
      <c r="Q66" s="2018"/>
    </row>
    <row r="67" spans="2:17" ht="16.5" thickBot="1" x14ac:dyDescent="0.3">
      <c r="B67" s="1913" t="s">
        <v>102</v>
      </c>
      <c r="C67" s="1998">
        <f>SUM(C64:C66)</f>
        <v>3785227.95</v>
      </c>
      <c r="D67" s="1998">
        <f>SUM(D64:D66)</f>
        <v>0</v>
      </c>
      <c r="E67" s="1998">
        <f>SUM(E64:E66)</f>
        <v>0</v>
      </c>
      <c r="F67" s="1998">
        <f>SUM(F64:F66)</f>
        <v>0</v>
      </c>
      <c r="G67" s="1942">
        <f>SUM(G64:G66)</f>
        <v>0</v>
      </c>
      <c r="H67" s="1999">
        <f>SUM(C67/$C$71)</f>
        <v>0.15694102581286209</v>
      </c>
      <c r="I67" s="1254"/>
      <c r="J67" s="1126"/>
      <c r="K67" s="2022"/>
      <c r="L67" s="1126"/>
      <c r="M67" s="2023">
        <f>SUM(M64:M66)</f>
        <v>0</v>
      </c>
      <c r="N67" s="2023">
        <f>SUM(N64:N66)</f>
        <v>0</v>
      </c>
      <c r="O67" s="2023">
        <f>SUM(O64:O66)</f>
        <v>0</v>
      </c>
      <c r="P67" s="2024"/>
      <c r="Q67" s="2025"/>
    </row>
    <row r="68" spans="2:17" ht="16.5" thickBot="1" x14ac:dyDescent="0.3">
      <c r="B68" s="1913" t="s">
        <v>103</v>
      </c>
      <c r="C68" s="2026">
        <f t="shared" ref="C68:G70" si="7">SUM(C56,C60,C64)</f>
        <v>8515050</v>
      </c>
      <c r="D68" s="2026">
        <f t="shared" si="7"/>
        <v>4498573.8213899452</v>
      </c>
      <c r="E68" s="2026">
        <f t="shared" si="7"/>
        <v>11688573.821389945</v>
      </c>
      <c r="F68" s="2026">
        <f t="shared" si="7"/>
        <v>11213984.286145672</v>
      </c>
      <c r="G68" s="2026">
        <f t="shared" si="7"/>
        <v>11669237.916364199</v>
      </c>
      <c r="H68" s="2027">
        <f>SUM(C68/$C$71)</f>
        <v>0.35304628928564558</v>
      </c>
      <c r="I68" s="2028"/>
      <c r="J68" s="1129"/>
      <c r="K68" s="2017"/>
      <c r="L68" s="1129"/>
      <c r="M68" s="2029">
        <f t="shared" ref="M68:O70" si="8">SUM(M56,M60,M64)</f>
        <v>1225229.905002522</v>
      </c>
      <c r="N68" s="2029">
        <f t="shared" si="8"/>
        <v>19785602.823877472</v>
      </c>
      <c r="O68" s="2029">
        <f t="shared" si="8"/>
        <v>11556.649046585524</v>
      </c>
      <c r="P68" s="2030">
        <f>SUM(C68/M68)</f>
        <v>6.9497569111182216</v>
      </c>
      <c r="Q68" s="2031">
        <f>SUM(C68/N68)</f>
        <v>0.43036596235136937</v>
      </c>
    </row>
    <row r="69" spans="2:17" ht="16.5" thickBot="1" x14ac:dyDescent="0.3">
      <c r="B69" s="1913" t="s">
        <v>104</v>
      </c>
      <c r="C69" s="2026">
        <f t="shared" si="7"/>
        <v>8587414.9499999993</v>
      </c>
      <c r="D69" s="2026">
        <f t="shared" si="7"/>
        <v>3221870.0699717537</v>
      </c>
      <c r="E69" s="2026">
        <f t="shared" si="7"/>
        <v>10541789.069971753</v>
      </c>
      <c r="F69" s="2026">
        <f t="shared" si="7"/>
        <v>10353380.518748123</v>
      </c>
      <c r="G69" s="2026">
        <f t="shared" si="7"/>
        <v>10776664.268691942</v>
      </c>
      <c r="H69" s="2027">
        <f>SUM(C69/$C$71)</f>
        <v>0.35604664478230635</v>
      </c>
      <c r="I69" s="2032"/>
      <c r="J69" s="1114"/>
      <c r="K69" s="2020"/>
      <c r="L69" s="1114"/>
      <c r="M69" s="2029">
        <f t="shared" si="8"/>
        <v>1070716.9962927771</v>
      </c>
      <c r="N69" s="2029">
        <f t="shared" si="8"/>
        <v>18416643.701373786</v>
      </c>
      <c r="O69" s="2029">
        <f>SUM(O57,O61,O65)</f>
        <v>10685.014333035266</v>
      </c>
      <c r="P69" s="2008">
        <f>SUM(C69/M69)</f>
        <v>8.0202471612319997</v>
      </c>
      <c r="Q69" s="2009">
        <f>SUM(C69/N69)</f>
        <v>0.46628555611136807</v>
      </c>
    </row>
    <row r="70" spans="2:17" ht="16.5" thickBot="1" x14ac:dyDescent="0.3">
      <c r="B70" s="1913" t="s">
        <v>105</v>
      </c>
      <c r="C70" s="2026">
        <f t="shared" si="7"/>
        <v>7016327</v>
      </c>
      <c r="D70" s="2026">
        <f t="shared" si="7"/>
        <v>2469182.7263841513</v>
      </c>
      <c r="E70" s="2026">
        <f t="shared" si="7"/>
        <v>8292827.7263841508</v>
      </c>
      <c r="F70" s="2026">
        <f t="shared" si="7"/>
        <v>8357249.9306842107</v>
      </c>
      <c r="G70" s="2026">
        <f t="shared" si="7"/>
        <v>8739304.4727658071</v>
      </c>
      <c r="H70" s="2027">
        <f>SUM(C70/$C$71)</f>
        <v>0.29090706593204807</v>
      </c>
      <c r="I70" s="2033"/>
      <c r="J70" s="1116"/>
      <c r="K70" s="2034"/>
      <c r="L70" s="1116"/>
      <c r="M70" s="2035">
        <f t="shared" si="8"/>
        <v>897531.2588362511</v>
      </c>
      <c r="N70" s="2035">
        <f t="shared" si="8"/>
        <v>14675343.795579407</v>
      </c>
      <c r="O70" s="2035">
        <f>SUM(O58,O62,O66)</f>
        <v>9032.9332339538632</v>
      </c>
      <c r="P70" s="2012">
        <f>SUM(C70/M70)</f>
        <v>7.817362271145238</v>
      </c>
      <c r="Q70" s="2013">
        <f>SUM(C70/N70)</f>
        <v>0.47810307531694751</v>
      </c>
    </row>
    <row r="71" spans="2:17" ht="16.5" thickBot="1" x14ac:dyDescent="0.3">
      <c r="B71" s="1913" t="s">
        <v>106</v>
      </c>
      <c r="C71" s="1137">
        <f>SUM(C68:C70)</f>
        <v>24118791.949999999</v>
      </c>
      <c r="D71" s="1137">
        <f>SUM(D68:D70)</f>
        <v>10189626.61774585</v>
      </c>
      <c r="E71" s="1137">
        <f>SUM(E68:E70)</f>
        <v>30523190.61774585</v>
      </c>
      <c r="F71" s="1137">
        <f>SUM(F68:F70)</f>
        <v>29924614.735578008</v>
      </c>
      <c r="G71" s="1137">
        <f>SUM(G68:G70)</f>
        <v>31185206.65782195</v>
      </c>
      <c r="H71" s="2036">
        <f>SUM(C71/$C$71)</f>
        <v>1</v>
      </c>
      <c r="I71" s="1915">
        <f>F71/C71</f>
        <v>1.2407178103121375</v>
      </c>
      <c r="J71" s="1915">
        <f>G71/E71</f>
        <v>1.0216889527823874</v>
      </c>
      <c r="K71" s="2037"/>
      <c r="L71" s="2038"/>
      <c r="M71" s="1961">
        <f>SUM(M68:M70)</f>
        <v>3193478.1601315504</v>
      </c>
      <c r="N71" s="1961">
        <f>SUM(N68:N70)</f>
        <v>52877590.320830658</v>
      </c>
      <c r="O71" s="1961">
        <f>SUM(O68:O70)</f>
        <v>31274.596613574653</v>
      </c>
      <c r="P71" s="1946">
        <f>SUM(C71/M71)</f>
        <v>7.552515076228504</v>
      </c>
      <c r="Q71" s="1946">
        <f>SUM(C71/N71)</f>
        <v>0.45612502013917633</v>
      </c>
    </row>
    <row r="72" spans="2:17" x14ac:dyDescent="0.2">
      <c r="C72" s="706"/>
    </row>
    <row r="74" spans="2:17" x14ac:dyDescent="0.2">
      <c r="B74" s="704" t="s">
        <v>106</v>
      </c>
      <c r="C74" s="824">
        <v>14437497.668232001</v>
      </c>
      <c r="D74" s="704">
        <v>4910143.003350487</v>
      </c>
      <c r="E74" s="704">
        <v>16942997.971582487</v>
      </c>
      <c r="F74" s="704">
        <v>15998816.641131861</v>
      </c>
      <c r="G74" s="704">
        <v>16590577.162449807</v>
      </c>
      <c r="H74" s="704">
        <v>1</v>
      </c>
      <c r="I74" s="704">
        <v>1.1081433229482252</v>
      </c>
      <c r="J74" s="704">
        <v>0.97919961923363408</v>
      </c>
      <c r="M74" s="704">
        <v>1699712.3613202793</v>
      </c>
      <c r="N74" s="704">
        <v>28180415.003679186</v>
      </c>
      <c r="O74" s="704">
        <v>17225.129666071029</v>
      </c>
      <c r="P74" s="704">
        <v>8.4940828794216916</v>
      </c>
      <c r="Q74" s="704">
        <v>0.51232381305765251</v>
      </c>
    </row>
    <row r="76" spans="2:17" ht="13.5" customHeight="1" x14ac:dyDescent="0.2"/>
    <row r="77" spans="2:17" x14ac:dyDescent="0.2">
      <c r="C77" s="821">
        <f>C71-C74</f>
        <v>9681294.2817679979</v>
      </c>
      <c r="D77" s="821">
        <f t="shared" ref="D77:Q77" si="9">D71-D74</f>
        <v>5279483.6143953633</v>
      </c>
      <c r="E77" s="821">
        <f t="shared" si="9"/>
        <v>13580192.646163363</v>
      </c>
      <c r="F77" s="821">
        <f t="shared" si="9"/>
        <v>13925798.094446147</v>
      </c>
      <c r="G77" s="821">
        <f t="shared" si="9"/>
        <v>14594629.495372143</v>
      </c>
      <c r="H77" s="821">
        <f t="shared" si="9"/>
        <v>0</v>
      </c>
      <c r="I77" s="821">
        <f t="shared" si="9"/>
        <v>0.13257448736391231</v>
      </c>
      <c r="J77" s="821">
        <f t="shared" si="9"/>
        <v>4.2489333548753283E-2</v>
      </c>
      <c r="K77" s="821">
        <f t="shared" si="9"/>
        <v>0</v>
      </c>
      <c r="L77" s="821">
        <f t="shared" si="9"/>
        <v>0</v>
      </c>
      <c r="M77" s="821">
        <f t="shared" si="9"/>
        <v>1493765.7988112711</v>
      </c>
      <c r="N77" s="821">
        <f t="shared" si="9"/>
        <v>24697175.317151472</v>
      </c>
      <c r="O77" s="821">
        <f t="shared" si="9"/>
        <v>14049.466947503624</v>
      </c>
      <c r="P77" s="821">
        <f t="shared" si="9"/>
        <v>-0.94156780319318756</v>
      </c>
      <c r="Q77" s="821">
        <f t="shared" si="9"/>
        <v>-5.6198792918476181E-2</v>
      </c>
    </row>
  </sheetData>
  <mergeCells count="6">
    <mergeCell ref="B5:Q5"/>
    <mergeCell ref="B44:Q44"/>
    <mergeCell ref="B1:Q1"/>
    <mergeCell ref="B2:Q2"/>
    <mergeCell ref="B24:Q24"/>
    <mergeCell ref="B29:Q29"/>
  </mergeCells>
  <phoneticPr fontId="0" type="noConversion"/>
  <pageMargins left="0.74" right="0.21" top="0.19" bottom="0.42" header="0.19" footer="0.17"/>
  <pageSetup scale="45" orientation="landscape" r:id="rId1"/>
  <headerFooter alignWithMargins="0">
    <oddFooter>&amp;C&amp;"Arial"&amp;11&amp;K000000Totals may vary due to rounding_x000D_&amp;1#&amp;"Calibri"&amp;12&amp;K008000Internal Use</oddFooter>
  </headerFooter>
  <rowBreaks count="1" manualBreakCount="1">
    <brk id="71" min="1" max="1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pageSetUpPr fitToPage="1"/>
  </sheetPr>
  <dimension ref="B1:V75"/>
  <sheetViews>
    <sheetView zoomScale="75" zoomScaleNormal="100" workbookViewId="0">
      <pane xSplit="2" ySplit="6" topLeftCell="C7" activePane="bottomRight" state="frozen"/>
      <selection activeCell="C12" sqref="C12"/>
      <selection pane="topRight" activeCell="C12" sqref="C12"/>
      <selection pane="bottomLeft" activeCell="C12" sqref="C12"/>
      <selection pane="bottomRight" activeCell="C7" sqref="C7"/>
    </sheetView>
  </sheetViews>
  <sheetFormatPr defaultRowHeight="12.75" x14ac:dyDescent="0.2"/>
  <cols>
    <col min="1" max="1" width="9.140625" style="704"/>
    <col min="2" max="2" width="44.28515625" style="704" customWidth="1"/>
    <col min="3" max="3" width="16.140625" style="704" bestFit="1" customWidth="1"/>
    <col min="4" max="4" width="15.7109375" style="704" customWidth="1"/>
    <col min="5" max="5" width="15.5703125" style="704" customWidth="1"/>
    <col min="6" max="6" width="16.140625" style="704" bestFit="1" customWidth="1"/>
    <col min="7" max="7" width="15.7109375" style="704" customWidth="1"/>
    <col min="8" max="8" width="12.28515625" style="704" customWidth="1"/>
    <col min="9" max="9" width="11.5703125" style="704" customWidth="1"/>
    <col min="10" max="10" width="11.85546875" style="704" customWidth="1"/>
    <col min="11" max="11" width="11.28515625" style="820" customWidth="1"/>
    <col min="12" max="12" width="21.140625" style="704" customWidth="1"/>
    <col min="13" max="13" width="13.28515625" style="704" customWidth="1"/>
    <col min="14" max="14" width="16.85546875" style="704" bestFit="1" customWidth="1"/>
    <col min="15" max="15" width="11.28515625" style="704" customWidth="1"/>
    <col min="16" max="16" width="10.140625" style="704" customWidth="1"/>
    <col min="17" max="17" width="13.85546875" style="704" customWidth="1"/>
    <col min="18" max="18" width="10.28515625" style="704" bestFit="1" customWidth="1"/>
    <col min="19" max="16384" width="9.140625" style="704"/>
  </cols>
  <sheetData>
    <row r="1" spans="2:21" ht="18" x14ac:dyDescent="0.25">
      <c r="B1" s="2870" t="s">
        <v>78</v>
      </c>
      <c r="C1" s="2870"/>
      <c r="D1" s="2870"/>
      <c r="E1" s="2870"/>
      <c r="F1" s="2870"/>
      <c r="G1" s="2870"/>
      <c r="H1" s="2870"/>
      <c r="I1" s="2870"/>
      <c r="J1" s="2870"/>
      <c r="K1" s="2870"/>
      <c r="L1" s="2870"/>
      <c r="M1" s="2870"/>
      <c r="N1" s="2870"/>
      <c r="O1" s="2870"/>
      <c r="P1" s="2870"/>
      <c r="Q1" s="2870"/>
    </row>
    <row r="2" spans="2:21" ht="18" customHeight="1" x14ac:dyDescent="0.25">
      <c r="B2" s="2870" t="s">
        <v>246</v>
      </c>
      <c r="C2" s="2870"/>
      <c r="D2" s="2870"/>
      <c r="E2" s="2870"/>
      <c r="F2" s="2870"/>
      <c r="G2" s="2870"/>
      <c r="H2" s="2870"/>
      <c r="I2" s="2870"/>
      <c r="J2" s="2870"/>
      <c r="K2" s="2870"/>
      <c r="L2" s="2870"/>
      <c r="M2" s="2870"/>
      <c r="N2" s="2870"/>
      <c r="O2" s="2870"/>
      <c r="P2" s="2870"/>
      <c r="Q2" s="2870"/>
    </row>
    <row r="3" spans="2:21" ht="18" customHeight="1" x14ac:dyDescent="0.25">
      <c r="B3" s="2870" t="s">
        <v>296</v>
      </c>
      <c r="C3" s="2870"/>
      <c r="D3" s="2870"/>
      <c r="E3" s="2870"/>
      <c r="F3" s="2870"/>
      <c r="G3" s="2870"/>
      <c r="H3" s="2870"/>
      <c r="I3" s="2870"/>
      <c r="J3" s="2870"/>
      <c r="K3" s="2870"/>
      <c r="L3" s="2870"/>
      <c r="M3" s="2870"/>
      <c r="N3" s="2870"/>
      <c r="O3" s="2870"/>
      <c r="P3" s="2870"/>
      <c r="Q3" s="2870"/>
    </row>
    <row r="4" spans="2:21" ht="13.5" thickBot="1" x14ac:dyDescent="0.25">
      <c r="C4" s="243"/>
    </row>
    <row r="5" spans="2:21" ht="63.75" thickBot="1" x14ac:dyDescent="0.3">
      <c r="B5" s="315" t="s">
        <v>79</v>
      </c>
      <c r="C5" s="315" t="s">
        <v>247</v>
      </c>
      <c r="D5" s="315" t="s">
        <v>248</v>
      </c>
      <c r="E5" s="700" t="s">
        <v>249</v>
      </c>
      <c r="F5" s="700" t="s">
        <v>107</v>
      </c>
      <c r="G5" s="700" t="s">
        <v>161</v>
      </c>
      <c r="H5" s="316" t="s">
        <v>250</v>
      </c>
      <c r="I5" s="317" t="s">
        <v>80</v>
      </c>
      <c r="J5" s="317" t="s">
        <v>162</v>
      </c>
      <c r="K5" s="701" t="s">
        <v>163</v>
      </c>
      <c r="L5" s="318" t="s">
        <v>81</v>
      </c>
      <c r="M5" s="702" t="s">
        <v>166</v>
      </c>
      <c r="N5" s="702" t="s">
        <v>165</v>
      </c>
      <c r="O5" s="702" t="s">
        <v>203</v>
      </c>
      <c r="P5" s="319" t="s">
        <v>164</v>
      </c>
      <c r="Q5" s="320" t="s">
        <v>167</v>
      </c>
    </row>
    <row r="6" spans="2:21" ht="16.5" thickBot="1" x14ac:dyDescent="0.3">
      <c r="B6" s="2874" t="s">
        <v>5</v>
      </c>
      <c r="C6" s="2875"/>
      <c r="D6" s="2875"/>
      <c r="E6" s="2875"/>
      <c r="F6" s="2875"/>
      <c r="G6" s="2875"/>
      <c r="H6" s="2875"/>
      <c r="I6" s="2875"/>
      <c r="J6" s="2875"/>
      <c r="K6" s="2875"/>
      <c r="L6" s="2875"/>
      <c r="M6" s="2875"/>
      <c r="N6" s="2875"/>
      <c r="O6" s="2875"/>
      <c r="P6" s="2875"/>
      <c r="Q6" s="2876"/>
    </row>
    <row r="7" spans="2:21" ht="15.75" customHeight="1" x14ac:dyDescent="0.2">
      <c r="B7" s="322" t="s">
        <v>232</v>
      </c>
      <c r="C7" s="331">
        <f>'2012 Combined Table A1 -Inc.Fun'!G14</f>
        <v>2216500</v>
      </c>
      <c r="D7" s="323">
        <v>0</v>
      </c>
      <c r="E7" s="323">
        <f>+C7+D7</f>
        <v>2216500</v>
      </c>
      <c r="F7" s="323">
        <v>2996923.9902394433</v>
      </c>
      <c r="G7" s="323">
        <v>3014522.2497656592</v>
      </c>
      <c r="H7" s="324">
        <f>SUM(C7/$C$69)</f>
        <v>0.16988340426383813</v>
      </c>
      <c r="I7" s="325">
        <f t="shared" ref="I7:I23" si="0">F7/C7</f>
        <v>1.3520974465325708</v>
      </c>
      <c r="J7" s="325">
        <f t="shared" ref="J7:J23" si="1">G7/E7</f>
        <v>1.3600371079475115</v>
      </c>
      <c r="K7" s="803">
        <v>3269.9624371684517</v>
      </c>
      <c r="L7" s="326" t="s">
        <v>241</v>
      </c>
      <c r="M7" s="899">
        <v>315965.41924922296</v>
      </c>
      <c r="N7" s="899">
        <v>5920875.2178523932</v>
      </c>
      <c r="O7" s="899">
        <v>2804.6484194346276</v>
      </c>
      <c r="P7" s="328">
        <f t="shared" ref="P7:P23" si="2">C7/M7</f>
        <v>7.0150081780047548</v>
      </c>
      <c r="Q7" s="329">
        <f t="shared" ref="Q7:Q23" si="3">C7/N7</f>
        <v>0.37435343905186436</v>
      </c>
    </row>
    <row r="8" spans="2:21" ht="15.75" customHeight="1" x14ac:dyDescent="0.2">
      <c r="B8" s="322" t="s">
        <v>233</v>
      </c>
      <c r="C8" s="331" t="e">
        <f>'2012 Combined Table A1 -Inc.Fun'!H14</f>
        <v>#REF!</v>
      </c>
      <c r="D8" s="331" t="e">
        <f>E8-C8</f>
        <v>#REF!</v>
      </c>
      <c r="E8" s="874">
        <v>2104516.477798624</v>
      </c>
      <c r="F8" s="874">
        <v>2475314.1808935283</v>
      </c>
      <c r="G8" s="874">
        <v>2798560.6054846193</v>
      </c>
      <c r="H8" s="332" t="e">
        <f>SUM(C8/$C$70)</f>
        <v>#REF!</v>
      </c>
      <c r="I8" s="333" t="e">
        <f t="shared" si="0"/>
        <v>#REF!</v>
      </c>
      <c r="J8" s="333">
        <f t="shared" si="1"/>
        <v>1.3297879275395279</v>
      </c>
      <c r="K8" s="900">
        <v>3914.3118855982989</v>
      </c>
      <c r="L8" s="326" t="s">
        <v>241</v>
      </c>
      <c r="M8" s="901">
        <v>266478.27450069552</v>
      </c>
      <c r="N8" s="901">
        <v>4774788.0232136128</v>
      </c>
      <c r="O8" s="901">
        <v>1775.9943601798352</v>
      </c>
      <c r="P8" s="335" t="e">
        <f t="shared" si="2"/>
        <v>#REF!</v>
      </c>
      <c r="Q8" s="336" t="e">
        <f t="shared" si="3"/>
        <v>#REF!</v>
      </c>
    </row>
    <row r="9" spans="2:21" ht="15.75" customHeight="1" thickBot="1" x14ac:dyDescent="0.25">
      <c r="B9" s="322" t="s">
        <v>234</v>
      </c>
      <c r="C9" s="331" t="e">
        <f>'2012 Combined Table A1 -Inc.Fun'!I14</f>
        <v>#REF!</v>
      </c>
      <c r="D9" s="331" t="e">
        <f>E9-C9</f>
        <v>#REF!</v>
      </c>
      <c r="E9" s="874">
        <v>2343300.7986241402</v>
      </c>
      <c r="F9" s="874">
        <v>2795281.3846441843</v>
      </c>
      <c r="G9" s="874">
        <v>3160311.6988914451</v>
      </c>
      <c r="H9" s="337" t="e">
        <f>SUM(C9/$C$71)</f>
        <v>#REF!</v>
      </c>
      <c r="I9" s="338" t="e">
        <f t="shared" si="0"/>
        <v>#REF!</v>
      </c>
      <c r="J9" s="338">
        <f t="shared" si="1"/>
        <v>1.3486581410064853</v>
      </c>
      <c r="K9" s="900">
        <v>4420.2886372810854</v>
      </c>
      <c r="L9" s="326" t="s">
        <v>241</v>
      </c>
      <c r="M9" s="901">
        <v>300924.12747985509</v>
      </c>
      <c r="N9" s="901">
        <v>5391992.7336630523</v>
      </c>
      <c r="O9" s="901">
        <v>2005.5651975668491</v>
      </c>
      <c r="P9" s="341" t="e">
        <f t="shared" si="2"/>
        <v>#REF!</v>
      </c>
      <c r="Q9" s="336" t="e">
        <f t="shared" si="3"/>
        <v>#REF!</v>
      </c>
    </row>
    <row r="10" spans="2:21" ht="17.25" customHeight="1" thickBot="1" x14ac:dyDescent="0.3">
      <c r="B10" s="342" t="s">
        <v>235</v>
      </c>
      <c r="C10" s="343" t="e">
        <f>SUM(C7:C9)</f>
        <v>#REF!</v>
      </c>
      <c r="D10" s="902" t="e">
        <f>SUM(D7:D9)</f>
        <v>#REF!</v>
      </c>
      <c r="E10" s="343">
        <f>SUM(E7:E9)</f>
        <v>6664317.2764227642</v>
      </c>
      <c r="F10" s="343">
        <f>SUM(F7:F9)</f>
        <v>8267519.5557771558</v>
      </c>
      <c r="G10" s="343">
        <f>SUM(G7:G9)</f>
        <v>8973394.5541417226</v>
      </c>
      <c r="H10" s="344" t="e">
        <f>SUM(C10/$C$72)</f>
        <v>#REF!</v>
      </c>
      <c r="I10" s="345" t="e">
        <f t="shared" si="0"/>
        <v>#REF!</v>
      </c>
      <c r="J10" s="345">
        <f t="shared" si="1"/>
        <v>1.3464836954699151</v>
      </c>
      <c r="K10" s="346">
        <f>SUM(K7:K9)</f>
        <v>11604.562960047835</v>
      </c>
      <c r="L10" s="347" t="s">
        <v>241</v>
      </c>
      <c r="M10" s="348">
        <f>SUM(M7:M9)</f>
        <v>883367.82122977357</v>
      </c>
      <c r="N10" s="348">
        <f>SUM(N7:N9)</f>
        <v>16087655.974729057</v>
      </c>
      <c r="O10" s="348">
        <f>SUM(O7:O9)</f>
        <v>6586.2079771813114</v>
      </c>
      <c r="P10" s="349" t="e">
        <f t="shared" si="2"/>
        <v>#REF!</v>
      </c>
      <c r="Q10" s="350" t="e">
        <f t="shared" si="3"/>
        <v>#REF!</v>
      </c>
      <c r="R10" s="557" t="s">
        <v>291</v>
      </c>
      <c r="S10" s="704" t="s">
        <v>290</v>
      </c>
    </row>
    <row r="11" spans="2:21" ht="15" x14ac:dyDescent="0.2">
      <c r="B11" s="322" t="s">
        <v>139</v>
      </c>
      <c r="C11" s="331">
        <f>'2012 Combined Table A1 -Inc.Fun'!G15</f>
        <v>3101859</v>
      </c>
      <c r="D11" s="323">
        <v>413418.66934744408</v>
      </c>
      <c r="E11" s="331">
        <f>+C11+D11</f>
        <v>3515277.6693474441</v>
      </c>
      <c r="F11" s="351">
        <v>4579972.1665173788</v>
      </c>
      <c r="G11" s="351">
        <v>4620482.5025814781</v>
      </c>
      <c r="H11" s="352">
        <f>SUM(C11/$C$69)</f>
        <v>0.23774164965775985</v>
      </c>
      <c r="I11" s="325">
        <f t="shared" si="0"/>
        <v>1.4765249376317167</v>
      </c>
      <c r="J11" s="325">
        <f t="shared" si="1"/>
        <v>1.3144004363783865</v>
      </c>
      <c r="K11" s="903">
        <v>4681.5766458422258</v>
      </c>
      <c r="L11" s="904" t="s">
        <v>292</v>
      </c>
      <c r="M11" s="898">
        <v>490733.15721887007</v>
      </c>
      <c r="N11" s="898">
        <v>8975875.7536140662</v>
      </c>
      <c r="O11" s="899">
        <v>4210.2975086044744</v>
      </c>
      <c r="P11" s="328">
        <f t="shared" si="2"/>
        <v>6.3208669607310668</v>
      </c>
      <c r="Q11" s="356">
        <f t="shared" si="3"/>
        <v>0.34557731024196281</v>
      </c>
      <c r="R11" s="821">
        <f>C11/K11</f>
        <v>662.56717226979606</v>
      </c>
      <c r="S11" s="822">
        <f>M11/K11</f>
        <v>104.82219866136275</v>
      </c>
      <c r="T11" s="823"/>
    </row>
    <row r="12" spans="2:21" ht="15" x14ac:dyDescent="0.2">
      <c r="B12" s="330" t="s">
        <v>140</v>
      </c>
      <c r="C12" s="331" t="e">
        <f>'2012 Combined Table A1 -Inc.Fun'!H15</f>
        <v>#REF!</v>
      </c>
      <c r="D12" s="331" t="e">
        <f>E12-C12</f>
        <v>#REF!</v>
      </c>
      <c r="E12" s="874">
        <v>3146219.8498222409</v>
      </c>
      <c r="F12" s="874">
        <v>4344408.6673302036</v>
      </c>
      <c r="G12" s="874">
        <v>4623576.7111747498</v>
      </c>
      <c r="H12" s="357" t="e">
        <f>SUM(C12/$C$70)</f>
        <v>#REF!</v>
      </c>
      <c r="I12" s="333" t="e">
        <f t="shared" si="0"/>
        <v>#REF!</v>
      </c>
      <c r="J12" s="333">
        <f t="shared" si="1"/>
        <v>1.4695656794092053</v>
      </c>
      <c r="K12" s="900">
        <v>3680.7051451398265</v>
      </c>
      <c r="L12" s="907" t="s">
        <v>292</v>
      </c>
      <c r="M12" s="901">
        <v>432955.65944038052</v>
      </c>
      <c r="N12" s="901">
        <v>8545672.5718868561</v>
      </c>
      <c r="O12" s="901">
        <v>3907.3914527187608</v>
      </c>
      <c r="P12" s="335" t="e">
        <f t="shared" si="2"/>
        <v>#REF!</v>
      </c>
      <c r="Q12" s="358" t="e">
        <f t="shared" si="3"/>
        <v>#REF!</v>
      </c>
      <c r="R12" s="821" t="e">
        <f>C12/K12</f>
        <v>#REF!</v>
      </c>
      <c r="S12" s="822"/>
      <c r="T12" s="823"/>
      <c r="U12" s="822"/>
    </row>
    <row r="13" spans="2:21" ht="15.75" thickBot="1" x14ac:dyDescent="0.25">
      <c r="B13" s="359" t="s">
        <v>141</v>
      </c>
      <c r="C13" s="331" t="e">
        <f>'2012 Combined Table A1 -Inc.Fun'!I15</f>
        <v>#REF!</v>
      </c>
      <c r="D13" s="331" t="e">
        <f>E13-C13</f>
        <v>#REF!</v>
      </c>
      <c r="E13" s="874">
        <v>3389368.3985061818</v>
      </c>
      <c r="F13" s="874">
        <v>4372265.768465274</v>
      </c>
      <c r="G13" s="874">
        <v>4647990.2028165245</v>
      </c>
      <c r="H13" s="360" t="e">
        <f>SUM(C13/$C$71)</f>
        <v>#REF!</v>
      </c>
      <c r="I13" s="361" t="e">
        <f t="shared" si="0"/>
        <v>#REF!</v>
      </c>
      <c r="J13" s="361">
        <f t="shared" si="1"/>
        <v>1.371344054799432</v>
      </c>
      <c r="K13" s="905">
        <v>3704.7398366515868</v>
      </c>
      <c r="L13" s="906" t="s">
        <v>292</v>
      </c>
      <c r="M13" s="901">
        <v>435730.55195069511</v>
      </c>
      <c r="N13" s="901">
        <v>8600511.6872217599</v>
      </c>
      <c r="O13" s="901">
        <v>3932.3666888195808</v>
      </c>
      <c r="P13" s="362" t="e">
        <f t="shared" si="2"/>
        <v>#REF!</v>
      </c>
      <c r="Q13" s="329" t="e">
        <f t="shared" si="3"/>
        <v>#REF!</v>
      </c>
      <c r="R13" s="821" t="e">
        <f>C13/K13</f>
        <v>#REF!</v>
      </c>
      <c r="S13" s="822"/>
      <c r="T13" s="823"/>
      <c r="U13" s="822"/>
    </row>
    <row r="14" spans="2:21" ht="17.25" customHeight="1" thickBot="1" x14ac:dyDescent="0.3">
      <c r="B14" s="342" t="s">
        <v>146</v>
      </c>
      <c r="C14" s="343" t="e">
        <f>SUM(C11:C13)</f>
        <v>#REF!</v>
      </c>
      <c r="D14" s="343" t="e">
        <f>SUM(D11:D13)</f>
        <v>#REF!</v>
      </c>
      <c r="E14" s="343">
        <f>SUM(E11:E13)</f>
        <v>10050865.917675866</v>
      </c>
      <c r="F14" s="343">
        <f>SUM(F11:F13)</f>
        <v>13296646.602312855</v>
      </c>
      <c r="G14" s="343">
        <f>SUM(G11:G13)</f>
        <v>13892049.416572753</v>
      </c>
      <c r="H14" s="344" t="e">
        <f>SUM(C14/$C$72)</f>
        <v>#REF!</v>
      </c>
      <c r="I14" s="345" t="e">
        <f t="shared" si="0"/>
        <v>#REF!</v>
      </c>
      <c r="J14" s="345">
        <f t="shared" si="1"/>
        <v>1.3821743848101311</v>
      </c>
      <c r="K14" s="346">
        <f>SUM(K11:K13)</f>
        <v>12067.021627633638</v>
      </c>
      <c r="L14" s="347" t="s">
        <v>241</v>
      </c>
      <c r="M14" s="348">
        <f>SUM(M11:M13)</f>
        <v>1359419.3686099458</v>
      </c>
      <c r="N14" s="348">
        <f>SUM(N11:N13)</f>
        <v>26122060.012722678</v>
      </c>
      <c r="O14" s="348">
        <f>SUM(O11:O13)</f>
        <v>12050.055650142816</v>
      </c>
      <c r="P14" s="349" t="e">
        <f t="shared" si="2"/>
        <v>#REF!</v>
      </c>
      <c r="Q14" s="363" t="e">
        <f t="shared" si="3"/>
        <v>#REF!</v>
      </c>
    </row>
    <row r="15" spans="2:21" ht="15.75" customHeight="1" x14ac:dyDescent="0.2">
      <c r="B15" s="322" t="s">
        <v>169</v>
      </c>
      <c r="C15" s="331">
        <f>'2012 Combined Table A1 -Inc.Fun'!G16</f>
        <v>599999.80000000005</v>
      </c>
      <c r="D15" s="323">
        <v>106355.13670198395</v>
      </c>
      <c r="E15" s="323">
        <f>+C15+D15</f>
        <v>706354.93670198403</v>
      </c>
      <c r="F15" s="351">
        <v>580018.9956259483</v>
      </c>
      <c r="G15" s="351">
        <v>580018.9956259483</v>
      </c>
      <c r="H15" s="352">
        <f>SUM(C15/$C$69)</f>
        <v>4.5986920181196496E-2</v>
      </c>
      <c r="I15" s="325">
        <f t="shared" si="0"/>
        <v>0.96669864827612983</v>
      </c>
      <c r="J15" s="325">
        <f t="shared" si="1"/>
        <v>0.82114382654999729</v>
      </c>
      <c r="K15" s="878">
        <v>250.2277745957694</v>
      </c>
      <c r="L15" s="354" t="s">
        <v>241</v>
      </c>
      <c r="M15" s="355">
        <v>49085.343470027423</v>
      </c>
      <c r="N15" s="355">
        <v>1227133.5867506855</v>
      </c>
      <c r="O15" s="327">
        <v>416.77064703400708</v>
      </c>
      <c r="P15" s="328">
        <f t="shared" si="2"/>
        <v>12.223603984076693</v>
      </c>
      <c r="Q15" s="356">
        <f t="shared" si="3"/>
        <v>0.48894415936306773</v>
      </c>
      <c r="R15" s="821"/>
    </row>
    <row r="16" spans="2:21" ht="15.75" customHeight="1" x14ac:dyDescent="0.2">
      <c r="B16" s="330" t="s">
        <v>170</v>
      </c>
      <c r="C16" s="331" t="e">
        <f>'2012 Combined Table A1 -Inc.Fun'!H16</f>
        <v>#REF!</v>
      </c>
      <c r="D16" s="331" t="e">
        <f>E16-C16</f>
        <v>#REF!</v>
      </c>
      <c r="E16" s="874">
        <v>653501.31304347829</v>
      </c>
      <c r="F16" s="874">
        <v>354592.68422205857</v>
      </c>
      <c r="G16" s="874">
        <v>354592.68422205857</v>
      </c>
      <c r="H16" s="357" t="e">
        <f>SUM(C16/$C$70)</f>
        <v>#REF!</v>
      </c>
      <c r="I16" s="333" t="e">
        <f t="shared" si="0"/>
        <v>#REF!</v>
      </c>
      <c r="J16" s="333">
        <f t="shared" si="1"/>
        <v>0.54260439442830477</v>
      </c>
      <c r="K16" s="908">
        <v>107</v>
      </c>
      <c r="L16" s="334" t="s">
        <v>241</v>
      </c>
      <c r="M16" s="909">
        <v>29479.6121042495</v>
      </c>
      <c r="N16" s="909">
        <v>736990.30260623747</v>
      </c>
      <c r="O16" s="909">
        <v>282.27962005429453</v>
      </c>
      <c r="P16" s="335" t="e">
        <f t="shared" si="2"/>
        <v>#REF!</v>
      </c>
      <c r="Q16" s="358" t="e">
        <f t="shared" si="3"/>
        <v>#REF!</v>
      </c>
      <c r="R16" s="821"/>
    </row>
    <row r="17" spans="2:22" ht="15.75" customHeight="1" thickBot="1" x14ac:dyDescent="0.25">
      <c r="B17" s="359" t="s">
        <v>171</v>
      </c>
      <c r="C17" s="331" t="e">
        <f>'2012 Combined Table A1 -Inc.Fun'!I16</f>
        <v>#REF!</v>
      </c>
      <c r="D17" s="331" t="e">
        <f>E17-C17</f>
        <v>#REF!</v>
      </c>
      <c r="E17" s="874">
        <v>555281.47826086963</v>
      </c>
      <c r="F17" s="874">
        <v>298255.52878490905</v>
      </c>
      <c r="G17" s="874">
        <v>298255.52878490905</v>
      </c>
      <c r="H17" s="360" t="e">
        <f>SUM(C17/$C$71)</f>
        <v>#REF!</v>
      </c>
      <c r="I17" s="361" t="e">
        <f t="shared" si="0"/>
        <v>#REF!</v>
      </c>
      <c r="J17" s="361">
        <f t="shared" si="1"/>
        <v>0.53712493656197458</v>
      </c>
      <c r="K17" s="908">
        <v>90</v>
      </c>
      <c r="L17" s="339" t="s">
        <v>241</v>
      </c>
      <c r="M17" s="909">
        <v>24795.935414789295</v>
      </c>
      <c r="N17" s="909">
        <v>619898.38536973239</v>
      </c>
      <c r="O17" s="909">
        <v>237.43145612043466</v>
      </c>
      <c r="P17" s="362" t="e">
        <f t="shared" si="2"/>
        <v>#REF!</v>
      </c>
      <c r="Q17" s="329" t="e">
        <f t="shared" si="3"/>
        <v>#REF!</v>
      </c>
    </row>
    <row r="18" spans="2:22" ht="17.25" customHeight="1" thickBot="1" x14ac:dyDescent="0.3">
      <c r="B18" s="342" t="s">
        <v>204</v>
      </c>
      <c r="C18" s="343" t="e">
        <f>SUM(C15:C17)</f>
        <v>#REF!</v>
      </c>
      <c r="D18" s="343" t="e">
        <f>SUM(D15:D17)</f>
        <v>#REF!</v>
      </c>
      <c r="E18" s="343">
        <f>SUM(E15:E17)</f>
        <v>1915137.7280063319</v>
      </c>
      <c r="F18" s="343">
        <f>SUM(F15:F17)</f>
        <v>1232867.208632916</v>
      </c>
      <c r="G18" s="343">
        <f>SUM(G15:G17)</f>
        <v>1232867.208632916</v>
      </c>
      <c r="H18" s="344" t="e">
        <f>SUM(C18/$C$72)</f>
        <v>#REF!</v>
      </c>
      <c r="I18" s="345" t="e">
        <f t="shared" si="0"/>
        <v>#REF!</v>
      </c>
      <c r="J18" s="345">
        <f t="shared" si="1"/>
        <v>0.64374858821059155</v>
      </c>
      <c r="K18" s="346">
        <f>SUM(K15:K17)</f>
        <v>447.2277745957694</v>
      </c>
      <c r="L18" s="347" t="s">
        <v>241</v>
      </c>
      <c r="M18" s="348">
        <f>SUM(M15:M17)</f>
        <v>103360.89098906622</v>
      </c>
      <c r="N18" s="348">
        <f>SUM(N15:N17)</f>
        <v>2584022.2747266553</v>
      </c>
      <c r="O18" s="348">
        <f>SUM(O15:O17)</f>
        <v>936.48172320873618</v>
      </c>
      <c r="P18" s="349" t="e">
        <f t="shared" si="2"/>
        <v>#REF!</v>
      </c>
      <c r="Q18" s="363" t="e">
        <f t="shared" si="3"/>
        <v>#REF!</v>
      </c>
    </row>
    <row r="19" spans="2:22" ht="15.75" customHeight="1" x14ac:dyDescent="0.2">
      <c r="B19" s="322" t="s">
        <v>142</v>
      </c>
      <c r="C19" s="331">
        <f>'2012 Combined Table A1 -Inc.Fun'!G17</f>
        <v>70000</v>
      </c>
      <c r="D19" s="323">
        <v>170752.36500000002</v>
      </c>
      <c r="E19" s="323">
        <f>+C19+D19</f>
        <v>240752.36500000002</v>
      </c>
      <c r="F19" s="351">
        <v>152765.46057746356</v>
      </c>
      <c r="G19" s="351">
        <v>152765.46057746356</v>
      </c>
      <c r="H19" s="352">
        <f>SUM(C19/$C$69)</f>
        <v>5.3651424761870826E-3</v>
      </c>
      <c r="I19" s="325">
        <f t="shared" si="0"/>
        <v>2.1823637225351935</v>
      </c>
      <c r="J19" s="325">
        <f t="shared" si="1"/>
        <v>0.63453358216216715</v>
      </c>
      <c r="K19" s="878">
        <v>569.17455000000007</v>
      </c>
      <c r="L19" s="354" t="s">
        <v>242</v>
      </c>
      <c r="M19" s="355">
        <v>24360.670740000001</v>
      </c>
      <c r="N19" s="355">
        <v>292328.04888000002</v>
      </c>
      <c r="O19" s="327">
        <v>78.197753075400016</v>
      </c>
      <c r="P19" s="328">
        <f t="shared" si="2"/>
        <v>2.8734840984924372</v>
      </c>
      <c r="Q19" s="356">
        <f t="shared" si="3"/>
        <v>0.2394570082077031</v>
      </c>
      <c r="R19" s="822"/>
    </row>
    <row r="20" spans="2:22" ht="15.75" customHeight="1" x14ac:dyDescent="0.2">
      <c r="B20" s="330" t="s">
        <v>143</v>
      </c>
      <c r="C20" s="331" t="e">
        <f>'2012 Combined Table A1 -Inc.Fun'!H17</f>
        <v>#REF!</v>
      </c>
      <c r="D20" s="331" t="e">
        <f>E20-C20</f>
        <v>#REF!</v>
      </c>
      <c r="E20" s="874">
        <v>111455</v>
      </c>
      <c r="F20" s="874">
        <v>65789.662172962737</v>
      </c>
      <c r="G20" s="874">
        <v>65789.662172962737</v>
      </c>
      <c r="H20" s="357" t="e">
        <f>SUM(C20/$C$70)</f>
        <v>#REF!</v>
      </c>
      <c r="I20" s="333" t="e">
        <f t="shared" si="0"/>
        <v>#REF!</v>
      </c>
      <c r="J20" s="333">
        <f t="shared" si="1"/>
        <v>0.59028004282412394</v>
      </c>
      <c r="K20" s="908">
        <v>238</v>
      </c>
      <c r="L20" s="334" t="s">
        <v>242</v>
      </c>
      <c r="M20" s="909">
        <v>10186.4</v>
      </c>
      <c r="N20" s="909">
        <v>122236.79999999999</v>
      </c>
      <c r="O20" s="909">
        <v>32.698344000000006</v>
      </c>
      <c r="P20" s="335" t="e">
        <f t="shared" si="2"/>
        <v>#REF!</v>
      </c>
      <c r="Q20" s="358" t="e">
        <f t="shared" si="3"/>
        <v>#REF!</v>
      </c>
      <c r="R20" s="822"/>
    </row>
    <row r="21" spans="2:22" ht="15.75" customHeight="1" thickBot="1" x14ac:dyDescent="0.25">
      <c r="B21" s="359" t="s">
        <v>144</v>
      </c>
      <c r="C21" s="331" t="e">
        <f>'2012 Combined Table A1 -Inc.Fun'!I17</f>
        <v>#REF!</v>
      </c>
      <c r="D21" s="331" t="e">
        <f>E21-C21</f>
        <v>#REF!</v>
      </c>
      <c r="E21" s="874">
        <v>132011</v>
      </c>
      <c r="F21" s="874">
        <v>79058.165468350169</v>
      </c>
      <c r="G21" s="874">
        <v>79058.165468350169</v>
      </c>
      <c r="H21" s="360" t="e">
        <f>SUM(C21/$C$71)</f>
        <v>#REF!</v>
      </c>
      <c r="I21" s="361" t="e">
        <f t="shared" si="0"/>
        <v>#REF!</v>
      </c>
      <c r="J21" s="361">
        <f t="shared" si="1"/>
        <v>0.59887558967321031</v>
      </c>
      <c r="K21" s="908">
        <v>286</v>
      </c>
      <c r="L21" s="339" t="s">
        <v>242</v>
      </c>
      <c r="M21" s="909">
        <v>12240.8</v>
      </c>
      <c r="N21" s="909">
        <v>146889.59999999998</v>
      </c>
      <c r="O21" s="909">
        <v>39.292968000000002</v>
      </c>
      <c r="P21" s="362" t="e">
        <f t="shared" si="2"/>
        <v>#REF!</v>
      </c>
      <c r="Q21" s="329" t="e">
        <f t="shared" si="3"/>
        <v>#REF!</v>
      </c>
      <c r="R21" s="822"/>
    </row>
    <row r="22" spans="2:22" ht="17.25" customHeight="1" thickBot="1" x14ac:dyDescent="0.3">
      <c r="B22" s="342" t="s">
        <v>145</v>
      </c>
      <c r="C22" s="684" t="e">
        <f>SUM(C19:C21)</f>
        <v>#REF!</v>
      </c>
      <c r="D22" s="618" t="e">
        <f>SUM(D19:D21)</f>
        <v>#REF!</v>
      </c>
      <c r="E22" s="343">
        <f>SUM(E19:E21)</f>
        <v>484218.36499999999</v>
      </c>
      <c r="F22" s="343">
        <f>SUM(F19:F21)</f>
        <v>297613.28821877646</v>
      </c>
      <c r="G22" s="343">
        <f>SUM(G19:G21)</f>
        <v>297613.28821877646</v>
      </c>
      <c r="H22" s="344" t="e">
        <f>SUM(C22/$C$72)</f>
        <v>#REF!</v>
      </c>
      <c r="I22" s="345" t="e">
        <f t="shared" si="0"/>
        <v>#REF!</v>
      </c>
      <c r="J22" s="345">
        <f t="shared" si="1"/>
        <v>0.61462618878318764</v>
      </c>
      <c r="K22" s="346">
        <f>SUM(K19:K21)</f>
        <v>1093.1745500000002</v>
      </c>
      <c r="L22" s="619" t="s">
        <v>242</v>
      </c>
      <c r="M22" s="348">
        <f>SUM(M19:M21)</f>
        <v>46787.870739999998</v>
      </c>
      <c r="N22" s="348">
        <f>SUM(N19:N21)</f>
        <v>561454.44888000004</v>
      </c>
      <c r="O22" s="348">
        <f>SUM(O19:O21)</f>
        <v>150.18906507540004</v>
      </c>
      <c r="P22" s="349" t="e">
        <f t="shared" si="2"/>
        <v>#REF!</v>
      </c>
      <c r="Q22" s="363" t="e">
        <f t="shared" si="3"/>
        <v>#REF!</v>
      </c>
    </row>
    <row r="23" spans="2:22" ht="17.25" customHeight="1" thickBot="1" x14ac:dyDescent="0.3">
      <c r="B23" s="364" t="s">
        <v>88</v>
      </c>
      <c r="C23" s="365" t="e">
        <f>C10+C14+C18+C22</f>
        <v>#REF!</v>
      </c>
      <c r="D23" s="750" t="e">
        <f>D10+D14+D18+D22</f>
        <v>#REF!</v>
      </c>
      <c r="E23" s="365">
        <f>E10+E14+E18+E22</f>
        <v>19114539.287104961</v>
      </c>
      <c r="F23" s="365">
        <f>F10+F14+F18+F22</f>
        <v>23094646.654941704</v>
      </c>
      <c r="G23" s="365">
        <f>G10+G14+G18+G22</f>
        <v>24395924.46756617</v>
      </c>
      <c r="H23" s="366" t="e">
        <f>SUM(C23/C72)</f>
        <v>#REF!</v>
      </c>
      <c r="I23" s="317" t="e">
        <f t="shared" si="0"/>
        <v>#REF!</v>
      </c>
      <c r="J23" s="317">
        <f t="shared" si="1"/>
        <v>1.2763019867302863</v>
      </c>
      <c r="K23" s="805">
        <f>K10+K14+K18+K22</f>
        <v>25211.98691227724</v>
      </c>
      <c r="L23" s="315" t="s">
        <v>243</v>
      </c>
      <c r="M23" s="348">
        <f>M10+M14+M18+M22</f>
        <v>2392935.9515687856</v>
      </c>
      <c r="N23" s="348">
        <f>N10+N14+N18+N22</f>
        <v>45355192.711058393</v>
      </c>
      <c r="O23" s="348">
        <f>O10+O14+O18+O22</f>
        <v>19722.934415608266</v>
      </c>
      <c r="P23" s="367" t="e">
        <f t="shared" si="2"/>
        <v>#REF!</v>
      </c>
      <c r="Q23" s="367" t="e">
        <f t="shared" si="3"/>
        <v>#REF!</v>
      </c>
    </row>
    <row r="24" spans="2:22" ht="15.75" customHeight="1" x14ac:dyDescent="0.25">
      <c r="B24" s="368"/>
      <c r="C24" s="369"/>
      <c r="D24" s="369"/>
      <c r="E24" s="369"/>
      <c r="F24" s="369"/>
      <c r="G24" s="369"/>
      <c r="H24" s="370"/>
      <c r="I24" s="371"/>
      <c r="J24" s="371"/>
      <c r="K24" s="372"/>
      <c r="L24" s="373"/>
      <c r="M24" s="374"/>
      <c r="N24" s="374"/>
      <c r="O24" s="374"/>
      <c r="P24" s="375"/>
      <c r="Q24" s="376"/>
    </row>
    <row r="25" spans="2:22" ht="15.75" customHeight="1" thickBot="1" x14ac:dyDescent="0.3">
      <c r="B25" s="2880" t="s">
        <v>131</v>
      </c>
      <c r="C25" s="2881"/>
      <c r="D25" s="2881"/>
      <c r="E25" s="2881"/>
      <c r="F25" s="2881"/>
      <c r="G25" s="2881"/>
      <c r="H25" s="2881"/>
      <c r="I25" s="2881"/>
      <c r="J25" s="2881"/>
      <c r="K25" s="2881"/>
      <c r="L25" s="2881"/>
      <c r="M25" s="2881"/>
      <c r="N25" s="2881"/>
      <c r="O25" s="2881"/>
      <c r="P25" s="2881"/>
      <c r="Q25" s="2882"/>
    </row>
    <row r="26" spans="2:22" ht="15.75" customHeight="1" x14ac:dyDescent="0.2">
      <c r="B26" s="377" t="s">
        <v>124</v>
      </c>
      <c r="C26" s="323">
        <f>'2012 Combined Table A1 -Inc.Fun'!G22</f>
        <v>3136612</v>
      </c>
      <c r="D26" s="323">
        <v>850724.59657587716</v>
      </c>
      <c r="E26" s="323">
        <f>+C26+D26</f>
        <v>3987336.5965758772</v>
      </c>
      <c r="F26" s="323">
        <v>5349941.9737156276</v>
      </c>
      <c r="G26" s="323">
        <v>5349941.9737156276</v>
      </c>
      <c r="H26" s="324">
        <f>SUM(C26/$C$69)</f>
        <v>0.24040528960740171</v>
      </c>
      <c r="I26" s="325">
        <f>F26/C26</f>
        <v>1.7056435331228814</v>
      </c>
      <c r="J26" s="325">
        <f>G26/E26</f>
        <v>1.3417332206942065</v>
      </c>
      <c r="K26" s="353">
        <v>174.51220683789603</v>
      </c>
      <c r="L26" s="610" t="s">
        <v>244</v>
      </c>
      <c r="M26" s="355">
        <v>672820.20743188786</v>
      </c>
      <c r="N26" s="355">
        <v>10190977.425886773</v>
      </c>
      <c r="O26" s="378">
        <v>5197.8460806667326</v>
      </c>
      <c r="P26" s="379">
        <f>C26/M26</f>
        <v>4.6618873294133802</v>
      </c>
      <c r="Q26" s="380">
        <f>C26/N26</f>
        <v>0.30778323500476856</v>
      </c>
    </row>
    <row r="27" spans="2:22" ht="15" x14ac:dyDescent="0.2">
      <c r="B27" s="381" t="s">
        <v>125</v>
      </c>
      <c r="C27" s="331" t="e">
        <f>'2012 Combined Table A1 -Inc.Fun'!H22</f>
        <v>#REF!</v>
      </c>
      <c r="D27" s="331" t="e">
        <f>E27-C27</f>
        <v>#REF!</v>
      </c>
      <c r="E27" s="874">
        <v>3029815.1546393516</v>
      </c>
      <c r="F27" s="874">
        <v>3901162.8463304541</v>
      </c>
      <c r="G27" s="874">
        <v>3901162.8463304541</v>
      </c>
      <c r="H27" s="332" t="e">
        <f>SUM(C27/$C$70)</f>
        <v>#REF!</v>
      </c>
      <c r="I27" s="325" t="e">
        <f>F27/C27</f>
        <v>#REF!</v>
      </c>
      <c r="J27" s="325">
        <f>G27/E27</f>
        <v>1.2875910401190207</v>
      </c>
      <c r="K27" s="908">
        <v>127.1179090965246</v>
      </c>
      <c r="L27" s="611" t="s">
        <v>244</v>
      </c>
      <c r="M27" s="909">
        <v>490094.64447422768</v>
      </c>
      <c r="N27" s="909">
        <v>7423295.8570740828</v>
      </c>
      <c r="O27" s="909">
        <v>3786.2069224399852</v>
      </c>
      <c r="P27" s="382" t="e">
        <f>C27/M27</f>
        <v>#REF!</v>
      </c>
      <c r="Q27" s="358" t="e">
        <f>C27/N27</f>
        <v>#REF!</v>
      </c>
    </row>
    <row r="28" spans="2:22" ht="15.75" thickBot="1" x14ac:dyDescent="0.25">
      <c r="B28" s="383" t="s">
        <v>126</v>
      </c>
      <c r="C28" s="331" t="e">
        <f>'2012 Combined Table A1 -Inc.Fun'!I22</f>
        <v>#REF!</v>
      </c>
      <c r="D28" s="331" t="e">
        <f>E28-C28</f>
        <v>#REF!</v>
      </c>
      <c r="E28" s="874">
        <v>2665230.6197198192</v>
      </c>
      <c r="F28" s="874">
        <v>3418404.2830865253</v>
      </c>
      <c r="G28" s="874">
        <v>3418404.2830865253</v>
      </c>
      <c r="H28" s="385" t="e">
        <f>SUM(C28/$C$71)</f>
        <v>#REF!</v>
      </c>
      <c r="I28" s="386" t="e">
        <f>F28/C28</f>
        <v>#REF!</v>
      </c>
      <c r="J28" s="386">
        <f>G28/E28</f>
        <v>1.2825923046936489</v>
      </c>
      <c r="K28" s="908">
        <v>111.38740473787308</v>
      </c>
      <c r="L28" s="610" t="s">
        <v>244</v>
      </c>
      <c r="M28" s="909">
        <v>429446.73108541023</v>
      </c>
      <c r="N28" s="909">
        <v>6504682.6682228185</v>
      </c>
      <c r="O28" s="909">
        <v>3317.67385011755</v>
      </c>
      <c r="P28" s="387" t="e">
        <f>C28/M28</f>
        <v>#REF!</v>
      </c>
      <c r="Q28" s="329" t="e">
        <f>C28/N28</f>
        <v>#REF!</v>
      </c>
    </row>
    <row r="29" spans="2:22" ht="17.25" customHeight="1" thickBot="1" x14ac:dyDescent="0.3">
      <c r="B29" s="388" t="s">
        <v>137</v>
      </c>
      <c r="C29" s="389" t="e">
        <f>SUM(C26:C28)</f>
        <v>#REF!</v>
      </c>
      <c r="D29" s="389" t="e">
        <f>SUM(D26:D28)</f>
        <v>#REF!</v>
      </c>
      <c r="E29" s="389">
        <f>SUM(E26:E28)</f>
        <v>9682382.3709350489</v>
      </c>
      <c r="F29" s="389">
        <f>SUM(F26:F28)</f>
        <v>12669509.103132607</v>
      </c>
      <c r="G29" s="389">
        <f>SUM(G26:G28)</f>
        <v>12669509.103132607</v>
      </c>
      <c r="H29" s="390" t="e">
        <f>SUM(C29/$C$72)</f>
        <v>#REF!</v>
      </c>
      <c r="I29" s="391" t="e">
        <f>F29/C29</f>
        <v>#REF!</v>
      </c>
      <c r="J29" s="391">
        <f>G29/E29</f>
        <v>1.3085115437254813</v>
      </c>
      <c r="K29" s="392">
        <f>+K26+K27+K28</f>
        <v>413.0175206722937</v>
      </c>
      <c r="L29" s="343" t="s">
        <v>244</v>
      </c>
      <c r="M29" s="348">
        <f>SUM(M26:M28)</f>
        <v>1592361.582991526</v>
      </c>
      <c r="N29" s="348">
        <f>SUM(N26:N28)</f>
        <v>24118955.951183673</v>
      </c>
      <c r="O29" s="348">
        <f>SUM(O26:O28)</f>
        <v>12301.726853224267</v>
      </c>
      <c r="P29" s="349" t="e">
        <f>C29/M29</f>
        <v>#REF!</v>
      </c>
      <c r="Q29" s="363" t="e">
        <f>C29/N29</f>
        <v>#REF!</v>
      </c>
    </row>
    <row r="30" spans="2:22" ht="15.75" customHeight="1" thickBot="1" x14ac:dyDescent="0.3">
      <c r="B30" s="2880" t="s">
        <v>132</v>
      </c>
      <c r="C30" s="2881"/>
      <c r="D30" s="2881"/>
      <c r="E30" s="2881"/>
      <c r="F30" s="2881"/>
      <c r="G30" s="2881"/>
      <c r="H30" s="2881"/>
      <c r="I30" s="2881"/>
      <c r="J30" s="2881"/>
      <c r="K30" s="2881"/>
      <c r="L30" s="2881"/>
      <c r="M30" s="2881"/>
      <c r="N30" s="2881"/>
      <c r="O30" s="2881"/>
      <c r="P30" s="2881"/>
      <c r="Q30" s="2882"/>
    </row>
    <row r="31" spans="2:22" ht="15.75" customHeight="1" x14ac:dyDescent="0.2">
      <c r="B31" s="322" t="s">
        <v>128</v>
      </c>
      <c r="C31" s="323">
        <f>'2012 Combined Table A1 -Inc.Fun'!G25</f>
        <v>2474834</v>
      </c>
      <c r="D31" s="323">
        <v>3490838.0618178658</v>
      </c>
      <c r="E31" s="323">
        <f>+C31+D31</f>
        <v>5965672.0618178658</v>
      </c>
      <c r="F31" s="351">
        <v>5695314.6791517306</v>
      </c>
      <c r="G31" s="351">
        <v>5695314.6791517306</v>
      </c>
      <c r="H31" s="352">
        <f>SUM(C31/$C$69)</f>
        <v>0.18968338592731404</v>
      </c>
      <c r="I31" s="325">
        <f t="shared" ref="I31:I43" si="4">F31/C31</f>
        <v>2.3012915933560518</v>
      </c>
      <c r="J31" s="325">
        <f t="shared" ref="J31:J43" si="5">G31/E31</f>
        <v>0.95468115245614904</v>
      </c>
      <c r="K31" s="353">
        <v>153.99706191714301</v>
      </c>
      <c r="L31" s="610" t="s">
        <v>244</v>
      </c>
      <c r="M31" s="355">
        <v>888622.60833754158</v>
      </c>
      <c r="N31" s="355">
        <v>10221524.469203535</v>
      </c>
      <c r="O31" s="327">
        <v>13377.004459904216</v>
      </c>
      <c r="P31" s="328">
        <f t="shared" ref="P31:P43" si="6">C31/M31</f>
        <v>2.785022547006748</v>
      </c>
      <c r="Q31" s="356">
        <f t="shared" ref="Q31:Q43" si="7">C31/N31</f>
        <v>0.24211985281221363</v>
      </c>
      <c r="U31" s="821"/>
      <c r="V31" s="822"/>
    </row>
    <row r="32" spans="2:22" ht="15.75" customHeight="1" x14ac:dyDescent="0.2">
      <c r="B32" s="330" t="s">
        <v>129</v>
      </c>
      <c r="C32" s="331" t="e">
        <f>'2012 Combined Table A1 -Inc.Fun'!H25</f>
        <v>#REF!</v>
      </c>
      <c r="D32" s="331" t="e">
        <f>E32-C32</f>
        <v>#REF!</v>
      </c>
      <c r="E32" s="874">
        <v>4147835.5153592341</v>
      </c>
      <c r="F32" s="874">
        <v>3883166.8136009737</v>
      </c>
      <c r="G32" s="874">
        <v>3883166.8136009737</v>
      </c>
      <c r="H32" s="357" t="e">
        <f>SUM(C32/$C$70)</f>
        <v>#REF!</v>
      </c>
      <c r="I32" s="325" t="e">
        <f t="shared" si="4"/>
        <v>#REF!</v>
      </c>
      <c r="J32" s="325">
        <f t="shared" si="5"/>
        <v>0.93619112889645573</v>
      </c>
      <c r="K32" s="908">
        <v>104.91218076423417</v>
      </c>
      <c r="L32" s="611" t="s">
        <v>244</v>
      </c>
      <c r="M32" s="909">
        <v>605383.85964307364</v>
      </c>
      <c r="N32" s="909">
        <v>6963525.2091763979</v>
      </c>
      <c r="O32" s="909">
        <v>9113.2304247241591</v>
      </c>
      <c r="P32" s="335" t="e">
        <f t="shared" si="6"/>
        <v>#REF!</v>
      </c>
      <c r="Q32" s="358" t="e">
        <f t="shared" si="7"/>
        <v>#REF!</v>
      </c>
    </row>
    <row r="33" spans="2:17" ht="15.75" customHeight="1" thickBot="1" x14ac:dyDescent="0.25">
      <c r="B33" s="359" t="s">
        <v>130</v>
      </c>
      <c r="C33" s="331" t="e">
        <f>'2012 Combined Table A1 -Inc.Fun'!I25</f>
        <v>#REF!</v>
      </c>
      <c r="D33" s="331" t="e">
        <f>E33-C33</f>
        <v>#REF!</v>
      </c>
      <c r="E33" s="874">
        <v>3590214.6878789449</v>
      </c>
      <c r="F33" s="874">
        <v>3433157.1478816988</v>
      </c>
      <c r="G33" s="874">
        <v>3433157.1478816988</v>
      </c>
      <c r="H33" s="360" t="e">
        <f>SUM(C33/$C$71)</f>
        <v>#REF!</v>
      </c>
      <c r="I33" s="325" t="e">
        <f t="shared" si="4"/>
        <v>#REF!</v>
      </c>
      <c r="J33" s="325">
        <f t="shared" si="5"/>
        <v>0.95625399769894159</v>
      </c>
      <c r="K33" s="908">
        <v>92.754192796724595</v>
      </c>
      <c r="L33" s="610" t="s">
        <v>244</v>
      </c>
      <c r="M33" s="909">
        <v>535227.56675459153</v>
      </c>
      <c r="N33" s="909">
        <v>6156541.167019506</v>
      </c>
      <c r="O33" s="909">
        <v>8057.1228779948369</v>
      </c>
      <c r="P33" s="362" t="e">
        <f t="shared" si="6"/>
        <v>#REF!</v>
      </c>
      <c r="Q33" s="329" t="e">
        <f t="shared" si="7"/>
        <v>#REF!</v>
      </c>
    </row>
    <row r="34" spans="2:17" ht="18" customHeight="1" thickBot="1" x14ac:dyDescent="0.3">
      <c r="B34" s="342" t="s">
        <v>138</v>
      </c>
      <c r="C34" s="343" t="e">
        <f>SUM(C31:C33)</f>
        <v>#REF!</v>
      </c>
      <c r="D34" s="343" t="e">
        <f>SUM(D31:D33)</f>
        <v>#REF!</v>
      </c>
      <c r="E34" s="343">
        <f>SUM(E31:E33)</f>
        <v>13703722.265056044</v>
      </c>
      <c r="F34" s="343">
        <f>SUM(F31:F33)</f>
        <v>13011638.640634403</v>
      </c>
      <c r="G34" s="343">
        <f>SUM(G31:G33)</f>
        <v>13011638.640634403</v>
      </c>
      <c r="H34" s="344" t="e">
        <f>SUM(C34/$C$72)</f>
        <v>#REF!</v>
      </c>
      <c r="I34" s="345" t="e">
        <f t="shared" si="4"/>
        <v>#REF!</v>
      </c>
      <c r="J34" s="345">
        <f t="shared" si="5"/>
        <v>0.94949666878564609</v>
      </c>
      <c r="K34" s="346">
        <f>+K31+K32+K33</f>
        <v>351.66343547810175</v>
      </c>
      <c r="L34" s="343" t="s">
        <v>244</v>
      </c>
      <c r="M34" s="348">
        <f>SUM(M31:M33)</f>
        <v>2029234.034735207</v>
      </c>
      <c r="N34" s="348">
        <f>SUM(N31:N33)</f>
        <v>23341590.845399439</v>
      </c>
      <c r="O34" s="348">
        <f>SUM(O31:O33)</f>
        <v>30547.357762623211</v>
      </c>
      <c r="P34" s="349" t="e">
        <f t="shared" si="6"/>
        <v>#REF!</v>
      </c>
      <c r="Q34" s="363" t="e">
        <f t="shared" si="7"/>
        <v>#REF!</v>
      </c>
    </row>
    <row r="35" spans="2:17" ht="15.75" customHeight="1" x14ac:dyDescent="0.2">
      <c r="B35" s="322" t="s">
        <v>133</v>
      </c>
      <c r="C35" s="323">
        <f>'2012 Combined Table A1 -Inc.Fun'!G26</f>
        <v>324548</v>
      </c>
      <c r="D35" s="323">
        <v>182538.19949871971</v>
      </c>
      <c r="E35" s="323">
        <f>+C35+D35</f>
        <v>507086.19949871971</v>
      </c>
      <c r="F35" s="351">
        <v>857446.15328668582</v>
      </c>
      <c r="G35" s="351">
        <v>857446.15328668582</v>
      </c>
      <c r="H35" s="352">
        <f>SUM(C35/$C$69)</f>
        <v>2.4874946576593792E-2</v>
      </c>
      <c r="I35" s="325">
        <f t="shared" si="4"/>
        <v>2.641970227167278</v>
      </c>
      <c r="J35" s="325">
        <f t="shared" si="5"/>
        <v>1.6909278030723665</v>
      </c>
      <c r="K35" s="878">
        <v>9.1829506366009621</v>
      </c>
      <c r="L35" s="610" t="s">
        <v>244</v>
      </c>
      <c r="M35" s="355">
        <v>143391.77419052401</v>
      </c>
      <c r="N35" s="355">
        <v>1433932.4346262587</v>
      </c>
      <c r="O35" s="327">
        <v>1749.4806575813952</v>
      </c>
      <c r="P35" s="328">
        <f t="shared" si="6"/>
        <v>2.2633655370549675</v>
      </c>
      <c r="Q35" s="356">
        <f t="shared" si="7"/>
        <v>0.2263342345586809</v>
      </c>
    </row>
    <row r="36" spans="2:17" ht="15.75" customHeight="1" x14ac:dyDescent="0.2">
      <c r="B36" s="330" t="s">
        <v>134</v>
      </c>
      <c r="C36" s="331" t="e">
        <f>'2012 Combined Table A1 -Inc.Fun'!H26</f>
        <v>#REF!</v>
      </c>
      <c r="D36" s="331" t="e">
        <f>E36-C36</f>
        <v>#REF!</v>
      </c>
      <c r="E36" s="874">
        <v>367174.28154950636</v>
      </c>
      <c r="F36" s="874">
        <v>466498.15185971028</v>
      </c>
      <c r="G36" s="874">
        <v>466498.15185971028</v>
      </c>
      <c r="H36" s="357" t="e">
        <f>SUM(C36/$C$70)</f>
        <v>#REF!</v>
      </c>
      <c r="I36" s="333" t="e">
        <f t="shared" si="4"/>
        <v>#REF!</v>
      </c>
      <c r="J36" s="333">
        <f t="shared" si="5"/>
        <v>1.2705087891533384</v>
      </c>
      <c r="K36" s="908">
        <v>4.992305924892622</v>
      </c>
      <c r="L36" s="611" t="s">
        <v>244</v>
      </c>
      <c r="M36" s="909">
        <v>77954.857017198286</v>
      </c>
      <c r="N36" s="909">
        <v>779556.5578614627</v>
      </c>
      <c r="O36" s="909">
        <v>951.10417097499294</v>
      </c>
      <c r="P36" s="335" t="e">
        <f t="shared" si="6"/>
        <v>#REF!</v>
      </c>
      <c r="Q36" s="358" t="e">
        <f t="shared" si="7"/>
        <v>#REF!</v>
      </c>
    </row>
    <row r="37" spans="2:17" ht="16.5" customHeight="1" thickBot="1" x14ac:dyDescent="0.25">
      <c r="B37" s="359" t="s">
        <v>135</v>
      </c>
      <c r="C37" s="331" t="e">
        <f>'2012 Combined Table A1 -Inc.Fun'!I26</f>
        <v>#REF!</v>
      </c>
      <c r="D37" s="331" t="e">
        <f>E37-C37</f>
        <v>#REF!</v>
      </c>
      <c r="E37" s="874">
        <v>359510.24474295543</v>
      </c>
      <c r="F37" s="874">
        <v>463331.1175197165</v>
      </c>
      <c r="G37" s="874">
        <v>463331.1175197165</v>
      </c>
      <c r="H37" s="360" t="e">
        <f>SUM(C37/$C$71)</f>
        <v>#REF!</v>
      </c>
      <c r="I37" s="361" t="e">
        <f t="shared" si="4"/>
        <v>#REF!</v>
      </c>
      <c r="J37" s="361">
        <f t="shared" si="5"/>
        <v>1.2887841843032637</v>
      </c>
      <c r="K37" s="908">
        <v>4.9584133912633703</v>
      </c>
      <c r="L37" s="610" t="s">
        <v>244</v>
      </c>
      <c r="M37" s="909">
        <v>77425.625104577528</v>
      </c>
      <c r="N37" s="909">
        <v>774264.18450720131</v>
      </c>
      <c r="O37" s="909">
        <v>944.64716882314963</v>
      </c>
      <c r="P37" s="362" t="e">
        <f t="shared" si="6"/>
        <v>#REF!</v>
      </c>
      <c r="Q37" s="329" t="e">
        <f t="shared" si="7"/>
        <v>#REF!</v>
      </c>
    </row>
    <row r="38" spans="2:17" ht="19.5" customHeight="1" thickBot="1" x14ac:dyDescent="0.3">
      <c r="B38" s="342" t="s">
        <v>136</v>
      </c>
      <c r="C38" s="343" t="e">
        <f>SUM(C35:C37)</f>
        <v>#REF!</v>
      </c>
      <c r="D38" s="343" t="e">
        <f>SUM(D35:D37)</f>
        <v>#REF!</v>
      </c>
      <c r="E38" s="343">
        <f>SUM(E35:E37)</f>
        <v>1233770.7257911814</v>
      </c>
      <c r="F38" s="343">
        <f>SUM(F35:F37)</f>
        <v>1787275.4226661127</v>
      </c>
      <c r="G38" s="343">
        <f>SUM(G35:G37)</f>
        <v>1787275.4226661127</v>
      </c>
      <c r="H38" s="344" t="e">
        <f>SUM(C38/$C$72)</f>
        <v>#REF!</v>
      </c>
      <c r="I38" s="345" t="e">
        <f t="shared" si="4"/>
        <v>#REF!</v>
      </c>
      <c r="J38" s="345">
        <f t="shared" si="5"/>
        <v>1.4486284893167527</v>
      </c>
      <c r="K38" s="346">
        <f>SUM(K35:K37)</f>
        <v>19.133669952756954</v>
      </c>
      <c r="L38" s="343" t="s">
        <v>244</v>
      </c>
      <c r="M38" s="348">
        <f>SUM(M35:M37)</f>
        <v>298772.25631229981</v>
      </c>
      <c r="N38" s="348">
        <f>SUM(N35:N37)</f>
        <v>2987753.1769949226</v>
      </c>
      <c r="O38" s="348">
        <f>SUM(O35:O37)</f>
        <v>3645.2319973795375</v>
      </c>
      <c r="P38" s="349" t="e">
        <f t="shared" si="6"/>
        <v>#REF!</v>
      </c>
      <c r="Q38" s="363" t="e">
        <f t="shared" si="7"/>
        <v>#REF!</v>
      </c>
    </row>
    <row r="39" spans="2:17" ht="15.75" customHeight="1" x14ac:dyDescent="0.2">
      <c r="B39" s="322" t="s">
        <v>251</v>
      </c>
      <c r="C39" s="323">
        <f>'2012 Combined Table A1 -Inc.Fun'!G28</f>
        <v>246081</v>
      </c>
      <c r="D39" s="323">
        <v>124496.5188592034</v>
      </c>
      <c r="E39" s="323">
        <f>+C39+D39</f>
        <v>370577.51885920338</v>
      </c>
      <c r="F39" s="351">
        <v>505760.11508601846</v>
      </c>
      <c r="G39" s="351">
        <v>505760.11508601846</v>
      </c>
      <c r="H39" s="352">
        <f>SUM(C39/$C$69)</f>
        <v>1.8860851795465622E-2</v>
      </c>
      <c r="I39" s="325">
        <f t="shared" si="4"/>
        <v>2.0552586956571961</v>
      </c>
      <c r="J39" s="325">
        <f t="shared" si="5"/>
        <v>1.3647889829986588</v>
      </c>
      <c r="K39" s="353">
        <v>27.350752731269054</v>
      </c>
      <c r="L39" s="610" t="s">
        <v>244</v>
      </c>
      <c r="M39" s="355">
        <v>78912.210822347712</v>
      </c>
      <c r="N39" s="355">
        <v>907700.39640178566</v>
      </c>
      <c r="O39" s="327">
        <v>1187.9159794125744</v>
      </c>
      <c r="P39" s="328">
        <f t="shared" si="6"/>
        <v>3.1184147223297738</v>
      </c>
      <c r="Q39" s="356">
        <f t="shared" si="7"/>
        <v>0.27110377055633056</v>
      </c>
    </row>
    <row r="40" spans="2:17" ht="15.75" customHeight="1" x14ac:dyDescent="0.2">
      <c r="B40" s="330" t="s">
        <v>252</v>
      </c>
      <c r="C40" s="331" t="e">
        <f>'2012 Combined Table A1 -Inc.Fun'!H28</f>
        <v>#REF!</v>
      </c>
      <c r="D40" s="331" t="e">
        <f>E40-C40</f>
        <v>#REF!</v>
      </c>
      <c r="E40" s="874">
        <v>457877.99049234053</v>
      </c>
      <c r="F40" s="874">
        <v>427241.24131226994</v>
      </c>
      <c r="G40" s="874">
        <v>427241.24131226994</v>
      </c>
      <c r="H40" s="357" t="e">
        <f>SUM(C40/$C$70)</f>
        <v>#REF!</v>
      </c>
      <c r="I40" s="333" t="e">
        <f t="shared" si="4"/>
        <v>#REF!</v>
      </c>
      <c r="J40" s="333">
        <f t="shared" si="5"/>
        <v>0.93308970988728257</v>
      </c>
      <c r="K40" s="908">
        <v>23.085699116244331</v>
      </c>
      <c r="L40" s="611" t="s">
        <v>244</v>
      </c>
      <c r="M40" s="909">
        <v>66606.706350704204</v>
      </c>
      <c r="N40" s="909">
        <v>766154.35212758917</v>
      </c>
      <c r="O40" s="909">
        <v>1002.6733503661395</v>
      </c>
      <c r="P40" s="335" t="e">
        <f t="shared" si="6"/>
        <v>#REF!</v>
      </c>
      <c r="Q40" s="358" t="e">
        <f t="shared" si="7"/>
        <v>#REF!</v>
      </c>
    </row>
    <row r="41" spans="2:17" ht="15.75" customHeight="1" thickBot="1" x14ac:dyDescent="0.25">
      <c r="B41" s="359" t="s">
        <v>253</v>
      </c>
      <c r="C41" s="331" t="e">
        <f>'2012 Combined Table A1 -Inc.Fun'!I28</f>
        <v>#REF!</v>
      </c>
      <c r="D41" s="331" t="e">
        <f>E41-C41</f>
        <v>#REF!</v>
      </c>
      <c r="E41" s="874">
        <v>442010.07116747694</v>
      </c>
      <c r="F41" s="874">
        <v>409236.21005559544</v>
      </c>
      <c r="G41" s="874">
        <v>409236.21005559544</v>
      </c>
      <c r="H41" s="360" t="e">
        <f>SUM(C41/$C$71)</f>
        <v>#REF!</v>
      </c>
      <c r="I41" s="361" t="e">
        <f t="shared" si="4"/>
        <v>#REF!</v>
      </c>
      <c r="J41" s="361">
        <f t="shared" si="5"/>
        <v>0.9258526824393023</v>
      </c>
      <c r="K41" s="908">
        <v>22.112809109433503</v>
      </c>
      <c r="L41" s="610" t="s">
        <v>244</v>
      </c>
      <c r="M41" s="909">
        <v>63799.730539883458</v>
      </c>
      <c r="N41" s="909">
        <v>733866.66141888255</v>
      </c>
      <c r="O41" s="909">
        <v>960.41814822758499</v>
      </c>
      <c r="P41" s="362" t="e">
        <f t="shared" si="6"/>
        <v>#REF!</v>
      </c>
      <c r="Q41" s="329" t="e">
        <f t="shared" si="7"/>
        <v>#REF!</v>
      </c>
    </row>
    <row r="42" spans="2:17" ht="19.5" customHeight="1" thickBot="1" x14ac:dyDescent="0.3">
      <c r="B42" s="342" t="s">
        <v>302</v>
      </c>
      <c r="C42" s="343" t="e">
        <f>SUM(C39:C41)</f>
        <v>#REF!</v>
      </c>
      <c r="D42" s="343" t="e">
        <f>SUM(D39:D41)</f>
        <v>#REF!</v>
      </c>
      <c r="E42" s="343">
        <f>SUM(E39:E41)</f>
        <v>1270465.5805190208</v>
      </c>
      <c r="F42" s="343">
        <f>SUM(F39:F41)</f>
        <v>1342237.5664538839</v>
      </c>
      <c r="G42" s="343">
        <f>SUM(G39:G41)</f>
        <v>1342237.5664538839</v>
      </c>
      <c r="H42" s="344" t="e">
        <f>SUM(C42/$C$72)</f>
        <v>#REF!</v>
      </c>
      <c r="I42" s="345" t="e">
        <f t="shared" si="4"/>
        <v>#REF!</v>
      </c>
      <c r="J42" s="345">
        <f t="shared" si="5"/>
        <v>1.0564926646068933</v>
      </c>
      <c r="K42" s="346">
        <f>SUM(K39:K41)</f>
        <v>72.549260956946881</v>
      </c>
      <c r="L42" s="343" t="s">
        <v>244</v>
      </c>
      <c r="M42" s="348">
        <f>SUM(M39:M41)</f>
        <v>209318.64771293537</v>
      </c>
      <c r="N42" s="348">
        <f>SUM(N39:N41)</f>
        <v>2407721.4099482573</v>
      </c>
      <c r="O42" s="348">
        <f>SUM(O39:O41)</f>
        <v>3151.0074780062987</v>
      </c>
      <c r="P42" s="349" t="e">
        <f t="shared" si="6"/>
        <v>#REF!</v>
      </c>
      <c r="Q42" s="363" t="e">
        <f t="shared" si="7"/>
        <v>#REF!</v>
      </c>
    </row>
    <row r="43" spans="2:17" ht="15.75" customHeight="1" thickBot="1" x14ac:dyDescent="0.3">
      <c r="B43" s="364" t="s">
        <v>127</v>
      </c>
      <c r="C43" s="365" t="e">
        <f>C42+C38+C34+C29</f>
        <v>#REF!</v>
      </c>
      <c r="D43" s="365" t="e">
        <f>D42+D38+D34+D29</f>
        <v>#REF!</v>
      </c>
      <c r="E43" s="365">
        <f>E42+E38+E34+E29</f>
        <v>25890340.942301296</v>
      </c>
      <c r="F43" s="365">
        <f>F42+F38+F34+F29</f>
        <v>28810660.732887007</v>
      </c>
      <c r="G43" s="365">
        <f>G42+G38+G34+G29</f>
        <v>28810660.732887007</v>
      </c>
      <c r="H43" s="366" t="e">
        <f>SUM(C43/C72)</f>
        <v>#REF!</v>
      </c>
      <c r="I43" s="317" t="e">
        <f t="shared" si="4"/>
        <v>#REF!</v>
      </c>
      <c r="J43" s="317">
        <f t="shared" si="5"/>
        <v>1.1127957255214938</v>
      </c>
      <c r="K43" s="346">
        <f>K42+K38+K34+K29</f>
        <v>856.36388706009927</v>
      </c>
      <c r="L43" s="612" t="s">
        <v>244</v>
      </c>
      <c r="M43" s="394">
        <f>M42+M38+M34+M29</f>
        <v>4129686.5217519682</v>
      </c>
      <c r="N43" s="395">
        <f>N42+N38+N34+N29</f>
        <v>52856021.383526295</v>
      </c>
      <c r="O43" s="395">
        <f>O42+O38+O34+O29</f>
        <v>49645.324091233313</v>
      </c>
      <c r="P43" s="367" t="e">
        <f t="shared" si="6"/>
        <v>#REF!</v>
      </c>
      <c r="Q43" s="367" t="e">
        <f t="shared" si="7"/>
        <v>#REF!</v>
      </c>
    </row>
    <row r="44" spans="2:17" ht="15" x14ac:dyDescent="0.2">
      <c r="B44" s="396"/>
      <c r="C44" s="397"/>
      <c r="D44" s="397"/>
      <c r="E44" s="397"/>
      <c r="F44" s="397"/>
      <c r="G44" s="397"/>
      <c r="H44" s="397"/>
      <c r="I44" s="397"/>
      <c r="J44" s="397"/>
      <c r="K44" s="806"/>
      <c r="L44" s="397"/>
      <c r="M44" s="397"/>
      <c r="N44" s="397"/>
      <c r="O44" s="397"/>
      <c r="P44" s="397"/>
      <c r="Q44" s="398"/>
    </row>
    <row r="45" spans="2:17" ht="16.5" thickBot="1" x14ac:dyDescent="0.3">
      <c r="B45" s="2877" t="s">
        <v>41</v>
      </c>
      <c r="C45" s="2878"/>
      <c r="D45" s="2878"/>
      <c r="E45" s="2878"/>
      <c r="F45" s="2878"/>
      <c r="G45" s="2878"/>
      <c r="H45" s="2878"/>
      <c r="I45" s="2878"/>
      <c r="J45" s="2878"/>
      <c r="K45" s="2878"/>
      <c r="L45" s="2878"/>
      <c r="M45" s="2878"/>
      <c r="N45" s="2878"/>
      <c r="O45" s="2878"/>
      <c r="P45" s="2878"/>
      <c r="Q45" s="2879"/>
    </row>
    <row r="46" spans="2:17" ht="15.75" customHeight="1" thickBot="1" x14ac:dyDescent="0.25">
      <c r="B46" s="399" t="s">
        <v>172</v>
      </c>
      <c r="C46" s="351">
        <f>'2012 Combined Table A1 -Inc.Fun'!G35</f>
        <v>285000</v>
      </c>
      <c r="D46" s="400"/>
      <c r="E46" s="351">
        <f>C46+D46</f>
        <v>285000</v>
      </c>
      <c r="F46" s="400"/>
      <c r="G46" s="400"/>
      <c r="H46" s="401">
        <f>SUM(C46/$C$69)</f>
        <v>2.1843794367333125E-2</v>
      </c>
      <c r="I46" s="607"/>
      <c r="J46" s="607"/>
      <c r="K46" s="807"/>
      <c r="L46" s="607"/>
      <c r="M46" s="607"/>
      <c r="N46" s="607"/>
      <c r="O46" s="607"/>
      <c r="P46" s="607"/>
      <c r="Q46" s="607"/>
    </row>
    <row r="47" spans="2:17" ht="15.75" customHeight="1" thickBot="1" x14ac:dyDescent="0.25">
      <c r="B47" s="381" t="s">
        <v>173</v>
      </c>
      <c r="C47" s="331" t="e">
        <f>'2012 Combined Table A1 -Inc.Fun'!H35</f>
        <v>#REF!</v>
      </c>
      <c r="D47" s="402"/>
      <c r="E47" s="331" t="e">
        <f>C47+D47</f>
        <v>#REF!</v>
      </c>
      <c r="F47" s="402"/>
      <c r="G47" s="402"/>
      <c r="H47" s="332" t="e">
        <f>SUM(C47/$C$70)</f>
        <v>#REF!</v>
      </c>
      <c r="I47" s="607"/>
      <c r="J47" s="607"/>
      <c r="K47" s="807"/>
      <c r="L47" s="607"/>
      <c r="M47" s="607"/>
      <c r="N47" s="607"/>
      <c r="O47" s="607"/>
      <c r="P47" s="607"/>
      <c r="Q47" s="607"/>
    </row>
    <row r="48" spans="2:17" ht="15.75" customHeight="1" thickBot="1" x14ac:dyDescent="0.25">
      <c r="B48" s="381" t="s">
        <v>174</v>
      </c>
      <c r="C48" s="331" t="e">
        <f>'2012 Combined Table A1 -Inc.Fun'!I35</f>
        <v>#REF!</v>
      </c>
      <c r="D48" s="403"/>
      <c r="E48" s="323" t="e">
        <f>C48+D48</f>
        <v>#REF!</v>
      </c>
      <c r="F48" s="403"/>
      <c r="G48" s="403"/>
      <c r="H48" s="337" t="e">
        <f>SUM(C48/$C$71)</f>
        <v>#REF!</v>
      </c>
      <c r="I48" s="607"/>
      <c r="J48" s="607"/>
      <c r="K48" s="807"/>
      <c r="L48" s="607"/>
      <c r="M48" s="607"/>
      <c r="N48" s="607"/>
      <c r="O48" s="607"/>
      <c r="P48" s="607"/>
      <c r="Q48" s="607"/>
    </row>
    <row r="49" spans="2:17" ht="15.75" customHeight="1" thickBot="1" x14ac:dyDescent="0.3">
      <c r="B49" s="364" t="s">
        <v>175</v>
      </c>
      <c r="C49" s="685" t="e">
        <f>SUM(C46:C48)</f>
        <v>#REF!</v>
      </c>
      <c r="D49" s="404"/>
      <c r="E49" s="405" t="e">
        <f>SUM(E46:E48)</f>
        <v>#REF!</v>
      </c>
      <c r="F49" s="406"/>
      <c r="G49" s="406"/>
      <c r="H49" s="492" t="e">
        <f>SUM(C49/$C$72)</f>
        <v>#REF!</v>
      </c>
      <c r="I49" s="406"/>
      <c r="J49" s="406"/>
      <c r="K49" s="808"/>
      <c r="L49" s="406"/>
      <c r="M49" s="406"/>
      <c r="N49" s="406"/>
      <c r="O49" s="406"/>
      <c r="P49" s="406"/>
      <c r="Q49" s="407"/>
    </row>
    <row r="50" spans="2:17" ht="15.75" customHeight="1" thickBot="1" x14ac:dyDescent="0.25">
      <c r="B50" s="381" t="s">
        <v>237</v>
      </c>
      <c r="C50" s="323">
        <f>'2012 Combined Table A1 -Inc.Fun'!G42</f>
        <v>591750</v>
      </c>
      <c r="D50" s="408"/>
      <c r="E50" s="323">
        <f>C50+D50</f>
        <v>591750</v>
      </c>
      <c r="F50" s="408"/>
      <c r="G50" s="408"/>
      <c r="H50" s="324">
        <f>SUM(C50/$C$69)</f>
        <v>4.5354615146910089E-2</v>
      </c>
      <c r="I50" s="607"/>
      <c r="J50" s="607"/>
      <c r="K50" s="807"/>
      <c r="L50" s="607"/>
      <c r="M50" s="607"/>
      <c r="N50" s="607"/>
      <c r="O50" s="607"/>
      <c r="P50" s="607"/>
      <c r="Q50" s="607"/>
    </row>
    <row r="51" spans="2:17" ht="15.75" customHeight="1" thickBot="1" x14ac:dyDescent="0.25">
      <c r="B51" s="381" t="s">
        <v>238</v>
      </c>
      <c r="C51" s="331" t="e">
        <f>'2012 Combined Table A1 -Inc.Fun'!H42</f>
        <v>#REF!</v>
      </c>
      <c r="D51" s="402"/>
      <c r="E51" s="331" t="e">
        <f>C51+D51</f>
        <v>#REF!</v>
      </c>
      <c r="F51" s="402"/>
      <c r="G51" s="402"/>
      <c r="H51" s="332" t="e">
        <f>SUM(C51/$C$70)</f>
        <v>#REF!</v>
      </c>
      <c r="I51" s="607"/>
      <c r="J51" s="607"/>
      <c r="K51" s="807"/>
      <c r="L51" s="607"/>
      <c r="M51" s="607"/>
      <c r="N51" s="607"/>
      <c r="O51" s="607"/>
      <c r="P51" s="607"/>
      <c r="Q51" s="607"/>
    </row>
    <row r="52" spans="2:17" ht="15.75" customHeight="1" thickBot="1" x14ac:dyDescent="0.25">
      <c r="B52" s="381" t="s">
        <v>239</v>
      </c>
      <c r="C52" s="331" t="e">
        <f>'2012 Combined Table A1 -Inc.Fun'!I42</f>
        <v>#REF!</v>
      </c>
      <c r="D52" s="409"/>
      <c r="E52" s="323" t="e">
        <f>C52+D52</f>
        <v>#REF!</v>
      </c>
      <c r="F52" s="409"/>
      <c r="G52" s="409"/>
      <c r="H52" s="337" t="e">
        <f>SUM(C52/$C$71)</f>
        <v>#REF!</v>
      </c>
      <c r="I52" s="607"/>
      <c r="J52" s="607"/>
      <c r="K52" s="807"/>
      <c r="L52" s="607"/>
      <c r="M52" s="607"/>
      <c r="N52" s="607"/>
      <c r="O52" s="607"/>
      <c r="P52" s="607"/>
      <c r="Q52" s="607"/>
    </row>
    <row r="53" spans="2:17" ht="15.75" customHeight="1" thickBot="1" x14ac:dyDescent="0.3">
      <c r="B53" s="364" t="s">
        <v>89</v>
      </c>
      <c r="C53" s="685" t="e">
        <f>SUM(C50:C52)</f>
        <v>#REF!</v>
      </c>
      <c r="D53" s="404"/>
      <c r="E53" s="405" t="e">
        <f>SUM(E50:E52)</f>
        <v>#REF!</v>
      </c>
      <c r="F53" s="404"/>
      <c r="G53" s="404"/>
      <c r="H53" s="492" t="e">
        <f>SUM(C53/$C$72)</f>
        <v>#REF!</v>
      </c>
      <c r="I53" s="404"/>
      <c r="J53" s="404"/>
      <c r="K53" s="809"/>
      <c r="L53" s="404"/>
      <c r="M53" s="404"/>
      <c r="N53" s="404"/>
      <c r="O53" s="404"/>
      <c r="P53" s="404"/>
      <c r="Q53" s="407"/>
    </row>
    <row r="54" spans="2:17" ht="15.75" customHeight="1" thickBot="1" x14ac:dyDescent="0.3">
      <c r="B54" s="410" t="s">
        <v>90</v>
      </c>
      <c r="C54" s="411" t="e">
        <f>C49+C53</f>
        <v>#REF!</v>
      </c>
      <c r="D54" s="411">
        <f>D49+D53</f>
        <v>0</v>
      </c>
      <c r="E54" s="411" t="e">
        <f>E49+E53</f>
        <v>#REF!</v>
      </c>
      <c r="F54" s="411">
        <f>F49+F53</f>
        <v>0</v>
      </c>
      <c r="G54" s="411">
        <f>G49+G53</f>
        <v>0</v>
      </c>
      <c r="H54" s="412" t="e">
        <f>SUM(C54/$C$72)</f>
        <v>#REF!</v>
      </c>
      <c r="I54" s="413" t="e">
        <f>F54/C54</f>
        <v>#REF!</v>
      </c>
      <c r="J54" s="413" t="e">
        <f>G54/E54</f>
        <v>#REF!</v>
      </c>
      <c r="K54" s="414"/>
      <c r="L54" s="415"/>
      <c r="M54" s="416"/>
      <c r="N54" s="416"/>
      <c r="O54" s="416"/>
      <c r="P54" s="417"/>
      <c r="Q54" s="418"/>
    </row>
    <row r="55" spans="2:17" ht="15.75" thickBot="1" x14ac:dyDescent="0.25">
      <c r="B55" s="396"/>
      <c r="C55" s="397"/>
      <c r="D55" s="397"/>
      <c r="E55" s="397"/>
      <c r="F55" s="397"/>
      <c r="G55" s="397"/>
      <c r="H55" s="397"/>
      <c r="I55" s="397"/>
      <c r="J55" s="397"/>
      <c r="K55" s="806"/>
      <c r="L55" s="397"/>
      <c r="M55" s="397"/>
      <c r="N55" s="397"/>
      <c r="O55" s="397"/>
      <c r="P55" s="397"/>
      <c r="Q55" s="398"/>
    </row>
    <row r="56" spans="2:17" ht="16.5" thickBot="1" x14ac:dyDescent="0.3">
      <c r="B56" s="419" t="s">
        <v>28</v>
      </c>
      <c r="C56" s="396"/>
      <c r="D56" s="397"/>
      <c r="E56" s="397"/>
      <c r="F56" s="397"/>
      <c r="G56" s="397"/>
      <c r="H56" s="420"/>
      <c r="I56" s="397"/>
      <c r="J56" s="397"/>
      <c r="K56" s="806"/>
      <c r="L56" s="397"/>
      <c r="M56" s="397"/>
      <c r="N56" s="397"/>
      <c r="O56" s="397"/>
      <c r="P56" s="420"/>
      <c r="Q56" s="421"/>
    </row>
    <row r="57" spans="2:17" ht="15.75" x14ac:dyDescent="0.25">
      <c r="B57" s="422" t="s">
        <v>91</v>
      </c>
      <c r="C57" s="686">
        <f t="shared" ref="C57:G59" si="8">C7+C11+C15+C19</f>
        <v>5988358.7999999998</v>
      </c>
      <c r="D57" s="423">
        <f t="shared" si="8"/>
        <v>690526.17104942806</v>
      </c>
      <c r="E57" s="423">
        <f t="shared" si="8"/>
        <v>6678884.9710494289</v>
      </c>
      <c r="F57" s="423">
        <f t="shared" si="8"/>
        <v>8309680.6129602343</v>
      </c>
      <c r="G57" s="423">
        <f t="shared" si="8"/>
        <v>8367789.20855055</v>
      </c>
      <c r="H57" s="493">
        <f>SUM(C57/$C$69)</f>
        <v>0.45897711657898155</v>
      </c>
      <c r="I57" s="608"/>
      <c r="J57" s="400"/>
      <c r="K57" s="353"/>
      <c r="L57" s="400"/>
      <c r="M57" s="424">
        <f>M7+M11+M15+M19</f>
        <v>880144.5906781205</v>
      </c>
      <c r="N57" s="424">
        <f>N7+N11+N19+N15</f>
        <v>16416212.607097145</v>
      </c>
      <c r="O57" s="424">
        <f>O7+O11+O15+O19</f>
        <v>7509.9143281485094</v>
      </c>
      <c r="P57" s="328">
        <f t="shared" ref="P57:P64" si="9">SUM(C57/M57)</f>
        <v>6.8038352600521916</v>
      </c>
      <c r="Q57" s="380">
        <f t="shared" ref="Q57:Q64" si="10">SUM(C57/N57)</f>
        <v>0.36478321421172871</v>
      </c>
    </row>
    <row r="58" spans="2:17" ht="15.75" x14ac:dyDescent="0.25">
      <c r="B58" s="425" t="s">
        <v>92</v>
      </c>
      <c r="C58" s="687" t="e">
        <f t="shared" si="8"/>
        <v>#REF!</v>
      </c>
      <c r="D58" s="426" t="e">
        <f t="shared" si="8"/>
        <v>#REF!</v>
      </c>
      <c r="E58" s="426">
        <f t="shared" si="8"/>
        <v>6015692.6406643428</v>
      </c>
      <c r="F58" s="426">
        <f t="shared" si="8"/>
        <v>7240105.1946187532</v>
      </c>
      <c r="G58" s="426">
        <f t="shared" si="8"/>
        <v>7842519.6630543899</v>
      </c>
      <c r="H58" s="494" t="e">
        <f>SUM(C58/$C$70)</f>
        <v>#REF!</v>
      </c>
      <c r="I58" s="408"/>
      <c r="J58" s="408"/>
      <c r="K58" s="803"/>
      <c r="L58" s="408"/>
      <c r="M58" s="340">
        <f>M8+M12+M16+M20</f>
        <v>739099.9460453256</v>
      </c>
      <c r="N58" s="340">
        <f>N8+N12+N20+N16</f>
        <v>14179687.697706709</v>
      </c>
      <c r="O58" s="340">
        <f>O8+O12+O16+O20</f>
        <v>5998.3637769528905</v>
      </c>
      <c r="P58" s="335" t="e">
        <f t="shared" si="9"/>
        <v>#REF!</v>
      </c>
      <c r="Q58" s="358" t="e">
        <f t="shared" si="10"/>
        <v>#REF!</v>
      </c>
    </row>
    <row r="59" spans="2:17" ht="16.5" thickBot="1" x14ac:dyDescent="0.3">
      <c r="B59" s="427" t="s">
        <v>93</v>
      </c>
      <c r="C59" s="688" t="e">
        <f t="shared" si="8"/>
        <v>#REF!</v>
      </c>
      <c r="D59" s="428" t="e">
        <f t="shared" si="8"/>
        <v>#REF!</v>
      </c>
      <c r="E59" s="428">
        <f t="shared" si="8"/>
        <v>6419961.6753911916</v>
      </c>
      <c r="F59" s="428">
        <f t="shared" si="8"/>
        <v>7544860.8473627176</v>
      </c>
      <c r="G59" s="428">
        <f t="shared" si="8"/>
        <v>8185615.5959612289</v>
      </c>
      <c r="H59" s="495" t="e">
        <f>SUM(C59/$C$71)</f>
        <v>#REF!</v>
      </c>
      <c r="I59" s="429"/>
      <c r="J59" s="429"/>
      <c r="K59" s="810"/>
      <c r="L59" s="429"/>
      <c r="M59" s="327">
        <f>M9+M13+M17+M21</f>
        <v>773691.41484533949</v>
      </c>
      <c r="N59" s="327">
        <f>N9+N13+N21+N17</f>
        <v>14759292.406254545</v>
      </c>
      <c r="O59" s="327">
        <f>O9+O13+O17+O21</f>
        <v>6214.6563105068644</v>
      </c>
      <c r="P59" s="341" t="e">
        <f t="shared" si="9"/>
        <v>#REF!</v>
      </c>
      <c r="Q59" s="329" t="e">
        <f t="shared" si="10"/>
        <v>#REF!</v>
      </c>
    </row>
    <row r="60" spans="2:17" ht="16.5" thickBot="1" x14ac:dyDescent="0.3">
      <c r="B60" s="364" t="s">
        <v>94</v>
      </c>
      <c r="C60" s="430" t="e">
        <f>SUM(C57:C59)</f>
        <v>#REF!</v>
      </c>
      <c r="D60" s="430" t="e">
        <f>SUM(D57:D59)</f>
        <v>#REF!</v>
      </c>
      <c r="E60" s="430">
        <f>SUM(E57:E59)</f>
        <v>19114539.287104964</v>
      </c>
      <c r="F60" s="430">
        <f>SUM(F57:F59)</f>
        <v>23094646.654941708</v>
      </c>
      <c r="G60" s="365">
        <f>SUM(G57:G59)</f>
        <v>24395924.46756617</v>
      </c>
      <c r="H60" s="496" t="e">
        <f>SUM(C60/$C$72)</f>
        <v>#REF!</v>
      </c>
      <c r="I60" s="431"/>
      <c r="J60" s="406"/>
      <c r="K60" s="346"/>
      <c r="L60" s="406"/>
      <c r="M60" s="432">
        <f>SUM(M57:M59)</f>
        <v>2392935.9515687856</v>
      </c>
      <c r="N60" s="432">
        <f>SUM(N57:N59)</f>
        <v>45355192.711058401</v>
      </c>
      <c r="O60" s="432">
        <f>SUM(O57:O59)</f>
        <v>19722.934415608262</v>
      </c>
      <c r="P60" s="433" t="e">
        <f t="shared" si="9"/>
        <v>#REF!</v>
      </c>
      <c r="Q60" s="363" t="e">
        <f t="shared" si="10"/>
        <v>#REF!</v>
      </c>
    </row>
    <row r="61" spans="2:17" ht="16.5" thickBot="1" x14ac:dyDescent="0.3">
      <c r="B61" s="434" t="s">
        <v>95</v>
      </c>
      <c r="C61" s="351">
        <f t="shared" ref="C61:G63" si="11">C26+C31+C35+C39</f>
        <v>6182075</v>
      </c>
      <c r="D61" s="351">
        <f t="shared" si="11"/>
        <v>4648597.376751665</v>
      </c>
      <c r="E61" s="351">
        <f t="shared" si="11"/>
        <v>10830672.376751667</v>
      </c>
      <c r="F61" s="351">
        <f t="shared" si="11"/>
        <v>12408462.921240063</v>
      </c>
      <c r="G61" s="351">
        <f t="shared" si="11"/>
        <v>12408462.921240063</v>
      </c>
      <c r="H61" s="497">
        <f>SUM(C61/$C$69)</f>
        <v>0.47382447390677518</v>
      </c>
      <c r="I61" s="400"/>
      <c r="J61" s="400"/>
      <c r="K61" s="353"/>
      <c r="L61" s="400"/>
      <c r="M61" s="424">
        <f t="shared" ref="M61:O63" si="12">M26+M31+M35+M39</f>
        <v>1783746.8007823012</v>
      </c>
      <c r="N61" s="424">
        <f t="shared" si="12"/>
        <v>22754134.726118352</v>
      </c>
      <c r="O61" s="424">
        <f t="shared" si="12"/>
        <v>21512.247177564917</v>
      </c>
      <c r="P61" s="435">
        <f t="shared" si="9"/>
        <v>3.4657805677850217</v>
      </c>
      <c r="Q61" s="436">
        <f t="shared" si="10"/>
        <v>0.2716901817806282</v>
      </c>
    </row>
    <row r="62" spans="2:17" ht="16.5" thickBot="1" x14ac:dyDescent="0.3">
      <c r="B62" s="437" t="s">
        <v>96</v>
      </c>
      <c r="C62" s="351" t="e">
        <f t="shared" si="11"/>
        <v>#REF!</v>
      </c>
      <c r="D62" s="351" t="e">
        <f t="shared" si="11"/>
        <v>#REF!</v>
      </c>
      <c r="E62" s="351">
        <f t="shared" si="11"/>
        <v>8002702.9420404322</v>
      </c>
      <c r="F62" s="351">
        <f t="shared" si="11"/>
        <v>8678069.0531034078</v>
      </c>
      <c r="G62" s="351">
        <f t="shared" si="11"/>
        <v>8678069.0531034078</v>
      </c>
      <c r="H62" s="494" t="e">
        <f>SUM(C62/$C$70)</f>
        <v>#REF!</v>
      </c>
      <c r="I62" s="402"/>
      <c r="J62" s="402"/>
      <c r="K62" s="811"/>
      <c r="L62" s="402"/>
      <c r="M62" s="340">
        <f t="shared" si="12"/>
        <v>1240040.0674852037</v>
      </c>
      <c r="N62" s="340">
        <f t="shared" si="12"/>
        <v>15932531.976239532</v>
      </c>
      <c r="O62" s="340">
        <f t="shared" si="12"/>
        <v>14853.214868505278</v>
      </c>
      <c r="P62" s="438" t="e">
        <f t="shared" si="9"/>
        <v>#REF!</v>
      </c>
      <c r="Q62" s="439" t="e">
        <f t="shared" si="10"/>
        <v>#REF!</v>
      </c>
    </row>
    <row r="63" spans="2:17" ht="16.5" thickBot="1" x14ac:dyDescent="0.3">
      <c r="B63" s="440" t="s">
        <v>97</v>
      </c>
      <c r="C63" s="351" t="e">
        <f t="shared" si="11"/>
        <v>#REF!</v>
      </c>
      <c r="D63" s="351" t="e">
        <f t="shared" si="11"/>
        <v>#REF!</v>
      </c>
      <c r="E63" s="351">
        <f t="shared" si="11"/>
        <v>7056965.6235091966</v>
      </c>
      <c r="F63" s="351">
        <f t="shared" si="11"/>
        <v>7724128.7585435361</v>
      </c>
      <c r="G63" s="351">
        <f t="shared" si="11"/>
        <v>7724128.7585435361</v>
      </c>
      <c r="H63" s="495" t="e">
        <f>SUM(C63/$C$71)</f>
        <v>#REF!</v>
      </c>
      <c r="I63" s="403"/>
      <c r="J63" s="403"/>
      <c r="K63" s="812"/>
      <c r="L63" s="403"/>
      <c r="M63" s="327">
        <f t="shared" si="12"/>
        <v>1105899.6534844628</v>
      </c>
      <c r="N63" s="327">
        <f t="shared" si="12"/>
        <v>14169354.681168407</v>
      </c>
      <c r="O63" s="327">
        <f t="shared" si="12"/>
        <v>13279.862045163123</v>
      </c>
      <c r="P63" s="441" t="e">
        <f t="shared" si="9"/>
        <v>#REF!</v>
      </c>
      <c r="Q63" s="442" t="e">
        <f t="shared" si="10"/>
        <v>#REF!</v>
      </c>
    </row>
    <row r="64" spans="2:17" ht="16.5" thickBot="1" x14ac:dyDescent="0.3">
      <c r="B64" s="364" t="s">
        <v>98</v>
      </c>
      <c r="C64" s="430" t="e">
        <f>SUM(C61:C63)</f>
        <v>#REF!</v>
      </c>
      <c r="D64" s="430" t="e">
        <f>SUM(D61:D63)</f>
        <v>#REF!</v>
      </c>
      <c r="E64" s="430">
        <f>SUM(E61:E63)</f>
        <v>25890340.942301296</v>
      </c>
      <c r="F64" s="430">
        <f>SUM(F61:F63)</f>
        <v>28810660.732887007</v>
      </c>
      <c r="G64" s="365">
        <f>SUM(G61:G63)</f>
        <v>28810660.732887007</v>
      </c>
      <c r="H64" s="496" t="e">
        <f>SUM(C64/$C$72)</f>
        <v>#REF!</v>
      </c>
      <c r="I64" s="443"/>
      <c r="J64" s="406"/>
      <c r="K64" s="346"/>
      <c r="L64" s="406"/>
      <c r="M64" s="432">
        <f>SUM(M61:M63)</f>
        <v>4129686.5217519677</v>
      </c>
      <c r="N64" s="432">
        <f>SUM(N61:N63)</f>
        <v>52856021.383526295</v>
      </c>
      <c r="O64" s="432">
        <f>SUM(O61:O63)</f>
        <v>49645.32409123332</v>
      </c>
      <c r="P64" s="444" t="e">
        <f t="shared" si="9"/>
        <v>#REF!</v>
      </c>
      <c r="Q64" s="445" t="e">
        <f t="shared" si="10"/>
        <v>#REF!</v>
      </c>
    </row>
    <row r="65" spans="2:17" ht="15.75" x14ac:dyDescent="0.25">
      <c r="B65" s="427" t="s">
        <v>99</v>
      </c>
      <c r="C65" s="323">
        <f t="shared" ref="C65:G67" si="13">C46+C50</f>
        <v>876750</v>
      </c>
      <c r="D65" s="323">
        <f t="shared" si="13"/>
        <v>0</v>
      </c>
      <c r="E65" s="323">
        <f t="shared" si="13"/>
        <v>876750</v>
      </c>
      <c r="F65" s="323">
        <f t="shared" si="13"/>
        <v>0</v>
      </c>
      <c r="G65" s="323">
        <f t="shared" si="13"/>
        <v>0</v>
      </c>
      <c r="H65" s="493">
        <f>SUM(C65/$C$69)</f>
        <v>6.7198409514243218E-2</v>
      </c>
      <c r="I65" s="408"/>
      <c r="J65" s="408"/>
      <c r="K65" s="813"/>
      <c r="L65" s="408"/>
      <c r="M65" s="446">
        <f t="shared" ref="M65:O67" si="14">M46+M50</f>
        <v>0</v>
      </c>
      <c r="N65" s="446">
        <f t="shared" si="14"/>
        <v>0</v>
      </c>
      <c r="O65" s="446">
        <f t="shared" si="14"/>
        <v>0</v>
      </c>
      <c r="P65" s="447"/>
      <c r="Q65" s="448"/>
    </row>
    <row r="66" spans="2:17" ht="15.75" x14ac:dyDescent="0.25">
      <c r="B66" s="449" t="s">
        <v>100</v>
      </c>
      <c r="C66" s="331" t="e">
        <f t="shared" si="13"/>
        <v>#REF!</v>
      </c>
      <c r="D66" s="331">
        <f t="shared" si="13"/>
        <v>0</v>
      </c>
      <c r="E66" s="331" t="e">
        <f t="shared" si="13"/>
        <v>#REF!</v>
      </c>
      <c r="F66" s="331">
        <f t="shared" si="13"/>
        <v>0</v>
      </c>
      <c r="G66" s="331">
        <f t="shared" si="13"/>
        <v>0</v>
      </c>
      <c r="H66" s="494" t="e">
        <f>SUM(C66/$C$70)</f>
        <v>#REF!</v>
      </c>
      <c r="I66" s="402"/>
      <c r="J66" s="402"/>
      <c r="K66" s="814"/>
      <c r="L66" s="402"/>
      <c r="M66" s="450">
        <f t="shared" si="14"/>
        <v>0</v>
      </c>
      <c r="N66" s="450">
        <f t="shared" si="14"/>
        <v>0</v>
      </c>
      <c r="O66" s="450">
        <f t="shared" si="14"/>
        <v>0</v>
      </c>
      <c r="P66" s="438"/>
      <c r="Q66" s="439"/>
    </row>
    <row r="67" spans="2:17" ht="16.5" thickBot="1" x14ac:dyDescent="0.3">
      <c r="B67" s="427" t="s">
        <v>101</v>
      </c>
      <c r="C67" s="323" t="e">
        <f t="shared" si="13"/>
        <v>#REF!</v>
      </c>
      <c r="D67" s="323">
        <f t="shared" si="13"/>
        <v>0</v>
      </c>
      <c r="E67" s="323" t="e">
        <f t="shared" si="13"/>
        <v>#REF!</v>
      </c>
      <c r="F67" s="323">
        <f t="shared" si="13"/>
        <v>0</v>
      </c>
      <c r="G67" s="323">
        <f t="shared" si="13"/>
        <v>0</v>
      </c>
      <c r="H67" s="498" t="e">
        <f>SUM(C67/$C$71)</f>
        <v>#REF!</v>
      </c>
      <c r="I67" s="429"/>
      <c r="J67" s="429"/>
      <c r="K67" s="815"/>
      <c r="L67" s="429"/>
      <c r="M67" s="451">
        <f t="shared" si="14"/>
        <v>0</v>
      </c>
      <c r="N67" s="451">
        <f t="shared" si="14"/>
        <v>0</v>
      </c>
      <c r="O67" s="451">
        <f t="shared" si="14"/>
        <v>0</v>
      </c>
      <c r="P67" s="452"/>
      <c r="Q67" s="453"/>
    </row>
    <row r="68" spans="2:17" ht="16.5" thickBot="1" x14ac:dyDescent="0.3">
      <c r="B68" s="364" t="s">
        <v>102</v>
      </c>
      <c r="C68" s="430" t="e">
        <f>SUM(C65:C67)</f>
        <v>#REF!</v>
      </c>
      <c r="D68" s="430">
        <f>SUM(D65:D67)</f>
        <v>0</v>
      </c>
      <c r="E68" s="430" t="e">
        <f>SUM(E65:E67)</f>
        <v>#REF!</v>
      </c>
      <c r="F68" s="430">
        <f>SUM(F65:F67)</f>
        <v>0</v>
      </c>
      <c r="G68" s="365">
        <f>SUM(G65:G67)</f>
        <v>0</v>
      </c>
      <c r="H68" s="496" t="e">
        <f>SUM(C68/$C$72)</f>
        <v>#REF!</v>
      </c>
      <c r="I68" s="443"/>
      <c r="J68" s="406"/>
      <c r="K68" s="816"/>
      <c r="L68" s="406"/>
      <c r="M68" s="454">
        <f>SUM(M65:M67)</f>
        <v>0</v>
      </c>
      <c r="N68" s="454">
        <f>SUM(N65:N67)</f>
        <v>0</v>
      </c>
      <c r="O68" s="454">
        <f>SUM(O65:O67)</f>
        <v>0</v>
      </c>
      <c r="P68" s="455"/>
      <c r="Q68" s="456"/>
    </row>
    <row r="69" spans="2:17" ht="16.5" thickBot="1" x14ac:dyDescent="0.3">
      <c r="B69" s="364" t="s">
        <v>103</v>
      </c>
      <c r="C69" s="457">
        <f t="shared" ref="C69:G71" si="15">SUM(C57,C61,C65)</f>
        <v>13047183.800000001</v>
      </c>
      <c r="D69" s="457">
        <f t="shared" si="15"/>
        <v>5339123.5478010932</v>
      </c>
      <c r="E69" s="457">
        <f t="shared" si="15"/>
        <v>18386307.347801097</v>
      </c>
      <c r="F69" s="457">
        <f t="shared" si="15"/>
        <v>20718143.534200296</v>
      </c>
      <c r="G69" s="457">
        <f t="shared" si="15"/>
        <v>20776252.129790612</v>
      </c>
      <c r="H69" s="499" t="e">
        <f>SUM(C69/$C$72)</f>
        <v>#REF!</v>
      </c>
      <c r="I69" s="458"/>
      <c r="J69" s="408"/>
      <c r="K69" s="813"/>
      <c r="L69" s="408"/>
      <c r="M69" s="446">
        <f t="shared" ref="M69:O71" si="16">SUM(M57,M61,M65)</f>
        <v>2663891.3914604215</v>
      </c>
      <c r="N69" s="446">
        <f t="shared" si="16"/>
        <v>39170347.333215497</v>
      </c>
      <c r="O69" s="446">
        <f t="shared" si="16"/>
        <v>29022.161505713426</v>
      </c>
      <c r="P69" s="447">
        <f>SUM(C69/M69)</f>
        <v>4.8977911944252206</v>
      </c>
      <c r="Q69" s="448">
        <f>SUM(C69/N69)</f>
        <v>0.33308828458961115</v>
      </c>
    </row>
    <row r="70" spans="2:17" ht="16.5" thickBot="1" x14ac:dyDescent="0.3">
      <c r="B70" s="364" t="s">
        <v>104</v>
      </c>
      <c r="C70" s="457" t="e">
        <f t="shared" si="15"/>
        <v>#REF!</v>
      </c>
      <c r="D70" s="457" t="e">
        <f t="shared" si="15"/>
        <v>#REF!</v>
      </c>
      <c r="E70" s="457" t="e">
        <f t="shared" si="15"/>
        <v>#REF!</v>
      </c>
      <c r="F70" s="457">
        <f t="shared" si="15"/>
        <v>15918174.24772216</v>
      </c>
      <c r="G70" s="457">
        <f t="shared" si="15"/>
        <v>16520588.716157798</v>
      </c>
      <c r="H70" s="499" t="e">
        <f>SUM(C70/$C$72)</f>
        <v>#REF!</v>
      </c>
      <c r="I70" s="459"/>
      <c r="J70" s="402"/>
      <c r="K70" s="814"/>
      <c r="L70" s="402"/>
      <c r="M70" s="450">
        <f t="shared" si="16"/>
        <v>1979140.0135305293</v>
      </c>
      <c r="N70" s="450">
        <f t="shared" si="16"/>
        <v>30112219.673946239</v>
      </c>
      <c r="O70" s="450">
        <f t="shared" si="16"/>
        <v>20851.578645458168</v>
      </c>
      <c r="P70" s="438" t="e">
        <f>SUM(C70/M70)</f>
        <v>#REF!</v>
      </c>
      <c r="Q70" s="439" t="e">
        <f>SUM(C70/N70)</f>
        <v>#REF!</v>
      </c>
    </row>
    <row r="71" spans="2:17" ht="16.5" thickBot="1" x14ac:dyDescent="0.3">
      <c r="B71" s="364" t="s">
        <v>105</v>
      </c>
      <c r="C71" s="457" t="e">
        <f t="shared" si="15"/>
        <v>#REF!</v>
      </c>
      <c r="D71" s="457" t="e">
        <f t="shared" si="15"/>
        <v>#REF!</v>
      </c>
      <c r="E71" s="457" t="e">
        <f t="shared" si="15"/>
        <v>#REF!</v>
      </c>
      <c r="F71" s="457">
        <f t="shared" si="15"/>
        <v>15268989.605906254</v>
      </c>
      <c r="G71" s="457">
        <f t="shared" si="15"/>
        <v>15909744.354504764</v>
      </c>
      <c r="H71" s="499" t="e">
        <f>SUM(C71/$C$72)</f>
        <v>#REF!</v>
      </c>
      <c r="I71" s="460"/>
      <c r="J71" s="403"/>
      <c r="K71" s="817"/>
      <c r="L71" s="403"/>
      <c r="M71" s="461">
        <f t="shared" si="16"/>
        <v>1879591.0683298022</v>
      </c>
      <c r="N71" s="461">
        <f t="shared" si="16"/>
        <v>28928647.087422952</v>
      </c>
      <c r="O71" s="461">
        <f t="shared" si="16"/>
        <v>19494.518355669989</v>
      </c>
      <c r="P71" s="441" t="e">
        <f>SUM(C71/M71)</f>
        <v>#REF!</v>
      </c>
      <c r="Q71" s="442" t="e">
        <f>SUM(C71/N71)</f>
        <v>#REF!</v>
      </c>
    </row>
    <row r="72" spans="2:17" ht="16.5" thickBot="1" x14ac:dyDescent="0.3">
      <c r="B72" s="364" t="s">
        <v>106</v>
      </c>
      <c r="C72" s="411" t="e">
        <f>SUM(C69:C71)</f>
        <v>#REF!</v>
      </c>
      <c r="D72" s="411" t="e">
        <f>SUM(D69:D71)</f>
        <v>#REF!</v>
      </c>
      <c r="E72" s="411" t="e">
        <f>SUM(E69:E71)</f>
        <v>#REF!</v>
      </c>
      <c r="F72" s="411">
        <f>SUM(F69:F71)</f>
        <v>51905307.387828715</v>
      </c>
      <c r="G72" s="411">
        <f>SUM(G69:G71)</f>
        <v>53206585.200453177</v>
      </c>
      <c r="H72" s="500" t="e">
        <f>SUM(C72/$C$72)</f>
        <v>#REF!</v>
      </c>
      <c r="I72" s="317" t="e">
        <f>F72/C72</f>
        <v>#REF!</v>
      </c>
      <c r="J72" s="317" t="e">
        <f>G72/E72</f>
        <v>#REF!</v>
      </c>
      <c r="K72" s="818"/>
      <c r="L72" s="462"/>
      <c r="M72" s="395">
        <f>SUM(M69:M71)</f>
        <v>6522622.4733207524</v>
      </c>
      <c r="N72" s="395">
        <f>SUM(N69:N71)</f>
        <v>98211214.094584689</v>
      </c>
      <c r="O72" s="395">
        <f>SUM(O69:O71)</f>
        <v>69368.258506841579</v>
      </c>
      <c r="P72" s="367" t="e">
        <f>SUM(C72/M72)</f>
        <v>#REF!</v>
      </c>
      <c r="Q72" s="367" t="e">
        <f>SUM(C72/N72)</f>
        <v>#REF!</v>
      </c>
    </row>
    <row r="73" spans="2:17" x14ac:dyDescent="0.2">
      <c r="C73" s="706"/>
    </row>
    <row r="75" spans="2:17" x14ac:dyDescent="0.2">
      <c r="C75" s="824"/>
    </row>
  </sheetData>
  <mergeCells count="7">
    <mergeCell ref="B6:Q6"/>
    <mergeCell ref="B45:Q45"/>
    <mergeCell ref="B1:Q1"/>
    <mergeCell ref="B2:Q2"/>
    <mergeCell ref="B25:Q25"/>
    <mergeCell ref="B30:Q30"/>
    <mergeCell ref="B3:Q3"/>
  </mergeCells>
  <phoneticPr fontId="0" type="noConversion"/>
  <pageMargins left="0.24" right="0.21" top="0.19" bottom="0.17" header="0.19" footer="0.17"/>
  <pageSetup scale="49" orientation="landscape" r:id="rId1"/>
  <headerFooter alignWithMargins="0">
    <oddFooter>&amp;C&amp;"Arial"&amp;11&amp;K000000Totals may vary due to rounding_x000D_&amp;1#&amp;"Calibri"&amp;12&amp;K008000Internal Use</oddFooter>
  </headerFooter>
  <rowBreaks count="1" manualBreakCount="1">
    <brk id="71" min="1"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tabColor theme="3" tint="0.59999389629810485"/>
  </sheetPr>
  <dimension ref="A1:U51"/>
  <sheetViews>
    <sheetView topLeftCell="A7" workbookViewId="0">
      <selection sqref="A1:E1"/>
    </sheetView>
  </sheetViews>
  <sheetFormatPr defaultRowHeight="12.75" x14ac:dyDescent="0.2"/>
  <cols>
    <col min="1" max="1" width="27.5703125" bestFit="1" customWidth="1"/>
    <col min="3" max="3" width="10.85546875" bestFit="1" customWidth="1"/>
    <col min="4" max="4" width="13" customWidth="1"/>
    <col min="5" max="5" width="13.140625" bestFit="1" customWidth="1"/>
  </cols>
  <sheetData>
    <row r="1" spans="1:5" ht="15" x14ac:dyDescent="0.25">
      <c r="A1" s="2855" t="s">
        <v>577</v>
      </c>
      <c r="B1" s="2855"/>
      <c r="C1" s="2855"/>
      <c r="D1" s="2855"/>
      <c r="E1" s="2855"/>
    </row>
    <row r="26" spans="1:21" ht="44.25" customHeight="1" x14ac:dyDescent="0.2">
      <c r="F26" s="206"/>
      <c r="G26" s="206"/>
      <c r="H26" s="53"/>
      <c r="I26" s="49"/>
      <c r="O26" s="15"/>
      <c r="P26" s="15"/>
      <c r="Q26" s="13"/>
      <c r="R26" s="13"/>
      <c r="S26" s="44"/>
      <c r="T26" s="25"/>
      <c r="U26" s="13"/>
    </row>
    <row r="27" spans="1:21" ht="38.25" x14ac:dyDescent="0.2">
      <c r="A27" s="209" t="s">
        <v>20</v>
      </c>
      <c r="B27" s="209"/>
      <c r="C27" s="209" t="s">
        <v>679</v>
      </c>
      <c r="D27" s="209" t="s">
        <v>57</v>
      </c>
      <c r="E27" s="209" t="s">
        <v>21</v>
      </c>
      <c r="F27" s="207"/>
      <c r="G27" s="207"/>
      <c r="H27" s="49"/>
      <c r="I27" s="49"/>
      <c r="O27" s="15"/>
      <c r="P27" s="15"/>
      <c r="Q27" s="13"/>
      <c r="R27" s="13"/>
      <c r="S27" s="44"/>
      <c r="T27" s="25"/>
      <c r="U27" s="13"/>
    </row>
    <row r="28" spans="1:21" x14ac:dyDescent="0.2">
      <c r="A28" s="176" t="s">
        <v>228</v>
      </c>
      <c r="B28" s="54"/>
      <c r="C28" s="55" t="e">
        <f>'SCG Table A'!#REF!</f>
        <v>#REF!</v>
      </c>
      <c r="D28" s="56" t="e">
        <f>C28/$C$41</f>
        <v>#REF!</v>
      </c>
      <c r="E28" s="57" t="e">
        <f>C28/$C$35</f>
        <v>#REF!</v>
      </c>
      <c r="F28" s="207"/>
      <c r="G28" s="207"/>
      <c r="H28" s="49"/>
      <c r="I28" s="58"/>
      <c r="J28" s="32"/>
      <c r="K28" s="32"/>
      <c r="L28" s="32"/>
      <c r="M28" s="32"/>
      <c r="O28" s="15"/>
      <c r="P28" s="15"/>
      <c r="Q28" s="13"/>
      <c r="R28" s="13"/>
      <c r="S28" s="44"/>
      <c r="T28" s="25"/>
      <c r="U28" s="13"/>
    </row>
    <row r="29" spans="1:21" x14ac:dyDescent="0.2">
      <c r="A29" s="176" t="s">
        <v>229</v>
      </c>
      <c r="B29" s="54"/>
      <c r="C29" s="55" t="e">
        <f>'SCG Table A'!#REF!-'SCG 2016 Table A Pie Charts'!C28</f>
        <v>#REF!</v>
      </c>
      <c r="D29" s="56" t="e">
        <f>C29/$C$41</f>
        <v>#REF!</v>
      </c>
      <c r="E29" s="57" t="e">
        <f>C29/$C$35</f>
        <v>#REF!</v>
      </c>
      <c r="F29" s="207"/>
      <c r="G29" s="207"/>
      <c r="H29" s="49"/>
      <c r="I29" s="49"/>
      <c r="O29" s="15"/>
      <c r="P29" s="15"/>
      <c r="Q29" s="13"/>
      <c r="R29" s="13"/>
      <c r="S29" s="44"/>
      <c r="T29" s="25"/>
      <c r="U29" s="13"/>
    </row>
    <row r="30" spans="1:21" x14ac:dyDescent="0.2">
      <c r="A30" s="108" t="s">
        <v>22</v>
      </c>
      <c r="B30" s="60"/>
      <c r="C30" s="61" t="e">
        <f>SUM(C28:C29)</f>
        <v>#REF!</v>
      </c>
      <c r="D30" s="62" t="e">
        <f>C30/$C$41</f>
        <v>#REF!</v>
      </c>
      <c r="E30" s="62" t="e">
        <f>C30/$C$35</f>
        <v>#REF!</v>
      </c>
      <c r="F30" s="207"/>
      <c r="G30" s="207"/>
      <c r="H30" s="65"/>
      <c r="I30" s="65"/>
      <c r="O30" s="13"/>
      <c r="P30" s="13"/>
      <c r="Q30" s="13"/>
      <c r="R30" s="13"/>
      <c r="S30" s="13"/>
      <c r="T30" s="13"/>
      <c r="U30" s="13"/>
    </row>
    <row r="31" spans="1:21" x14ac:dyDescent="0.2">
      <c r="A31" s="54"/>
      <c r="B31" s="54"/>
      <c r="C31" s="55"/>
      <c r="D31" s="56"/>
      <c r="E31" s="57"/>
      <c r="F31" s="207"/>
      <c r="G31" s="207"/>
      <c r="H31" s="65"/>
      <c r="I31" s="65"/>
      <c r="O31" s="13"/>
      <c r="P31" s="13"/>
      <c r="Q31" s="13"/>
      <c r="R31" s="13"/>
      <c r="S31" s="13"/>
      <c r="T31" s="13"/>
      <c r="U31" s="13"/>
    </row>
    <row r="32" spans="1:21" x14ac:dyDescent="0.2">
      <c r="A32" s="176" t="s">
        <v>56</v>
      </c>
      <c r="B32" s="54"/>
      <c r="C32" s="55" t="e">
        <f>'SCG Table A'!#REF!</f>
        <v>#REF!</v>
      </c>
      <c r="D32" s="56" t="e">
        <f>C32/$C$41</f>
        <v>#REF!</v>
      </c>
      <c r="E32" s="57" t="e">
        <f>C32/$C$35</f>
        <v>#REF!</v>
      </c>
      <c r="F32" s="207"/>
      <c r="G32" s="207"/>
      <c r="H32" s="49"/>
      <c r="I32" s="50"/>
      <c r="O32" s="13"/>
      <c r="P32" s="13"/>
      <c r="Q32" s="13"/>
      <c r="R32" s="13"/>
      <c r="S32" s="13"/>
      <c r="T32" s="13"/>
      <c r="U32" s="13"/>
    </row>
    <row r="33" spans="1:9" x14ac:dyDescent="0.2">
      <c r="A33" s="108" t="s">
        <v>23</v>
      </c>
      <c r="B33" s="60"/>
      <c r="C33" s="61" t="e">
        <f>+C32</f>
        <v>#REF!</v>
      </c>
      <c r="D33" s="62" t="e">
        <f>C33/$C$41</f>
        <v>#REF!</v>
      </c>
      <c r="E33" s="62" t="e">
        <f>C33/$C$35</f>
        <v>#REF!</v>
      </c>
      <c r="F33" s="165"/>
      <c r="G33" s="165"/>
      <c r="H33" s="49"/>
      <c r="I33" s="50"/>
    </row>
    <row r="34" spans="1:9" x14ac:dyDescent="0.2">
      <c r="A34" s="49"/>
      <c r="B34" s="49"/>
      <c r="C34" s="49"/>
      <c r="D34" s="63"/>
      <c r="E34" s="63"/>
      <c r="F34" s="207"/>
      <c r="G34" s="208"/>
      <c r="H34" s="49"/>
      <c r="I34" s="50"/>
    </row>
    <row r="35" spans="1:9" x14ac:dyDescent="0.2">
      <c r="A35" s="108" t="s">
        <v>29</v>
      </c>
      <c r="B35" s="59"/>
      <c r="C35" s="61" t="e">
        <f>+C33+C30</f>
        <v>#REF!</v>
      </c>
      <c r="D35" s="62" t="e">
        <f>C35/$C$41</f>
        <v>#REF!</v>
      </c>
      <c r="E35" s="62" t="e">
        <f>C35/$C$35</f>
        <v>#REF!</v>
      </c>
      <c r="F35" s="203"/>
      <c r="G35" s="203"/>
      <c r="H35" s="49"/>
      <c r="I35" s="137"/>
    </row>
    <row r="36" spans="1:9" s="34" customFormat="1" ht="15" customHeight="1" x14ac:dyDescent="0.2">
      <c r="A36" s="54"/>
      <c r="B36" s="54"/>
      <c r="C36" s="55"/>
      <c r="D36" s="57"/>
      <c r="E36" s="66"/>
      <c r="F36" s="68"/>
      <c r="G36" s="202"/>
      <c r="H36" s="51"/>
      <c r="I36" s="51"/>
    </row>
    <row r="37" spans="1:9" s="34" customFormat="1" ht="15" customHeight="1" x14ac:dyDescent="0.25">
      <c r="A37" s="177" t="s">
        <v>24</v>
      </c>
      <c r="B37" s="67"/>
      <c r="C37" s="68"/>
      <c r="D37" s="69"/>
      <c r="E37" s="51"/>
      <c r="F37" s="68"/>
      <c r="G37" s="202"/>
      <c r="H37" s="51"/>
      <c r="I37" s="51"/>
    </row>
    <row r="38" spans="1:9" s="34" customFormat="1" ht="15" customHeight="1" x14ac:dyDescent="0.2">
      <c r="A38" s="176" t="s">
        <v>24</v>
      </c>
      <c r="B38" s="54"/>
      <c r="C38" s="70" t="e">
        <f>'SCG Table A'!#REF!</f>
        <v>#REF!</v>
      </c>
      <c r="D38" s="56" t="e">
        <f>C38/$C$41</f>
        <v>#REF!</v>
      </c>
      <c r="E38" s="51"/>
      <c r="F38" s="68"/>
      <c r="G38" s="203"/>
      <c r="H38" s="51"/>
      <c r="I38" s="51"/>
    </row>
    <row r="39" spans="1:9" s="34" customFormat="1" x14ac:dyDescent="0.2">
      <c r="A39" s="108" t="s">
        <v>25</v>
      </c>
      <c r="B39" s="71"/>
      <c r="C39" s="72" t="e">
        <f>SUM(C38)</f>
        <v>#REF!</v>
      </c>
      <c r="D39" s="73" t="e">
        <f>C39/$C$41</f>
        <v>#REF!</v>
      </c>
      <c r="E39" s="74"/>
      <c r="F39" s="204"/>
      <c r="G39" s="205"/>
      <c r="H39" s="51"/>
      <c r="I39" s="51"/>
    </row>
    <row r="40" spans="1:9" s="34" customFormat="1" x14ac:dyDescent="0.2">
      <c r="A40" s="75"/>
      <c r="B40" s="75"/>
      <c r="C40" s="76"/>
      <c r="D40" s="77"/>
      <c r="E40" s="78"/>
      <c r="F40" s="52"/>
      <c r="G40" s="52"/>
      <c r="H40" s="51"/>
      <c r="I40" s="51"/>
    </row>
    <row r="41" spans="1:9" s="37" customFormat="1" x14ac:dyDescent="0.2">
      <c r="A41" s="79" t="s">
        <v>16</v>
      </c>
      <c r="B41" s="79"/>
      <c r="C41" s="80" t="e">
        <f>C39+C35</f>
        <v>#REF!</v>
      </c>
      <c r="D41" s="57" t="e">
        <f>C41/$C$41</f>
        <v>#REF!</v>
      </c>
      <c r="E41" s="51"/>
      <c r="F41" s="201"/>
      <c r="G41" s="201"/>
    </row>
    <row r="42" spans="1:9" x14ac:dyDescent="0.2">
      <c r="A42" s="35"/>
      <c r="B42" s="35"/>
      <c r="C42" s="38"/>
      <c r="D42" s="30"/>
      <c r="E42" s="37"/>
    </row>
    <row r="43" spans="1:9" x14ac:dyDescent="0.2">
      <c r="A43" s="2249" t="s">
        <v>680</v>
      </c>
    </row>
    <row r="48" spans="1:9" ht="51" x14ac:dyDescent="0.2">
      <c r="A48" s="209" t="s">
        <v>20</v>
      </c>
      <c r="B48" s="209" t="s">
        <v>21</v>
      </c>
    </row>
    <row r="49" spans="1:2" x14ac:dyDescent="0.2">
      <c r="A49" s="176" t="s">
        <v>228</v>
      </c>
      <c r="B49" s="2248" t="e">
        <f>E28</f>
        <v>#REF!</v>
      </c>
    </row>
    <row r="50" spans="1:2" x14ac:dyDescent="0.2">
      <c r="A50" s="176" t="s">
        <v>229</v>
      </c>
      <c r="B50" s="2248" t="e">
        <f>E29</f>
        <v>#REF!</v>
      </c>
    </row>
    <row r="51" spans="1:2" x14ac:dyDescent="0.2">
      <c r="A51" s="176" t="s">
        <v>56</v>
      </c>
      <c r="B51" s="2248" t="e">
        <f>E32</f>
        <v>#REF!</v>
      </c>
    </row>
  </sheetData>
  <mergeCells count="1">
    <mergeCell ref="A1:E1"/>
  </mergeCells>
  <printOptions horizontalCentered="1"/>
  <pageMargins left="0.7" right="0.7" top="0.75" bottom="0.75" header="0.3" footer="0.3"/>
  <pageSetup orientation="portrait" r:id="rId1"/>
  <headerFooter>
    <oddFooter>&amp;C&amp;1#&amp;"Calibri"&amp;12&amp;K008000Internal Use</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pageSetUpPr fitToPage="1"/>
  </sheetPr>
  <dimension ref="B2:AD86"/>
  <sheetViews>
    <sheetView zoomScale="75" zoomScaleNormal="100" workbookViewId="0">
      <pane xSplit="2" ySplit="6" topLeftCell="C7" activePane="bottomRight" state="frozen"/>
      <selection activeCell="C9" sqref="C9"/>
      <selection pane="topRight" activeCell="C9" sqref="C9"/>
      <selection pane="bottomLeft" activeCell="C9" sqref="C9"/>
      <selection pane="bottomRight" activeCell="C8" sqref="C8"/>
    </sheetView>
  </sheetViews>
  <sheetFormatPr defaultRowHeight="12.75" x14ac:dyDescent="0.2"/>
  <cols>
    <col min="1" max="1" width="9.140625" style="321"/>
    <col min="2" max="2" width="49.140625" style="321" bestFit="1" customWidth="1"/>
    <col min="3" max="3" width="18" style="321" bestFit="1" customWidth="1"/>
    <col min="4" max="4" width="15.7109375" style="321" customWidth="1"/>
    <col min="5" max="5" width="15.5703125" style="321" customWidth="1"/>
    <col min="6" max="6" width="16.140625" style="321" bestFit="1" customWidth="1"/>
    <col min="7" max="7" width="16.7109375" style="321" customWidth="1"/>
    <col min="8" max="8" width="12.28515625" style="321" customWidth="1"/>
    <col min="9" max="9" width="12.85546875" style="321" customWidth="1"/>
    <col min="10" max="10" width="13.140625" style="321" customWidth="1"/>
    <col min="11" max="11" width="11.28515625" style="819" customWidth="1"/>
    <col min="12" max="12" width="14.7109375" style="321" customWidth="1"/>
    <col min="13" max="13" width="13.7109375" style="321" customWidth="1"/>
    <col min="14" max="14" width="16.85546875" style="321" bestFit="1" customWidth="1"/>
    <col min="15" max="15" width="11.28515625" style="321" customWidth="1"/>
    <col min="16" max="16" width="10.140625" style="321" customWidth="1"/>
    <col min="17" max="17" width="13.85546875" style="321" customWidth="1"/>
    <col min="18" max="18" width="14.7109375" style="321" customWidth="1"/>
    <col min="19" max="19" width="14.5703125" style="321" customWidth="1"/>
    <col min="20" max="20" width="14.7109375" style="321" customWidth="1"/>
    <col min="21" max="21" width="14.5703125" style="321" customWidth="1"/>
    <col min="22" max="22" width="14.7109375" style="321" customWidth="1"/>
    <col min="23" max="23" width="14.5703125" style="321" customWidth="1"/>
    <col min="24" max="24" width="10.140625" style="321" customWidth="1"/>
    <col min="25" max="25" width="13.85546875" style="321" customWidth="1"/>
    <col min="26" max="26" width="10.28515625" style="321" bestFit="1" customWidth="1"/>
    <col min="27" max="27" width="12" style="321" bestFit="1" customWidth="1"/>
    <col min="28" max="16384" width="9.140625" style="321"/>
  </cols>
  <sheetData>
    <row r="2" spans="2:29" s="284" customFormat="1" ht="18" x14ac:dyDescent="0.25">
      <c r="B2" s="2153" t="s">
        <v>78</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row>
    <row r="3" spans="2:29" s="284" customFormat="1" ht="18" customHeight="1" x14ac:dyDescent="0.25">
      <c r="B3" s="2154" t="s">
        <v>499</v>
      </c>
      <c r="C3" s="2153"/>
      <c r="D3" s="2153"/>
      <c r="E3" s="2153"/>
      <c r="F3" s="2153"/>
      <c r="G3" s="2153"/>
      <c r="H3" s="2153"/>
      <c r="I3" s="2153"/>
      <c r="J3" s="2153"/>
      <c r="K3" s="2153"/>
      <c r="L3" s="2153"/>
      <c r="M3" s="2153"/>
      <c r="N3" s="2153"/>
      <c r="O3" s="2153"/>
      <c r="P3" s="2153"/>
      <c r="Q3" s="2153"/>
      <c r="R3" s="2153"/>
      <c r="S3" s="2153"/>
      <c r="T3" s="2153"/>
      <c r="U3" s="2153"/>
      <c r="V3" s="2153"/>
      <c r="W3" s="2153"/>
      <c r="X3" s="2153"/>
      <c r="Y3" s="2153"/>
    </row>
    <row r="4" spans="2:29" s="284" customFormat="1" ht="13.5" thickBot="1" x14ac:dyDescent="0.25">
      <c r="C4" s="243"/>
      <c r="K4" s="802"/>
    </row>
    <row r="5" spans="2:29" ht="63.75" thickBot="1" x14ac:dyDescent="0.3">
      <c r="B5" s="315" t="s">
        <v>79</v>
      </c>
      <c r="C5" s="941" t="s">
        <v>496</v>
      </c>
      <c r="D5" s="941" t="s">
        <v>356</v>
      </c>
      <c r="E5" s="941" t="s">
        <v>357</v>
      </c>
      <c r="F5" s="941" t="s">
        <v>497</v>
      </c>
      <c r="G5" s="315" t="s">
        <v>161</v>
      </c>
      <c r="H5" s="943" t="s">
        <v>358</v>
      </c>
      <c r="I5" s="941" t="s">
        <v>498</v>
      </c>
      <c r="J5" s="317" t="s">
        <v>162</v>
      </c>
      <c r="K5" s="2140" t="s">
        <v>163</v>
      </c>
      <c r="L5" s="318" t="s">
        <v>81</v>
      </c>
      <c r="M5" s="2141" t="s">
        <v>166</v>
      </c>
      <c r="N5" s="2141" t="s">
        <v>165</v>
      </c>
      <c r="O5" s="2142" t="s">
        <v>463</v>
      </c>
      <c r="P5" s="319" t="s">
        <v>164</v>
      </c>
      <c r="Q5" s="320" t="s">
        <v>167</v>
      </c>
      <c r="R5" s="941" t="s">
        <v>512</v>
      </c>
      <c r="S5" s="941" t="s">
        <v>513</v>
      </c>
      <c r="T5" s="941" t="s">
        <v>514</v>
      </c>
      <c r="U5" s="941" t="s">
        <v>515</v>
      </c>
      <c r="V5" s="941" t="s">
        <v>508</v>
      </c>
      <c r="W5" s="941" t="s">
        <v>509</v>
      </c>
      <c r="X5" s="319" t="s">
        <v>510</v>
      </c>
      <c r="Y5" s="320" t="s">
        <v>511</v>
      </c>
    </row>
    <row r="6" spans="2:29" ht="16.5" thickBot="1" x14ac:dyDescent="0.3">
      <c r="B6" s="2160" t="s">
        <v>5</v>
      </c>
      <c r="C6" s="2161"/>
      <c r="D6" s="2161"/>
      <c r="E6" s="2161"/>
      <c r="F6" s="2161"/>
      <c r="G6" s="2161"/>
      <c r="H6" s="2161"/>
      <c r="I6" s="2161"/>
      <c r="J6" s="2161"/>
      <c r="K6" s="2161"/>
      <c r="L6" s="2161"/>
      <c r="M6" s="2161"/>
      <c r="N6" s="2161"/>
      <c r="O6" s="2161"/>
      <c r="P6" s="2161"/>
      <c r="Q6" s="2161"/>
      <c r="R6" s="2161"/>
      <c r="S6" s="2161"/>
      <c r="T6" s="2161"/>
      <c r="U6" s="2161"/>
      <c r="V6" s="2161"/>
      <c r="W6" s="2161"/>
      <c r="X6" s="2161"/>
      <c r="Y6" s="2161"/>
    </row>
    <row r="7" spans="2:29" s="284" customFormat="1" ht="19.5" hidden="1" customHeight="1" thickBot="1" x14ac:dyDescent="0.25">
      <c r="B7" s="359" t="s">
        <v>232</v>
      </c>
      <c r="C7" s="2132"/>
      <c r="D7" s="2133"/>
      <c r="E7" s="2133"/>
      <c r="F7" s="2133"/>
      <c r="G7" s="2133"/>
      <c r="H7" s="337"/>
      <c r="I7" s="338"/>
      <c r="J7" s="338"/>
      <c r="K7" s="2119"/>
      <c r="L7" s="2134"/>
      <c r="M7" s="2119"/>
      <c r="N7" s="2119"/>
      <c r="O7" s="2119"/>
      <c r="P7" s="341"/>
      <c r="Q7" s="336"/>
      <c r="R7" s="2119"/>
      <c r="S7" s="2119"/>
      <c r="T7" s="2119"/>
      <c r="U7" s="2119"/>
      <c r="V7" s="2119">
        <f>+(M7*102900+R7*138690+T7*91330)/10^6</f>
        <v>0</v>
      </c>
      <c r="W7" s="2119">
        <f>+(N7*102900+S7*138690+U7*91330)/10^6</f>
        <v>0</v>
      </c>
      <c r="X7" s="341" t="s">
        <v>3</v>
      </c>
      <c r="Y7" s="336" t="s">
        <v>3</v>
      </c>
    </row>
    <row r="8" spans="2:29" s="284" customFormat="1" ht="18" customHeight="1" x14ac:dyDescent="0.2">
      <c r="B8" s="2135" t="s">
        <v>233</v>
      </c>
      <c r="C8" s="2136" t="e">
        <f>'2013-2015 Combined Table A1'!H12</f>
        <v>#REF!</v>
      </c>
      <c r="D8" s="351" t="e">
        <f>E8-C8</f>
        <v>#REF!</v>
      </c>
      <c r="E8" s="351">
        <v>2744857</v>
      </c>
      <c r="F8" s="351">
        <v>5383951.9655549461</v>
      </c>
      <c r="G8" s="351">
        <v>6202722.4950519372</v>
      </c>
      <c r="H8" s="401" t="e">
        <f>SUM(C8/$C$71)</f>
        <v>#REF!</v>
      </c>
      <c r="I8" s="2137" t="e">
        <f>F8/C8</f>
        <v>#REF!</v>
      </c>
      <c r="J8" s="2137">
        <f>G8/E8</f>
        <v>2.2597616178372633</v>
      </c>
      <c r="K8" s="2121">
        <v>4124.459417192149</v>
      </c>
      <c r="L8" s="354" t="s">
        <v>241</v>
      </c>
      <c r="M8" s="2121">
        <v>341437.16151003132</v>
      </c>
      <c r="N8" s="2121">
        <v>6706838.9098477773</v>
      </c>
      <c r="O8" s="2121">
        <v>2985.0827815866846</v>
      </c>
      <c r="P8" s="2120" t="e">
        <f>C8/M8</f>
        <v>#REF!</v>
      </c>
      <c r="Q8" s="2138" t="e">
        <f>C8/N8</f>
        <v>#REF!</v>
      </c>
      <c r="R8" s="2121"/>
      <c r="S8" s="2121"/>
      <c r="T8" s="2121"/>
      <c r="U8" s="2121"/>
      <c r="V8" s="2121">
        <f t="shared" ref="V8:W14" si="0">+(M8*102900+R8*138690+T8*91330)/10^6</f>
        <v>35133.883919382228</v>
      </c>
      <c r="W8" s="2121">
        <f t="shared" si="0"/>
        <v>690133.7238233363</v>
      </c>
      <c r="X8" s="2120" t="e">
        <f>+C8/V8</f>
        <v>#REF!</v>
      </c>
      <c r="Y8" s="2138" t="e">
        <f>+C8/W8</f>
        <v>#REF!</v>
      </c>
    </row>
    <row r="9" spans="2:29" s="284" customFormat="1" ht="19.5" customHeight="1" thickBot="1" x14ac:dyDescent="0.25">
      <c r="B9" s="322" t="s">
        <v>234</v>
      </c>
      <c r="C9" s="610" t="e">
        <f>'2013-2015 Combined Table A1'!I12</f>
        <v>#REF!</v>
      </c>
      <c r="D9" s="331" t="e">
        <f>E9-C9</f>
        <v>#REF!</v>
      </c>
      <c r="E9" s="331">
        <v>2680076</v>
      </c>
      <c r="F9" s="331">
        <v>5325358.7635812862</v>
      </c>
      <c r="G9" s="331">
        <v>6135218.6662168531</v>
      </c>
      <c r="H9" s="332" t="e">
        <f>SUM(C9/$C$72)</f>
        <v>#REF!</v>
      </c>
      <c r="I9" s="333" t="e">
        <f>F9/C9</f>
        <v>#REF!</v>
      </c>
      <c r="J9" s="333">
        <f>G9/E9</f>
        <v>2.2891957788573358</v>
      </c>
      <c r="K9" s="804">
        <v>4079.5731913844488</v>
      </c>
      <c r="L9" s="326" t="s">
        <v>241</v>
      </c>
      <c r="M9" s="804">
        <v>337721.32290417759</v>
      </c>
      <c r="N9" s="804">
        <v>6633848.8145862157</v>
      </c>
      <c r="O9" s="804">
        <v>2952.5963182139421</v>
      </c>
      <c r="P9" s="335" t="e">
        <f>C9/M9</f>
        <v>#REF!</v>
      </c>
      <c r="Q9" s="336" t="e">
        <f>C9/N9</f>
        <v>#REF!</v>
      </c>
      <c r="R9" s="804"/>
      <c r="S9" s="804"/>
      <c r="T9" s="804"/>
      <c r="U9" s="804"/>
      <c r="V9" s="804">
        <f t="shared" si="0"/>
        <v>34751.524126839875</v>
      </c>
      <c r="W9" s="804">
        <f t="shared" si="0"/>
        <v>682623.04302092164</v>
      </c>
      <c r="X9" s="335" t="e">
        <f>+C9/V9</f>
        <v>#REF!</v>
      </c>
      <c r="Y9" s="336" t="e">
        <f>+C9/W9</f>
        <v>#REF!</v>
      </c>
    </row>
    <row r="10" spans="2:29" ht="19.5" customHeight="1" thickBot="1" x14ac:dyDescent="0.3">
      <c r="B10" s="342" t="s">
        <v>235</v>
      </c>
      <c r="C10" s="343" t="e">
        <f>SUM(C7:C9)</f>
        <v>#REF!</v>
      </c>
      <c r="D10" s="343" t="e">
        <f>SUM(D7:D9)</f>
        <v>#REF!</v>
      </c>
      <c r="E10" s="343">
        <f>SUM(E7:E9)</f>
        <v>5424933</v>
      </c>
      <c r="F10" s="343">
        <f>SUM(F7:F9)</f>
        <v>10709310.729136232</v>
      </c>
      <c r="G10" s="343">
        <f>SUM(G7:G9)</f>
        <v>12337941.161268789</v>
      </c>
      <c r="H10" s="344" t="e">
        <f>SUM(C10/$C$73)</f>
        <v>#REF!</v>
      </c>
      <c r="I10" s="345" t="e">
        <f>F10/C10</f>
        <v>#REF!</v>
      </c>
      <c r="J10" s="345">
        <f>G10/E10</f>
        <v>2.27430295660219</v>
      </c>
      <c r="K10" s="346">
        <f>SUM(K7:K9)</f>
        <v>8204.0326085765973</v>
      </c>
      <c r="L10" s="347" t="s">
        <v>241</v>
      </c>
      <c r="M10" s="348">
        <f>SUM(M7:M9)</f>
        <v>679158.48441420891</v>
      </c>
      <c r="N10" s="348">
        <f>SUM(N7:N9)</f>
        <v>13340687.724433992</v>
      </c>
      <c r="O10" s="348">
        <f>SUM(O7:O9)</f>
        <v>5937.6790998006272</v>
      </c>
      <c r="P10" s="349" t="e">
        <f>C10/M10</f>
        <v>#REF!</v>
      </c>
      <c r="Q10" s="350" t="e">
        <f>C10/N10</f>
        <v>#REF!</v>
      </c>
      <c r="R10" s="348">
        <f>SUM(R7:R9)</f>
        <v>0</v>
      </c>
      <c r="S10" s="348">
        <f>SUM(S7:S9)</f>
        <v>0</v>
      </c>
      <c r="T10" s="348"/>
      <c r="U10" s="348"/>
      <c r="V10" s="346">
        <f t="shared" si="0"/>
        <v>69885.408046222088</v>
      </c>
      <c r="W10" s="346">
        <f t="shared" si="0"/>
        <v>1372756.7668442577</v>
      </c>
      <c r="X10" s="349" t="e">
        <f>+C10/V10</f>
        <v>#REF!</v>
      </c>
      <c r="Y10" s="350" t="e">
        <f>+C10/W10</f>
        <v>#REF!</v>
      </c>
      <c r="Z10" s="798" t="s">
        <v>291</v>
      </c>
      <c r="AA10" s="321" t="s">
        <v>290</v>
      </c>
      <c r="AB10" s="704" t="s">
        <v>494</v>
      </c>
    </row>
    <row r="11" spans="2:29" s="284" customFormat="1" ht="15" hidden="1" x14ac:dyDescent="0.2">
      <c r="B11" s="322" t="s">
        <v>139</v>
      </c>
      <c r="C11" s="323"/>
      <c r="D11" s="331"/>
      <c r="E11" s="331"/>
      <c r="F11" s="331"/>
      <c r="G11" s="331"/>
      <c r="H11" s="332"/>
      <c r="I11" s="333"/>
      <c r="J11" s="333"/>
      <c r="K11" s="804"/>
      <c r="L11" s="326"/>
      <c r="M11" s="804"/>
      <c r="N11" s="804"/>
      <c r="O11" s="804"/>
      <c r="P11" s="335"/>
      <c r="Q11" s="336"/>
      <c r="R11" s="804"/>
      <c r="S11" s="804"/>
      <c r="T11" s="804"/>
      <c r="U11" s="804"/>
      <c r="V11" s="804">
        <f>+(M11*102900+R11*138690+T11*91330)/10^6</f>
        <v>0</v>
      </c>
      <c r="W11" s="804">
        <f>+(N11*102900+S11*138690+U11*91330)/10^6</f>
        <v>0</v>
      </c>
      <c r="X11" s="335" t="s">
        <v>3</v>
      </c>
      <c r="Y11" s="336" t="s">
        <v>3</v>
      </c>
      <c r="Z11" s="306" t="e">
        <f>C11/K11</f>
        <v>#DIV/0!</v>
      </c>
      <c r="AA11" s="393" t="e">
        <f>M11/K11</f>
        <v>#DIV/0!</v>
      </c>
      <c r="AB11" s="797"/>
    </row>
    <row r="12" spans="2:29" s="284" customFormat="1" ht="42" customHeight="1" x14ac:dyDescent="0.2">
      <c r="B12" s="330" t="s">
        <v>140</v>
      </c>
      <c r="C12" s="323" t="e">
        <f>'2013-2015 Combined Table A1'!H13</f>
        <v>#REF!</v>
      </c>
      <c r="D12" s="331" t="e">
        <f>E12-C12</f>
        <v>#REF!</v>
      </c>
      <c r="E12" s="331">
        <v>6689963.0484443018</v>
      </c>
      <c r="F12" s="331">
        <v>13313087.860980228</v>
      </c>
      <c r="G12" s="331">
        <v>14008485.06659345</v>
      </c>
      <c r="H12" s="332" t="e">
        <f>SUM(C12/$C$71)</f>
        <v>#REF!</v>
      </c>
      <c r="I12" s="333" t="e">
        <f>F12/C12</f>
        <v>#REF!</v>
      </c>
      <c r="J12" s="333">
        <f>G12/E12</f>
        <v>2.0939555218994839</v>
      </c>
      <c r="K12" s="804">
        <v>5553.4695393759284</v>
      </c>
      <c r="L12" s="326" t="s">
        <v>292</v>
      </c>
      <c r="M12" s="804">
        <v>619313.46734291408</v>
      </c>
      <c r="N12" s="804">
        <v>12358649.234807389</v>
      </c>
      <c r="O12" s="804">
        <v>5529.1238063553001</v>
      </c>
      <c r="P12" s="335" t="e">
        <f>C12/M12</f>
        <v>#REF!</v>
      </c>
      <c r="Q12" s="336" t="e">
        <f>C12/N12</f>
        <v>#REF!</v>
      </c>
      <c r="R12" s="804">
        <v>46057.585963843165</v>
      </c>
      <c r="S12" s="804">
        <v>921151.71927686327</v>
      </c>
      <c r="T12" s="804">
        <v>2760.8354596080499</v>
      </c>
      <c r="U12" s="804">
        <v>55216.709192160997</v>
      </c>
      <c r="V12" s="804">
        <f t="shared" si="0"/>
        <v>70367.229489437275</v>
      </c>
      <c r="W12" s="804">
        <f t="shared" si="0"/>
        <v>1404502.4802587086</v>
      </c>
      <c r="X12" s="335" t="e">
        <f>+C12/V12</f>
        <v>#REF!</v>
      </c>
      <c r="Y12" s="336" t="e">
        <f>+C12/W12</f>
        <v>#REF!</v>
      </c>
      <c r="Z12" s="306" t="e">
        <f>C12/K12</f>
        <v>#REF!</v>
      </c>
      <c r="AA12" s="393"/>
      <c r="AB12" s="2050" t="e">
        <f>'CNG Table C 2014'!F13/'CNG Table A'!#REF!</f>
        <v>#REF!</v>
      </c>
      <c r="AC12" s="393"/>
    </row>
    <row r="13" spans="2:29" s="284" customFormat="1" ht="42.75" customHeight="1" thickBot="1" x14ac:dyDescent="0.25">
      <c r="B13" s="359" t="s">
        <v>141</v>
      </c>
      <c r="C13" s="323" t="e">
        <f>'2013-2015 Combined Table A1'!I13</f>
        <v>#REF!</v>
      </c>
      <c r="D13" s="331" t="e">
        <f>E13-C13</f>
        <v>#REF!</v>
      </c>
      <c r="E13" s="331">
        <v>3551891.1142880102</v>
      </c>
      <c r="F13" s="331">
        <v>6141532.8725990439</v>
      </c>
      <c r="G13" s="331">
        <v>6473533.3545651995</v>
      </c>
      <c r="H13" s="332" t="e">
        <f>SUM(C13/$C$72)</f>
        <v>#REF!</v>
      </c>
      <c r="I13" s="333" t="e">
        <f>F13/C13</f>
        <v>#REF!</v>
      </c>
      <c r="J13" s="333">
        <f>G13/E13</f>
        <v>1.8225596298615261</v>
      </c>
      <c r="K13" s="804">
        <v>3402.0523952095809</v>
      </c>
      <c r="L13" s="326" t="s">
        <v>292</v>
      </c>
      <c r="M13" s="804">
        <v>383859.44960038736</v>
      </c>
      <c r="N13" s="804">
        <v>7658261.3842356633</v>
      </c>
      <c r="O13" s="804">
        <v>3489.1995826729481</v>
      </c>
      <c r="P13" s="335" t="e">
        <f>C13/M13</f>
        <v>#REF!</v>
      </c>
      <c r="Q13" s="336" t="e">
        <f>C13/N13</f>
        <v>#REF!</v>
      </c>
      <c r="R13" s="804" t="e">
        <v>#REF!</v>
      </c>
      <c r="S13" s="804" t="e">
        <v>#REF!</v>
      </c>
      <c r="T13" s="804"/>
      <c r="U13" s="804"/>
      <c r="V13" s="804" t="e">
        <f t="shared" si="0"/>
        <v>#REF!</v>
      </c>
      <c r="W13" s="804" t="e">
        <f t="shared" si="0"/>
        <v>#REF!</v>
      </c>
      <c r="X13" s="335" t="e">
        <f>+C13/V13</f>
        <v>#REF!</v>
      </c>
      <c r="Y13" s="336" t="e">
        <f>+C13/W13</f>
        <v>#REF!</v>
      </c>
      <c r="Z13" s="306" t="e">
        <f>C13/K13</f>
        <v>#REF!</v>
      </c>
      <c r="AA13" s="393"/>
      <c r="AB13" s="2050" t="e">
        <f>'SCG Table C 2014'!F13/'SCG Table A'!#REF!</f>
        <v>#REF!</v>
      </c>
      <c r="AC13" s="393"/>
    </row>
    <row r="14" spans="2:29" ht="17.25" customHeight="1" thickBot="1" x14ac:dyDescent="0.3">
      <c r="B14" s="342" t="s">
        <v>146</v>
      </c>
      <c r="C14" s="343" t="e">
        <f>SUM(C11:C13)</f>
        <v>#REF!</v>
      </c>
      <c r="D14" s="343" t="e">
        <f>SUM(D11:D13)</f>
        <v>#REF!</v>
      </c>
      <c r="E14" s="343">
        <f>SUM(E11:E13)</f>
        <v>10241854.162732312</v>
      </c>
      <c r="F14" s="343">
        <f>SUM(F11:F13)</f>
        <v>19454620.733579271</v>
      </c>
      <c r="G14" s="343">
        <f>SUM(G11:G13)</f>
        <v>20482018.421158649</v>
      </c>
      <c r="H14" s="344" t="e">
        <f>SUM(C14/$C$73)</f>
        <v>#REF!</v>
      </c>
      <c r="I14" s="345" t="e">
        <f>F14/C14</f>
        <v>#REF!</v>
      </c>
      <c r="J14" s="345">
        <f>G14/E14</f>
        <v>1.9998350001592362</v>
      </c>
      <c r="K14" s="346">
        <f>SUM(K11:K13)</f>
        <v>8955.5219345855094</v>
      </c>
      <c r="L14" s="347" t="s">
        <v>241</v>
      </c>
      <c r="M14" s="348">
        <f>SUM(M11:M13)</f>
        <v>1003172.9169433014</v>
      </c>
      <c r="N14" s="348">
        <f>SUM(N11:N13)</f>
        <v>20016910.619043052</v>
      </c>
      <c r="O14" s="348">
        <f>SUM(O11:O13)</f>
        <v>9018.3233890282481</v>
      </c>
      <c r="P14" s="349" t="e">
        <f>C14/M14</f>
        <v>#REF!</v>
      </c>
      <c r="Q14" s="363" t="e">
        <f>C14/N14</f>
        <v>#REF!</v>
      </c>
      <c r="R14" s="348" t="e">
        <f>SUM(R11:R13)</f>
        <v>#REF!</v>
      </c>
      <c r="S14" s="348" t="e">
        <f>SUM(S11:S13)</f>
        <v>#REF!</v>
      </c>
      <c r="T14" s="348">
        <f>SUM(T11:T13)</f>
        <v>2760.8354596080499</v>
      </c>
      <c r="U14" s="348">
        <f>SUM(U11:U13)</f>
        <v>55216.709192160997</v>
      </c>
      <c r="V14" s="346" t="e">
        <f t="shared" si="0"/>
        <v>#REF!</v>
      </c>
      <c r="W14" s="346" t="e">
        <f t="shared" si="0"/>
        <v>#REF!</v>
      </c>
      <c r="X14" s="349" t="e">
        <f>+C14/V14</f>
        <v>#REF!</v>
      </c>
      <c r="Y14" s="363" t="e">
        <f>+C14/W14</f>
        <v>#REF!</v>
      </c>
    </row>
    <row r="15" spans="2:29" s="284" customFormat="1" ht="15.75" hidden="1" customHeight="1" thickBot="1" x14ac:dyDescent="0.25">
      <c r="B15" s="359" t="s">
        <v>169</v>
      </c>
      <c r="C15" s="2145"/>
      <c r="D15" s="2133"/>
      <c r="E15" s="2133"/>
      <c r="F15" s="2133"/>
      <c r="G15" s="2133"/>
      <c r="H15" s="337"/>
      <c r="I15" s="338"/>
      <c r="J15" s="338"/>
      <c r="K15" s="2119"/>
      <c r="L15" s="2134"/>
      <c r="M15" s="2119"/>
      <c r="N15" s="2119"/>
      <c r="O15" s="2119"/>
      <c r="P15" s="341"/>
      <c r="Q15" s="336"/>
      <c r="R15" s="2119"/>
      <c r="S15" s="2119"/>
      <c r="T15" s="2119"/>
      <c r="U15" s="2119"/>
      <c r="V15" s="2119">
        <f t="shared" ref="V15:W23" si="1">+(M15*102900+R15*138690+T15*91330)/10^6</f>
        <v>0</v>
      </c>
      <c r="W15" s="2119">
        <f t="shared" si="1"/>
        <v>0</v>
      </c>
      <c r="X15" s="341" t="s">
        <v>3</v>
      </c>
      <c r="Y15" s="336" t="s">
        <v>3</v>
      </c>
      <c r="Z15" s="306"/>
    </row>
    <row r="16" spans="2:29" s="2174" customFormat="1" ht="15.75" thickBot="1" x14ac:dyDescent="0.25">
      <c r="B16" s="2176" t="s">
        <v>530</v>
      </c>
      <c r="C16" s="2177" t="e">
        <f>'SCG Table A'!#REF!</f>
        <v>#REF!</v>
      </c>
      <c r="D16" s="2177" t="e">
        <f>E16-C16</f>
        <v>#REF!</v>
      </c>
      <c r="E16" s="2177">
        <v>954068.33277635742</v>
      </c>
      <c r="F16" s="2177">
        <v>1337714.2222513335</v>
      </c>
      <c r="G16" s="2177">
        <v>1337714.2222513335</v>
      </c>
      <c r="H16" s="2178" t="e">
        <f>SUM(C16/$C$72)</f>
        <v>#REF!</v>
      </c>
      <c r="I16" s="2179" t="e">
        <f>F16/C16</f>
        <v>#REF!</v>
      </c>
      <c r="J16" s="2179">
        <f>G16/E16</f>
        <v>1.402115735629291</v>
      </c>
      <c r="K16" s="2180">
        <v>2500</v>
      </c>
      <c r="L16" s="2181" t="s">
        <v>550</v>
      </c>
      <c r="M16" s="2180">
        <v>145424.0582218348</v>
      </c>
      <c r="N16" s="2180">
        <v>1454240.582218348</v>
      </c>
      <c r="O16" s="2180">
        <v>1420.7930488273259</v>
      </c>
      <c r="P16" s="2182">
        <f>+E16/M16</f>
        <v>6.5605948867208008</v>
      </c>
      <c r="Q16" s="2183">
        <f>+E16/N16</f>
        <v>0.65605948867208008</v>
      </c>
      <c r="R16" s="2180">
        <v>0</v>
      </c>
      <c r="S16" s="2180">
        <v>0</v>
      </c>
      <c r="T16" s="2180">
        <v>0</v>
      </c>
      <c r="U16" s="2180">
        <v>0</v>
      </c>
      <c r="V16" s="2184">
        <f t="shared" si="1"/>
        <v>14964.135591026799</v>
      </c>
      <c r="W16" s="2184">
        <f t="shared" si="1"/>
        <v>149641.355910268</v>
      </c>
      <c r="X16" s="2182" t="e">
        <f>+C16/V16</f>
        <v>#REF!</v>
      </c>
      <c r="Y16" s="2183">
        <f>+E16/W16</f>
        <v>6.3756995983681257</v>
      </c>
      <c r="Z16" s="2173"/>
    </row>
    <row r="17" spans="2:30" s="2060" customFormat="1" ht="15.75" customHeight="1" x14ac:dyDescent="0.2">
      <c r="B17" s="2071" t="s">
        <v>170</v>
      </c>
      <c r="C17" s="2051">
        <v>446750</v>
      </c>
      <c r="D17" s="2051">
        <v>1085423.908856204</v>
      </c>
      <c r="E17" s="2051">
        <v>1409481.4126394053</v>
      </c>
      <c r="F17" s="323">
        <v>1078969.1870504713</v>
      </c>
      <c r="G17" s="323">
        <v>1078969.1870504711</v>
      </c>
      <c r="H17" s="324" t="e">
        <f>SUM(C17/$C$71)</f>
        <v>#REF!</v>
      </c>
      <c r="I17" s="325">
        <f>+F17/C17</f>
        <v>2.4151520695030135</v>
      </c>
      <c r="J17" s="325">
        <f>+G17/E17</f>
        <v>0.7655079218320342</v>
      </c>
      <c r="K17" s="2175">
        <v>206.25</v>
      </c>
      <c r="L17" s="1924" t="s">
        <v>241</v>
      </c>
      <c r="M17" s="2175">
        <v>55291.075988095232</v>
      </c>
      <c r="N17" s="2175">
        <v>1382276.8997023809</v>
      </c>
      <c r="O17" s="2175">
        <v>206.25</v>
      </c>
      <c r="P17" s="328">
        <f>+C17/M17</f>
        <v>8.0799657452170059</v>
      </c>
      <c r="Q17" s="329">
        <f>+C17/N17</f>
        <v>0.32319862980868025</v>
      </c>
      <c r="R17" s="2175"/>
      <c r="S17" s="2175"/>
      <c r="T17" s="2175"/>
      <c r="U17" s="2175"/>
      <c r="V17" s="2175">
        <f t="shared" si="1"/>
        <v>5689.4517191749992</v>
      </c>
      <c r="W17" s="2175">
        <f t="shared" si="1"/>
        <v>142236.29297937499</v>
      </c>
      <c r="X17" s="328">
        <f>+C17/V17</f>
        <v>78.522504812604538</v>
      </c>
      <c r="Y17" s="329">
        <f>+C17/W17</f>
        <v>3.1409001925041808</v>
      </c>
      <c r="Z17" s="2059"/>
    </row>
    <row r="18" spans="2:30" s="2060" customFormat="1" ht="15.75" customHeight="1" thickBot="1" x14ac:dyDescent="0.25">
      <c r="B18" s="2061" t="s">
        <v>171</v>
      </c>
      <c r="C18" s="2051">
        <v>351535</v>
      </c>
      <c r="D18" s="2052">
        <v>774563.62932804355</v>
      </c>
      <c r="E18" s="2052">
        <v>1008402.7987833729</v>
      </c>
      <c r="F18" s="331">
        <v>770921.255207479</v>
      </c>
      <c r="G18" s="331">
        <v>770921.255207479</v>
      </c>
      <c r="H18" s="332" t="e">
        <f>SUM(C18/$C$72)</f>
        <v>#REF!</v>
      </c>
      <c r="I18" s="333">
        <f>+F18/C18</f>
        <v>2.1930142239250117</v>
      </c>
      <c r="J18" s="333">
        <f>+G18/E18</f>
        <v>0.76449733790662544</v>
      </c>
      <c r="K18" s="804">
        <v>147.56</v>
      </c>
      <c r="L18" s="1924" t="s">
        <v>241</v>
      </c>
      <c r="M18" s="2055">
        <v>39503.364312976191</v>
      </c>
      <c r="N18" s="2055">
        <v>987584.10782440472</v>
      </c>
      <c r="O18" s="2055">
        <v>147.56</v>
      </c>
      <c r="P18" s="2057">
        <f>+C18/M18</f>
        <v>8.8988623149883637</v>
      </c>
      <c r="Q18" s="2058">
        <f>+C18/N18</f>
        <v>0.35595449259953454</v>
      </c>
      <c r="R18" s="804"/>
      <c r="S18" s="804"/>
      <c r="T18" s="804"/>
      <c r="U18" s="804"/>
      <c r="V18" s="804">
        <f t="shared" si="1"/>
        <v>4064.8961878052501</v>
      </c>
      <c r="W18" s="804">
        <f t="shared" si="1"/>
        <v>101622.40469513123</v>
      </c>
      <c r="X18" s="2057">
        <f>+C18/V18</f>
        <v>86.480683333220242</v>
      </c>
      <c r="Y18" s="2058">
        <f>+C18/W18</f>
        <v>3.4592273333288106</v>
      </c>
    </row>
    <row r="19" spans="2:30" s="2070" customFormat="1" ht="17.25" customHeight="1" thickBot="1" x14ac:dyDescent="0.3">
      <c r="B19" s="2062" t="s">
        <v>204</v>
      </c>
      <c r="C19" s="2063">
        <f>SUM(C17:C18)</f>
        <v>798285</v>
      </c>
      <c r="D19" s="2063">
        <f>SUM(D17:D18)</f>
        <v>1859987.5381842474</v>
      </c>
      <c r="E19" s="2063">
        <f>SUM(E17:E18)</f>
        <v>2417884.2114227782</v>
      </c>
      <c r="F19" s="2063">
        <f>SUM(F17:F18)</f>
        <v>1849890.4422579503</v>
      </c>
      <c r="G19" s="2063">
        <f>SUM(G17:G18)</f>
        <v>1849890.4422579501</v>
      </c>
      <c r="H19" s="2064" t="e">
        <f>SUM(C19/$C$73)</f>
        <v>#REF!</v>
      </c>
      <c r="I19" s="2065">
        <f>F19/C19</f>
        <v>2.3173308307909459</v>
      </c>
      <c r="J19" s="2065">
        <f>G19/E19</f>
        <v>0.76508644769610445</v>
      </c>
      <c r="K19" s="2066">
        <f>SUM(K17:K18)</f>
        <v>353.81</v>
      </c>
      <c r="L19" s="2106" t="s">
        <v>241</v>
      </c>
      <c r="M19" s="2066">
        <f>SUM(M17:M18)</f>
        <v>94794.440301071416</v>
      </c>
      <c r="N19" s="2066">
        <f>SUM(N17:N18)</f>
        <v>2369861.0075267856</v>
      </c>
      <c r="O19" s="2066">
        <f>SUM(O17:O18)</f>
        <v>353.81</v>
      </c>
      <c r="P19" s="2068">
        <f>C19/M19</f>
        <v>8.4212217242341527</v>
      </c>
      <c r="Q19" s="2069">
        <f>C19/N19</f>
        <v>0.33684886896936606</v>
      </c>
      <c r="R19" s="2067">
        <f>SUM(R15:R18)</f>
        <v>0</v>
      </c>
      <c r="S19" s="2067">
        <f>SUM(S15:S18)</f>
        <v>0</v>
      </c>
      <c r="T19" s="2067">
        <f>SUM(T15:T18)</f>
        <v>0</v>
      </c>
      <c r="U19" s="2067">
        <f>SUM(U15:U18)</f>
        <v>0</v>
      </c>
      <c r="V19" s="346">
        <f t="shared" si="1"/>
        <v>9754.3479069802488</v>
      </c>
      <c r="W19" s="346">
        <f t="shared" si="1"/>
        <v>243858.69767450623</v>
      </c>
      <c r="X19" s="2068">
        <f>+C19/V19</f>
        <v>81.838889448339671</v>
      </c>
      <c r="Y19" s="2069">
        <f>+C19/W19</f>
        <v>3.2735555779335868</v>
      </c>
    </row>
    <row r="20" spans="2:30" s="2060" customFormat="1" ht="15.75" hidden="1" customHeight="1" x14ac:dyDescent="0.2">
      <c r="B20" s="2071" t="s">
        <v>142</v>
      </c>
      <c r="C20" s="2051"/>
      <c r="D20" s="2052"/>
      <c r="E20" s="2052"/>
      <c r="F20" s="2052"/>
      <c r="G20" s="2052"/>
      <c r="H20" s="2053"/>
      <c r="I20" s="2054"/>
      <c r="J20" s="2054"/>
      <c r="K20" s="2055"/>
      <c r="L20" s="2056"/>
      <c r="M20" s="2055"/>
      <c r="N20" s="2055"/>
      <c r="O20" s="2055"/>
      <c r="P20" s="2057"/>
      <c r="Q20" s="2058"/>
      <c r="R20" s="2055"/>
      <c r="S20" s="2055"/>
      <c r="T20" s="2055"/>
      <c r="U20" s="2055"/>
      <c r="V20" s="804">
        <f t="shared" si="1"/>
        <v>0</v>
      </c>
      <c r="W20" s="804">
        <f t="shared" si="1"/>
        <v>0</v>
      </c>
      <c r="X20" s="2057" t="s">
        <v>3</v>
      </c>
      <c r="Y20" s="2058" t="s">
        <v>3</v>
      </c>
      <c r="Z20" s="2072"/>
    </row>
    <row r="21" spans="2:30" s="2081" customFormat="1" ht="15.75" customHeight="1" x14ac:dyDescent="0.2">
      <c r="B21" s="2073" t="s">
        <v>143</v>
      </c>
      <c r="C21" s="2074" t="e">
        <f>'2013-2015 Combined Table A1'!H16</f>
        <v>#REF!</v>
      </c>
      <c r="D21" s="2075">
        <v>897040</v>
      </c>
      <c r="E21" s="2075">
        <v>1173040</v>
      </c>
      <c r="F21" s="2075">
        <v>776575.76977139793</v>
      </c>
      <c r="G21" s="2075">
        <v>776575.76977139793</v>
      </c>
      <c r="H21" s="332" t="e">
        <f>SUM(C21/$C$71)</f>
        <v>#REF!</v>
      </c>
      <c r="I21" s="2076" t="e">
        <f>F21/C21</f>
        <v>#REF!</v>
      </c>
      <c r="J21" s="2076">
        <f>+G21/E21</f>
        <v>0.66201985420053699</v>
      </c>
      <c r="K21" s="2077">
        <v>2280</v>
      </c>
      <c r="L21" s="2107" t="s">
        <v>242</v>
      </c>
      <c r="M21" s="2077">
        <v>73902.278909171233</v>
      </c>
      <c r="N21" s="2077">
        <v>936670.74450904946</v>
      </c>
      <c r="O21" s="2077">
        <v>237.22631529843963</v>
      </c>
      <c r="P21" s="2078" t="e">
        <f>+C21/M21</f>
        <v>#REF!</v>
      </c>
      <c r="Q21" s="2079" t="e">
        <f>+C21/N21</f>
        <v>#REF!</v>
      </c>
      <c r="R21" s="2077"/>
      <c r="S21" s="2077"/>
      <c r="T21" s="2077"/>
      <c r="U21" s="2077"/>
      <c r="V21" s="804">
        <f t="shared" si="1"/>
        <v>7604.5444997537206</v>
      </c>
      <c r="W21" s="804">
        <f t="shared" si="1"/>
        <v>96383.419609981182</v>
      </c>
      <c r="X21" s="2078" t="e">
        <f>+C21/V21</f>
        <v>#REF!</v>
      </c>
      <c r="Y21" s="2079" t="e">
        <f>+C21/W21</f>
        <v>#REF!</v>
      </c>
      <c r="Z21" s="2080"/>
    </row>
    <row r="22" spans="2:30" s="2081" customFormat="1" ht="15.75" customHeight="1" thickBot="1" x14ac:dyDescent="0.25">
      <c r="B22" s="2082" t="s">
        <v>144</v>
      </c>
      <c r="C22" s="2074" t="e">
        <f>'2013-2015 Combined Table A1'!I16</f>
        <v>#REF!</v>
      </c>
      <c r="D22" s="2075">
        <v>897040</v>
      </c>
      <c r="E22" s="2075">
        <v>1173040</v>
      </c>
      <c r="F22" s="2075">
        <v>776575.76977139793</v>
      </c>
      <c r="G22" s="2075">
        <v>776575.76977139793</v>
      </c>
      <c r="H22" s="332" t="e">
        <f>SUM(C22/$C$72)</f>
        <v>#REF!</v>
      </c>
      <c r="I22" s="2076" t="e">
        <f>F22/C22</f>
        <v>#REF!</v>
      </c>
      <c r="J22" s="2076">
        <f>+G22/E22</f>
        <v>0.66201985420053699</v>
      </c>
      <c r="K22" s="2077">
        <v>2280</v>
      </c>
      <c r="L22" s="2107" t="s">
        <v>242</v>
      </c>
      <c r="M22" s="2077">
        <v>73902.278909171233</v>
      </c>
      <c r="N22" s="2077">
        <v>936670.74450904946</v>
      </c>
      <c r="O22" s="2077">
        <v>237.22631529843963</v>
      </c>
      <c r="P22" s="2078" t="e">
        <f>+C22/M22</f>
        <v>#REF!</v>
      </c>
      <c r="Q22" s="2079" t="e">
        <f>+C22/N22</f>
        <v>#REF!</v>
      </c>
      <c r="R22" s="2077"/>
      <c r="S22" s="2077"/>
      <c r="T22" s="2077"/>
      <c r="U22" s="2077"/>
      <c r="V22" s="804">
        <f t="shared" si="1"/>
        <v>7604.5444997537206</v>
      </c>
      <c r="W22" s="804">
        <f t="shared" si="1"/>
        <v>96383.419609981182</v>
      </c>
      <c r="X22" s="2078" t="e">
        <f>+C22/V22</f>
        <v>#REF!</v>
      </c>
      <c r="Y22" s="2079" t="e">
        <f>+C22/W22</f>
        <v>#REF!</v>
      </c>
      <c r="Z22" s="2080"/>
    </row>
    <row r="23" spans="2:30" ht="17.25" customHeight="1" thickBot="1" x14ac:dyDescent="0.3">
      <c r="B23" s="342" t="s">
        <v>145</v>
      </c>
      <c r="C23" s="684" t="e">
        <f>SUM(C20:C22)</f>
        <v>#REF!</v>
      </c>
      <c r="D23" s="618">
        <f>SUM(D20:D22)</f>
        <v>1794080</v>
      </c>
      <c r="E23" s="343">
        <f>SUM(E20:E22)</f>
        <v>2346080</v>
      </c>
      <c r="F23" s="343">
        <f>SUM(F20:F22)</f>
        <v>1553151.5395427959</v>
      </c>
      <c r="G23" s="343">
        <f>SUM(G20:G22)</f>
        <v>1553151.5395427959</v>
      </c>
      <c r="H23" s="344" t="e">
        <f>SUM(C23/$C$73)</f>
        <v>#REF!</v>
      </c>
      <c r="I23" s="345" t="e">
        <f>F23/C23</f>
        <v>#REF!</v>
      </c>
      <c r="J23" s="345">
        <f>G23/E23</f>
        <v>0.66201985420053699</v>
      </c>
      <c r="K23" s="346">
        <f>SUM(K20:K22)</f>
        <v>4560</v>
      </c>
      <c r="L23" s="619" t="s">
        <v>242</v>
      </c>
      <c r="M23" s="348">
        <f>SUM(M20:M22)</f>
        <v>147804.55781834247</v>
      </c>
      <c r="N23" s="348">
        <f>SUM(N20:N22)</f>
        <v>1873341.4890180989</v>
      </c>
      <c r="O23" s="348">
        <f>SUM(O20:O22)</f>
        <v>474.45263059687926</v>
      </c>
      <c r="P23" s="349" t="e">
        <f>C23/M23</f>
        <v>#REF!</v>
      </c>
      <c r="Q23" s="363" t="e">
        <f>C23/N23</f>
        <v>#REF!</v>
      </c>
      <c r="R23" s="348">
        <f>SUM(R20:R22)</f>
        <v>0</v>
      </c>
      <c r="S23" s="348">
        <f>SUM(S20:S22)</f>
        <v>0</v>
      </c>
      <c r="T23" s="348">
        <f>SUM(T20:T22)</f>
        <v>0</v>
      </c>
      <c r="U23" s="348">
        <f>SUM(U20:U22)</f>
        <v>0</v>
      </c>
      <c r="V23" s="346">
        <f t="shared" si="1"/>
        <v>15209.088999507441</v>
      </c>
      <c r="W23" s="346">
        <f t="shared" si="1"/>
        <v>192766.83921996236</v>
      </c>
      <c r="X23" s="349" t="e">
        <f>+C23/V23</f>
        <v>#REF!</v>
      </c>
      <c r="Y23" s="363" t="e">
        <f>+C23/W23</f>
        <v>#REF!</v>
      </c>
    </row>
    <row r="24" spans="2:30" ht="32.25" thickBot="1" x14ac:dyDescent="0.3">
      <c r="B24" s="364" t="s">
        <v>88</v>
      </c>
      <c r="C24" s="365" t="e">
        <f>C10+C14+C16+C19+C23</f>
        <v>#REF!</v>
      </c>
      <c r="D24" s="365" t="e">
        <f>D10+D14+D16+D19+D23</f>
        <v>#REF!</v>
      </c>
      <c r="E24" s="365">
        <f>E10+E14+E16+E19+E23</f>
        <v>21384819.706931449</v>
      </c>
      <c r="F24" s="365">
        <f>F10+F14+F16+F19+F23</f>
        <v>34904687.666767582</v>
      </c>
      <c r="G24" s="365">
        <f>G10+G14+G16+G19+G23</f>
        <v>37560715.786479518</v>
      </c>
      <c r="H24" s="366" t="e">
        <f>SUM(C24/C73)</f>
        <v>#REF!</v>
      </c>
      <c r="I24" s="317" t="e">
        <f>F24/C24</f>
        <v>#REF!</v>
      </c>
      <c r="J24" s="317">
        <f>G24/E24</f>
        <v>1.7564195677696073</v>
      </c>
      <c r="K24" s="805">
        <f>K10+K14+K16+K19+K23</f>
        <v>24573.364543162108</v>
      </c>
      <c r="L24" s="941" t="s">
        <v>462</v>
      </c>
      <c r="M24" s="348">
        <f>M10+M14+M16+M19+M23</f>
        <v>2070354.4576987589</v>
      </c>
      <c r="N24" s="348">
        <f>N10+N14+N16+N19+N23</f>
        <v>39055041.422240272</v>
      </c>
      <c r="O24" s="348">
        <f>O10+O14+O16+O19+O23</f>
        <v>17205.058168253083</v>
      </c>
      <c r="P24" s="367" t="e">
        <f>C24/M24</f>
        <v>#REF!</v>
      </c>
      <c r="Q24" s="367" t="e">
        <f>C24/N24</f>
        <v>#REF!</v>
      </c>
      <c r="R24" s="348" t="e">
        <f t="shared" ref="R24:W24" si="2">R10+R14+R16+R19+R23</f>
        <v>#REF!</v>
      </c>
      <c r="S24" s="348" t="e">
        <f t="shared" si="2"/>
        <v>#REF!</v>
      </c>
      <c r="T24" s="348">
        <f t="shared" si="2"/>
        <v>2760.8354596080499</v>
      </c>
      <c r="U24" s="348">
        <f t="shared" si="2"/>
        <v>55216.709192160997</v>
      </c>
      <c r="V24" s="348" t="e">
        <f t="shared" si="2"/>
        <v>#REF!</v>
      </c>
      <c r="W24" s="348" t="e">
        <f t="shared" si="2"/>
        <v>#REF!</v>
      </c>
      <c r="X24" s="367" t="e">
        <f>+C24/V24</f>
        <v>#REF!</v>
      </c>
      <c r="Y24" s="367" t="e">
        <f>+C24/W24</f>
        <v>#REF!</v>
      </c>
    </row>
    <row r="25" spans="2:30" ht="15.75" customHeight="1" x14ac:dyDescent="0.25">
      <c r="B25" s="368"/>
      <c r="C25" s="369"/>
      <c r="D25" s="369"/>
      <c r="E25" s="369"/>
      <c r="F25" s="369"/>
      <c r="G25" s="369"/>
      <c r="H25" s="370"/>
      <c r="I25" s="371"/>
      <c r="J25" s="371"/>
      <c r="K25" s="372"/>
      <c r="L25" s="373"/>
      <c r="M25" s="374"/>
      <c r="N25" s="374"/>
      <c r="O25" s="374"/>
      <c r="P25" s="375"/>
      <c r="Q25" s="376"/>
      <c r="R25" s="373"/>
      <c r="S25" s="373"/>
      <c r="T25" s="373"/>
      <c r="U25" s="373"/>
      <c r="V25" s="373"/>
      <c r="W25" s="373"/>
      <c r="X25" s="375"/>
      <c r="Y25" s="375"/>
      <c r="Z25" s="2131"/>
    </row>
    <row r="26" spans="2:30" ht="15.75" customHeight="1" x14ac:dyDescent="0.25">
      <c r="B26" s="2158" t="s">
        <v>131</v>
      </c>
      <c r="C26" s="2159"/>
      <c r="D26" s="2159"/>
      <c r="E26" s="2159"/>
      <c r="F26" s="2159"/>
      <c r="G26" s="2159"/>
      <c r="H26" s="2159"/>
      <c r="I26" s="2159"/>
      <c r="J26" s="2159"/>
      <c r="K26" s="2159"/>
      <c r="L26" s="2159"/>
      <c r="M26" s="2159"/>
      <c r="N26" s="2159"/>
      <c r="O26" s="2159"/>
      <c r="P26" s="2159"/>
      <c r="Q26" s="2159"/>
      <c r="R26" s="2159"/>
      <c r="S26" s="2159"/>
      <c r="T26" s="2159"/>
      <c r="U26" s="2159"/>
      <c r="V26" s="2159"/>
      <c r="W26" s="2159"/>
      <c r="X26" s="2159"/>
      <c r="Y26" s="2159"/>
    </row>
    <row r="27" spans="2:30" s="284" customFormat="1" ht="15.75" hidden="1" customHeight="1" x14ac:dyDescent="0.2">
      <c r="B27" s="377" t="s">
        <v>124</v>
      </c>
      <c r="C27" s="323"/>
      <c r="D27" s="331"/>
      <c r="E27" s="331"/>
      <c r="F27" s="331"/>
      <c r="G27" s="331"/>
      <c r="H27" s="332"/>
      <c r="I27" s="333"/>
      <c r="J27" s="333"/>
      <c r="K27" s="804"/>
      <c r="L27" s="326"/>
      <c r="M27" s="804"/>
      <c r="N27" s="804"/>
      <c r="O27" s="804"/>
      <c r="P27" s="335"/>
      <c r="Q27" s="336"/>
      <c r="R27" s="336"/>
      <c r="S27" s="336"/>
      <c r="T27" s="336"/>
      <c r="U27" s="336"/>
      <c r="V27" s="1923" t="s">
        <v>3</v>
      </c>
      <c r="W27" s="1923" t="s">
        <v>3</v>
      </c>
      <c r="X27" s="335" t="s">
        <v>3</v>
      </c>
      <c r="Y27" s="336" t="s">
        <v>3</v>
      </c>
    </row>
    <row r="28" spans="2:30" s="284" customFormat="1" ht="15" x14ac:dyDescent="0.2">
      <c r="B28" s="381" t="s">
        <v>125</v>
      </c>
      <c r="C28" s="331" t="e">
        <f>'2013-2015 Combined Table A1'!H21</f>
        <v>#REF!</v>
      </c>
      <c r="D28" s="331" t="e">
        <f>E28-C28</f>
        <v>#REF!</v>
      </c>
      <c r="E28" s="331">
        <v>2719899.0812750543</v>
      </c>
      <c r="F28" s="331">
        <v>3738115.2120020194</v>
      </c>
      <c r="G28" s="331">
        <v>3738115.2120020199</v>
      </c>
      <c r="H28" s="332" t="e">
        <f>SUM(C28/$C$71)</f>
        <v>#REF!</v>
      </c>
      <c r="I28" s="333" t="e">
        <f>F28/C28</f>
        <v>#REF!</v>
      </c>
      <c r="J28" s="333">
        <f>G28/E28</f>
        <v>1.3743580553178609</v>
      </c>
      <c r="K28" s="804">
        <v>49.303431634306229</v>
      </c>
      <c r="L28" s="326" t="s">
        <v>244</v>
      </c>
      <c r="M28" s="804">
        <v>316758.50394517003</v>
      </c>
      <c r="N28" s="804">
        <v>4865394.1214433396</v>
      </c>
      <c r="O28" s="804">
        <v>2499.6553537596828</v>
      </c>
      <c r="P28" s="335" t="e">
        <f>C28/M28</f>
        <v>#REF!</v>
      </c>
      <c r="Q28" s="336" t="e">
        <f>C28/N28</f>
        <v>#REF!</v>
      </c>
      <c r="R28" s="804"/>
      <c r="S28" s="804"/>
      <c r="T28" s="804"/>
      <c r="U28" s="804"/>
      <c r="V28" s="804">
        <f t="shared" ref="V28:W30" si="3">+(M28*102900+R28*138690+T28*91330)/10^6</f>
        <v>32594.450055957997</v>
      </c>
      <c r="W28" s="804">
        <f t="shared" si="3"/>
        <v>500649.05509651965</v>
      </c>
      <c r="X28" s="335" t="e">
        <f>+C28/V28</f>
        <v>#REF!</v>
      </c>
      <c r="Y28" s="336" t="e">
        <f>+C28/W28</f>
        <v>#REF!</v>
      </c>
    </row>
    <row r="29" spans="2:30" s="284" customFormat="1" ht="15.75" thickBot="1" x14ac:dyDescent="0.25">
      <c r="B29" s="383" t="s">
        <v>126</v>
      </c>
      <c r="C29" s="384" t="e">
        <f>'2013-2015 Combined Table A1'!I21</f>
        <v>#REF!</v>
      </c>
      <c r="D29" s="331" t="e">
        <f>E29-C29</f>
        <v>#REF!</v>
      </c>
      <c r="E29" s="331">
        <v>1899656.2023673907</v>
      </c>
      <c r="F29" s="331">
        <v>2656582.6422296176</v>
      </c>
      <c r="G29" s="331">
        <v>2656582.642229618</v>
      </c>
      <c r="H29" s="332" t="e">
        <f>SUM(C29/$C$72)</f>
        <v>#REF!</v>
      </c>
      <c r="I29" s="333" t="e">
        <f>F29/C29</f>
        <v>#REF!</v>
      </c>
      <c r="J29" s="333">
        <f>G29/E29</f>
        <v>1.3984544355546704</v>
      </c>
      <c r="K29" s="804">
        <v>35.038684806053475</v>
      </c>
      <c r="L29" s="326" t="s">
        <v>244</v>
      </c>
      <c r="M29" s="804">
        <v>225112.14760250301</v>
      </c>
      <c r="N29" s="804">
        <v>3457710.8616483728</v>
      </c>
      <c r="O29" s="804">
        <v>1776.4409729891272</v>
      </c>
      <c r="P29" s="335" t="e">
        <f>C29/M29</f>
        <v>#REF!</v>
      </c>
      <c r="Q29" s="336" t="e">
        <f>C29/N29</f>
        <v>#REF!</v>
      </c>
      <c r="R29" s="804"/>
      <c r="S29" s="804"/>
      <c r="T29" s="804"/>
      <c r="U29" s="804"/>
      <c r="V29" s="804">
        <f t="shared" si="3"/>
        <v>23164.039988297562</v>
      </c>
      <c r="W29" s="804">
        <f t="shared" si="3"/>
        <v>355798.44766361755</v>
      </c>
      <c r="X29" s="335" t="e">
        <f>+C29/V29</f>
        <v>#REF!</v>
      </c>
      <c r="Y29" s="336" t="e">
        <f>+C29/W29</f>
        <v>#REF!</v>
      </c>
    </row>
    <row r="30" spans="2:30" ht="17.25" customHeight="1" thickBot="1" x14ac:dyDescent="0.3">
      <c r="B30" s="388" t="s">
        <v>137</v>
      </c>
      <c r="C30" s="389" t="e">
        <f>SUM(C27:C29)</f>
        <v>#REF!</v>
      </c>
      <c r="D30" s="389" t="e">
        <f>SUM(D27:D29)</f>
        <v>#REF!</v>
      </c>
      <c r="E30" s="389">
        <f>SUM(E27:E29)</f>
        <v>4619555.2836424448</v>
      </c>
      <c r="F30" s="389">
        <f>SUM(F27:F29)</f>
        <v>6394697.854231637</v>
      </c>
      <c r="G30" s="389">
        <f>SUM(G27:G29)</f>
        <v>6394697.8542316379</v>
      </c>
      <c r="H30" s="390" t="e">
        <f>SUM(C30/$C$73)</f>
        <v>#REF!</v>
      </c>
      <c r="I30" s="391" t="e">
        <f>F30/C30</f>
        <v>#REF!</v>
      </c>
      <c r="J30" s="391">
        <f>G30/E30</f>
        <v>1.3842669827710172</v>
      </c>
      <c r="K30" s="392">
        <f>+K27+K28+K29</f>
        <v>84.342116440359703</v>
      </c>
      <c r="L30" s="343" t="s">
        <v>244</v>
      </c>
      <c r="M30" s="348">
        <f>SUM(M27:M29)</f>
        <v>541870.65154767304</v>
      </c>
      <c r="N30" s="348">
        <f>SUM(N27:N29)</f>
        <v>8323104.983091712</v>
      </c>
      <c r="O30" s="348">
        <f>SUM(O27:O29)</f>
        <v>4276.0963267488096</v>
      </c>
      <c r="P30" s="349" t="e">
        <f>C30/M30</f>
        <v>#REF!</v>
      </c>
      <c r="Q30" s="363" t="e">
        <f>C30/N30</f>
        <v>#REF!</v>
      </c>
      <c r="R30" s="348">
        <f>SUM(R27:R29)</f>
        <v>0</v>
      </c>
      <c r="S30" s="348">
        <f>SUM(S27:S29)</f>
        <v>0</v>
      </c>
      <c r="T30" s="348">
        <f>SUM(T27:T29)</f>
        <v>0</v>
      </c>
      <c r="U30" s="348">
        <f>SUM(U27:U29)</f>
        <v>0</v>
      </c>
      <c r="V30" s="346">
        <f t="shared" si="3"/>
        <v>55758.490044255552</v>
      </c>
      <c r="W30" s="346">
        <f t="shared" si="3"/>
        <v>856447.5027601372</v>
      </c>
      <c r="X30" s="349" t="e">
        <f>+C30/V30</f>
        <v>#REF!</v>
      </c>
      <c r="Y30" s="363" t="e">
        <f>+C30/W30</f>
        <v>#REF!</v>
      </c>
    </row>
    <row r="31" spans="2:30" ht="15.75" customHeight="1" x14ac:dyDescent="0.25">
      <c r="B31" s="2160" t="s">
        <v>132</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row>
    <row r="32" spans="2:30" s="284" customFormat="1" ht="15.75" customHeight="1" x14ac:dyDescent="0.2">
      <c r="B32" s="322" t="s">
        <v>128</v>
      </c>
      <c r="C32" s="323"/>
      <c r="D32" s="331"/>
      <c r="E32" s="331"/>
      <c r="F32" s="331"/>
      <c r="G32" s="331"/>
      <c r="H32" s="332"/>
      <c r="I32" s="333"/>
      <c r="J32" s="333"/>
      <c r="K32" s="804"/>
      <c r="L32" s="326"/>
      <c r="M32" s="804"/>
      <c r="N32" s="804"/>
      <c r="O32" s="804"/>
      <c r="P32" s="335"/>
      <c r="Q32" s="336"/>
      <c r="R32" s="326"/>
      <c r="S32" s="326"/>
      <c r="T32" s="326"/>
      <c r="U32" s="326"/>
      <c r="V32" s="1923" t="s">
        <v>3</v>
      </c>
      <c r="W32" s="1923" t="s">
        <v>3</v>
      </c>
      <c r="X32" s="335" t="s">
        <v>3</v>
      </c>
      <c r="Y32" s="336" t="s">
        <v>3</v>
      </c>
      <c r="AC32" s="306"/>
      <c r="AD32" s="393"/>
    </row>
    <row r="33" spans="2:27" s="284" customFormat="1" ht="15.75" customHeight="1" x14ac:dyDescent="0.2">
      <c r="B33" s="330" t="s">
        <v>129</v>
      </c>
      <c r="C33" s="323" t="e">
        <f>'2013-2015 Combined Table A1'!H24</f>
        <v>#REF!</v>
      </c>
      <c r="D33" s="331" t="e">
        <f>E33-C33</f>
        <v>#REF!</v>
      </c>
      <c r="E33" s="331">
        <v>2520690.2657168866</v>
      </c>
      <c r="F33" s="331">
        <v>2773147.4568568734</v>
      </c>
      <c r="G33" s="331">
        <v>2773147.4568568734</v>
      </c>
      <c r="H33" s="332" t="e">
        <f>SUM(C33/$C$71)</f>
        <v>#REF!</v>
      </c>
      <c r="I33" s="333" t="e">
        <f>F33/C33</f>
        <v>#REF!</v>
      </c>
      <c r="J33" s="333">
        <f>G33/E33</f>
        <v>1.1001539913783052</v>
      </c>
      <c r="K33" s="804">
        <v>20.013752322113234</v>
      </c>
      <c r="L33" s="326" t="s">
        <v>244</v>
      </c>
      <c r="M33" s="804">
        <v>294351.37011924974</v>
      </c>
      <c r="N33" s="804">
        <v>3316691.1043385835</v>
      </c>
      <c r="O33" s="804">
        <v>3365.3324667156603</v>
      </c>
      <c r="P33" s="335" t="e">
        <f>C33/M33</f>
        <v>#REF!</v>
      </c>
      <c r="Q33" s="336" t="e">
        <f>C33/N33</f>
        <v>#REF!</v>
      </c>
      <c r="R33" s="804"/>
      <c r="S33" s="804"/>
      <c r="T33" s="804"/>
      <c r="U33" s="804"/>
      <c r="V33" s="804">
        <f t="shared" ref="V33:V43" si="4">+(M33*102900+R33*138690+T33*91330)/10^6</f>
        <v>30288.755985270796</v>
      </c>
      <c r="W33" s="804">
        <f t="shared" ref="W33:W43" si="5">+(N33*102900+S33*138690+U33*91330)/10^6</f>
        <v>341287.51463644026</v>
      </c>
      <c r="X33" s="335" t="e">
        <f>+C33/V33</f>
        <v>#REF!</v>
      </c>
      <c r="Y33" s="336" t="e">
        <f>+C33/W33</f>
        <v>#REF!</v>
      </c>
      <c r="AA33" s="295"/>
    </row>
    <row r="34" spans="2:27" s="284" customFormat="1" ht="15.75" customHeight="1" thickBot="1" x14ac:dyDescent="0.25">
      <c r="B34" s="359" t="s">
        <v>130</v>
      </c>
      <c r="C34" s="323" t="e">
        <f>'2013-2015 Combined Table A1'!I24</f>
        <v>#REF!</v>
      </c>
      <c r="D34" s="331" t="e">
        <f>E34-C34</f>
        <v>#REF!</v>
      </c>
      <c r="E34" s="331">
        <v>1426833.3957796276</v>
      </c>
      <c r="F34" s="331">
        <v>1480286.3811777805</v>
      </c>
      <c r="G34" s="331">
        <v>1480286.3811777807</v>
      </c>
      <c r="H34" s="332" t="e">
        <f>SUM(C34/$C$72)</f>
        <v>#REF!</v>
      </c>
      <c r="I34" s="333" t="e">
        <f>F34/C34</f>
        <v>#REF!</v>
      </c>
      <c r="J34" s="333">
        <f>G34/E34</f>
        <v>1.0374626677201835</v>
      </c>
      <c r="K34" s="804">
        <v>10.68319858918286</v>
      </c>
      <c r="L34" s="326" t="s">
        <v>244</v>
      </c>
      <c r="M34" s="804">
        <v>157122.66702269125</v>
      </c>
      <c r="N34" s="804">
        <v>1770426.1128222048</v>
      </c>
      <c r="O34" s="804">
        <v>1796.3905259696849</v>
      </c>
      <c r="P34" s="335" t="e">
        <f>C34/M34</f>
        <v>#REF!</v>
      </c>
      <c r="Q34" s="336" t="e">
        <f>C34/N34</f>
        <v>#REF!</v>
      </c>
      <c r="R34" s="804"/>
      <c r="S34" s="804"/>
      <c r="T34" s="804"/>
      <c r="U34" s="804"/>
      <c r="V34" s="804">
        <f t="shared" si="4"/>
        <v>16167.92243663493</v>
      </c>
      <c r="W34" s="804">
        <f t="shared" si="5"/>
        <v>182176.84700940488</v>
      </c>
      <c r="X34" s="335" t="e">
        <f>+C34/V34</f>
        <v>#REF!</v>
      </c>
      <c r="Y34" s="336" t="e">
        <f>+C34/W34</f>
        <v>#REF!</v>
      </c>
      <c r="AA34" s="295"/>
    </row>
    <row r="35" spans="2:27" ht="18" customHeight="1" thickBot="1" x14ac:dyDescent="0.3">
      <c r="B35" s="342" t="s">
        <v>138</v>
      </c>
      <c r="C35" s="343" t="e">
        <f>SUM(C32:C34)</f>
        <v>#REF!</v>
      </c>
      <c r="D35" s="343" t="e">
        <f>SUM(D32:D34)</f>
        <v>#REF!</v>
      </c>
      <c r="E35" s="343">
        <f>SUM(E32:E34)</f>
        <v>3947523.6614965145</v>
      </c>
      <c r="F35" s="343">
        <f>SUM(F32:F34)</f>
        <v>4253433.838034654</v>
      </c>
      <c r="G35" s="343">
        <f>SUM(G32:G34)</f>
        <v>4253433.838034654</v>
      </c>
      <c r="H35" s="344" t="e">
        <f>SUM(C35/$C$73)</f>
        <v>#REF!</v>
      </c>
      <c r="I35" s="345" t="e">
        <f>F35/C35</f>
        <v>#REF!</v>
      </c>
      <c r="J35" s="345">
        <f>G35/E35</f>
        <v>1.0774941970638292</v>
      </c>
      <c r="K35" s="346">
        <f>+K32+K33+K34</f>
        <v>30.696950911296092</v>
      </c>
      <c r="L35" s="343" t="s">
        <v>244</v>
      </c>
      <c r="M35" s="348">
        <f>SUM(M32:M34)</f>
        <v>451474.03714194102</v>
      </c>
      <c r="N35" s="348">
        <f>SUM(N32:N34)</f>
        <v>5087117.2171607884</v>
      </c>
      <c r="O35" s="348">
        <f>SUM(O32:O34)</f>
        <v>5161.7229926853452</v>
      </c>
      <c r="P35" s="349" t="e">
        <f>C35/M35</f>
        <v>#REF!</v>
      </c>
      <c r="Q35" s="363" t="e">
        <f>C35/N35</f>
        <v>#REF!</v>
      </c>
      <c r="R35" s="348">
        <f>SUM(R32:R34)</f>
        <v>0</v>
      </c>
      <c r="S35" s="348">
        <f>SUM(S32:S34)</f>
        <v>0</v>
      </c>
      <c r="T35" s="348">
        <f>SUM(T32:T34)</f>
        <v>0</v>
      </c>
      <c r="U35" s="348">
        <f>SUM(U32:U34)</f>
        <v>0</v>
      </c>
      <c r="V35" s="346">
        <f t="shared" si="4"/>
        <v>46456.67842190573</v>
      </c>
      <c r="W35" s="346">
        <f t="shared" si="5"/>
        <v>523464.36164584511</v>
      </c>
      <c r="X35" s="349" t="e">
        <f>+C35/V35</f>
        <v>#REF!</v>
      </c>
      <c r="Y35" s="363" t="e">
        <f>+C35/W35</f>
        <v>#REF!</v>
      </c>
    </row>
    <row r="36" spans="2:27" s="284" customFormat="1" ht="15.75" hidden="1" customHeight="1" x14ac:dyDescent="0.2">
      <c r="B36" s="322" t="s">
        <v>133</v>
      </c>
      <c r="C36" s="323"/>
      <c r="D36" s="331"/>
      <c r="E36" s="331"/>
      <c r="F36" s="331"/>
      <c r="G36" s="331"/>
      <c r="H36" s="332"/>
      <c r="I36" s="333"/>
      <c r="J36" s="333"/>
      <c r="K36" s="804"/>
      <c r="L36" s="326"/>
      <c r="M36" s="804"/>
      <c r="N36" s="804"/>
      <c r="O36" s="804"/>
      <c r="P36" s="335"/>
      <c r="Q36" s="336"/>
      <c r="R36" s="326"/>
      <c r="S36" s="326"/>
      <c r="T36" s="326"/>
      <c r="U36" s="326"/>
      <c r="V36" s="804">
        <f t="shared" si="4"/>
        <v>0</v>
      </c>
      <c r="W36" s="804">
        <f t="shared" si="5"/>
        <v>0</v>
      </c>
      <c r="X36" s="335" t="s">
        <v>3</v>
      </c>
      <c r="Y36" s="336" t="s">
        <v>3</v>
      </c>
    </row>
    <row r="37" spans="2:27" s="284" customFormat="1" ht="15.75" customHeight="1" x14ac:dyDescent="0.2">
      <c r="B37" s="330" t="s">
        <v>134</v>
      </c>
      <c r="C37" s="323" t="e">
        <f>'2013-2015 Combined Table A1'!H25</f>
        <v>#REF!</v>
      </c>
      <c r="D37" s="331" t="e">
        <f>E37-C37</f>
        <v>#REF!</v>
      </c>
      <c r="E37" s="331">
        <v>1489830.7990075983</v>
      </c>
      <c r="F37" s="331">
        <v>1653016.353567519</v>
      </c>
      <c r="G37" s="331">
        <v>1653016.353567519</v>
      </c>
      <c r="H37" s="332" t="e">
        <f>SUM(C37/$C$71)</f>
        <v>#REF!</v>
      </c>
      <c r="I37" s="333" t="e">
        <f>F37/C37</f>
        <v>#REF!</v>
      </c>
      <c r="J37" s="333">
        <f>G37/E37</f>
        <v>1.1095329447267579</v>
      </c>
      <c r="K37" s="804">
        <v>10.045099516671238</v>
      </c>
      <c r="L37" s="326" t="s">
        <v>244</v>
      </c>
      <c r="M37" s="804">
        <v>231618.48399133113</v>
      </c>
      <c r="N37" s="804">
        <v>1852947.871930649</v>
      </c>
      <c r="O37" s="804">
        <v>2550.1207140129904</v>
      </c>
      <c r="P37" s="335" t="e">
        <f>C37/M37</f>
        <v>#REF!</v>
      </c>
      <c r="Q37" s="336" t="e">
        <f>C37/N37</f>
        <v>#REF!</v>
      </c>
      <c r="R37" s="804"/>
      <c r="S37" s="804"/>
      <c r="T37" s="804"/>
      <c r="U37" s="804"/>
      <c r="V37" s="804">
        <f t="shared" si="4"/>
        <v>23833.542002707974</v>
      </c>
      <c r="W37" s="804">
        <f t="shared" si="5"/>
        <v>190668.3360216638</v>
      </c>
      <c r="X37" s="335" t="e">
        <f>+C37/V37</f>
        <v>#REF!</v>
      </c>
      <c r="Y37" s="336" t="e">
        <f>+C37/W37</f>
        <v>#REF!</v>
      </c>
    </row>
    <row r="38" spans="2:27" s="284" customFormat="1" ht="16.5" customHeight="1" thickBot="1" x14ac:dyDescent="0.25">
      <c r="B38" s="359" t="s">
        <v>135</v>
      </c>
      <c r="C38" s="323" t="e">
        <f>'2013-2015 Combined Table A1'!I25</f>
        <v>#REF!</v>
      </c>
      <c r="D38" s="331" t="e">
        <f>E38-C38</f>
        <v>#REF!</v>
      </c>
      <c r="E38" s="331">
        <v>1248790.421235855</v>
      </c>
      <c r="F38" s="331">
        <v>1392027.7598417948</v>
      </c>
      <c r="G38" s="331">
        <v>1392027.7598417948</v>
      </c>
      <c r="H38" s="332" t="e">
        <f>SUM(C38/$C$72)</f>
        <v>#REF!</v>
      </c>
      <c r="I38" s="333" t="e">
        <f>F38/C38</f>
        <v>#REF!</v>
      </c>
      <c r="J38" s="333">
        <f>G38/E38</f>
        <v>1.1147008626669208</v>
      </c>
      <c r="K38" s="804">
        <v>8.4591161771640753</v>
      </c>
      <c r="L38" s="326" t="s">
        <v>244</v>
      </c>
      <c r="M38" s="804">
        <v>195049.10445233283</v>
      </c>
      <c r="N38" s="804">
        <v>1560392.8356186626</v>
      </c>
      <c r="O38" s="804">
        <v>2147.4916549932827</v>
      </c>
      <c r="P38" s="335" t="e">
        <f>C38/M38</f>
        <v>#REF!</v>
      </c>
      <c r="Q38" s="336" t="e">
        <f>C38/N38</f>
        <v>#REF!</v>
      </c>
      <c r="R38" s="804"/>
      <c r="S38" s="804"/>
      <c r="T38" s="804"/>
      <c r="U38" s="804"/>
      <c r="V38" s="804">
        <f t="shared" si="4"/>
        <v>20070.552848145049</v>
      </c>
      <c r="W38" s="804">
        <f t="shared" si="5"/>
        <v>160564.42278516039</v>
      </c>
      <c r="X38" s="335" t="e">
        <f>+C38/V38</f>
        <v>#REF!</v>
      </c>
      <c r="Y38" s="336" t="e">
        <f>+C38/W38</f>
        <v>#REF!</v>
      </c>
    </row>
    <row r="39" spans="2:27" ht="19.5" customHeight="1" thickBot="1" x14ac:dyDescent="0.3">
      <c r="B39" s="342" t="s">
        <v>136</v>
      </c>
      <c r="C39" s="343" t="e">
        <f>SUM(C36:C38)</f>
        <v>#REF!</v>
      </c>
      <c r="D39" s="343" t="e">
        <f>SUM(D36:D38)</f>
        <v>#REF!</v>
      </c>
      <c r="E39" s="343">
        <f>SUM(E36:E38)</f>
        <v>2738621.220243453</v>
      </c>
      <c r="F39" s="343">
        <f>SUM(F36:F38)</f>
        <v>3045044.1134093138</v>
      </c>
      <c r="G39" s="343">
        <f>SUM(G36:G38)</f>
        <v>3045044.1134093138</v>
      </c>
      <c r="H39" s="344" t="e">
        <f>SUM(C39/$C$73)</f>
        <v>#REF!</v>
      </c>
      <c r="I39" s="345" t="e">
        <f>F39/C39</f>
        <v>#REF!</v>
      </c>
      <c r="J39" s="345">
        <f>G39/E39</f>
        <v>1.1118894759526552</v>
      </c>
      <c r="K39" s="346">
        <f>SUM(K36:K38)</f>
        <v>18.504215693835313</v>
      </c>
      <c r="L39" s="343" t="s">
        <v>244</v>
      </c>
      <c r="M39" s="348">
        <f>SUM(M36:M38)</f>
        <v>426667.58844366396</v>
      </c>
      <c r="N39" s="348">
        <f>SUM(N36:N38)</f>
        <v>3413340.7075493117</v>
      </c>
      <c r="O39" s="348">
        <f>SUM(O36:O38)</f>
        <v>4697.6123690062732</v>
      </c>
      <c r="P39" s="349" t="e">
        <f>C39/M39</f>
        <v>#REF!</v>
      </c>
      <c r="Q39" s="363" t="e">
        <f>C39/N39</f>
        <v>#REF!</v>
      </c>
      <c r="R39" s="348">
        <f>SUM(R36:R38)</f>
        <v>0</v>
      </c>
      <c r="S39" s="348">
        <f>SUM(S36:S38)</f>
        <v>0</v>
      </c>
      <c r="T39" s="348"/>
      <c r="U39" s="348"/>
      <c r="V39" s="346">
        <f t="shared" si="4"/>
        <v>43904.09485085302</v>
      </c>
      <c r="W39" s="346">
        <f t="shared" si="5"/>
        <v>351232.75880682416</v>
      </c>
      <c r="X39" s="349" t="e">
        <f>+C39/V39</f>
        <v>#REF!</v>
      </c>
      <c r="Y39" s="363" t="e">
        <f>+C39/W39</f>
        <v>#REF!</v>
      </c>
    </row>
    <row r="40" spans="2:27" ht="15.75" hidden="1" customHeight="1" x14ac:dyDescent="0.2">
      <c r="B40" s="322" t="s">
        <v>251</v>
      </c>
      <c r="C40" s="323"/>
      <c r="D40" s="331"/>
      <c r="E40" s="331"/>
      <c r="F40" s="331"/>
      <c r="G40" s="331"/>
      <c r="H40" s="332"/>
      <c r="I40" s="333"/>
      <c r="J40" s="333"/>
      <c r="K40" s="804"/>
      <c r="L40" s="326"/>
      <c r="M40" s="804"/>
      <c r="N40" s="804"/>
      <c r="O40" s="804"/>
      <c r="P40" s="335"/>
      <c r="Q40" s="336"/>
      <c r="R40" s="326"/>
      <c r="S40" s="326"/>
      <c r="T40" s="326"/>
      <c r="U40" s="326"/>
      <c r="V40" s="804">
        <f t="shared" si="4"/>
        <v>0</v>
      </c>
      <c r="W40" s="804">
        <f t="shared" si="5"/>
        <v>0</v>
      </c>
      <c r="X40" s="335" t="s">
        <v>3</v>
      </c>
      <c r="Y40" s="336" t="s">
        <v>3</v>
      </c>
    </row>
    <row r="41" spans="2:27" ht="15.75" customHeight="1" x14ac:dyDescent="0.2">
      <c r="B41" s="330" t="s">
        <v>252</v>
      </c>
      <c r="C41" s="323" t="e">
        <f>'2013-2015 Combined Table A1'!H27</f>
        <v>#REF!</v>
      </c>
      <c r="D41" s="331" t="e">
        <f>E41-C41</f>
        <v>#REF!</v>
      </c>
      <c r="E41" s="331">
        <v>356510.08484464919</v>
      </c>
      <c r="F41" s="331">
        <v>364523.54258185241</v>
      </c>
      <c r="G41" s="331">
        <v>364523.54258185247</v>
      </c>
      <c r="H41" s="332" t="e">
        <f>SUM(C41/$C$71)</f>
        <v>#REF!</v>
      </c>
      <c r="I41" s="333" t="e">
        <f>F41/C41</f>
        <v>#REF!</v>
      </c>
      <c r="J41" s="333">
        <f>G41/E41</f>
        <v>1.0224775064657572</v>
      </c>
      <c r="K41" s="804">
        <v>5.2615189133009839</v>
      </c>
      <c r="L41" s="326" t="s">
        <v>244</v>
      </c>
      <c r="M41" s="804">
        <v>38691.777436640194</v>
      </c>
      <c r="N41" s="804">
        <v>435971.04366513883</v>
      </c>
      <c r="O41" s="804">
        <v>442.36483339523704</v>
      </c>
      <c r="P41" s="335" t="e">
        <f>C41/M41</f>
        <v>#REF!</v>
      </c>
      <c r="Q41" s="336" t="e">
        <f>C41/N41</f>
        <v>#REF!</v>
      </c>
      <c r="R41" s="804"/>
      <c r="S41" s="804"/>
      <c r="T41" s="804"/>
      <c r="U41" s="804"/>
      <c r="V41" s="804">
        <f t="shared" si="4"/>
        <v>3981.3838982302759</v>
      </c>
      <c r="W41" s="804">
        <f t="shared" si="5"/>
        <v>44861.420393142784</v>
      </c>
      <c r="X41" s="335" t="e">
        <f>+C41/V41</f>
        <v>#REF!</v>
      </c>
      <c r="Y41" s="336" t="e">
        <f>+C41/W41</f>
        <v>#REF!</v>
      </c>
    </row>
    <row r="42" spans="2:27" ht="15.75" customHeight="1" thickBot="1" x14ac:dyDescent="0.25">
      <c r="B42" s="359" t="s">
        <v>253</v>
      </c>
      <c r="C42" s="323" t="e">
        <f>'2013-2015 Combined Table A1'!I27</f>
        <v>#REF!</v>
      </c>
      <c r="D42" s="331" t="e">
        <f>E42-C42</f>
        <v>#REF!</v>
      </c>
      <c r="E42" s="331">
        <v>283509.62891936244</v>
      </c>
      <c r="F42" s="331">
        <v>295289.92941711977</v>
      </c>
      <c r="G42" s="331">
        <v>295289.92941711977</v>
      </c>
      <c r="H42" s="332" t="e">
        <f>SUM(C42/$C$72)</f>
        <v>#REF!</v>
      </c>
      <c r="I42" s="333" t="e">
        <f>F42/C42</f>
        <v>#REF!</v>
      </c>
      <c r="J42" s="333">
        <f>G42/E42</f>
        <v>1.0415516768959827</v>
      </c>
      <c r="K42" s="804">
        <v>4.2622035809569629</v>
      </c>
      <c r="L42" s="326" t="s">
        <v>244</v>
      </c>
      <c r="M42" s="804">
        <v>31343.084584784763</v>
      </c>
      <c r="N42" s="804">
        <v>353167.47390294902</v>
      </c>
      <c r="O42" s="804">
        <v>358.34689717074741</v>
      </c>
      <c r="P42" s="335" t="e">
        <f>C42/M42</f>
        <v>#REF!</v>
      </c>
      <c r="Q42" s="336" t="e">
        <f>C42/N42</f>
        <v>#REF!</v>
      </c>
      <c r="R42" s="804"/>
      <c r="S42" s="804"/>
      <c r="T42" s="804"/>
      <c r="U42" s="804"/>
      <c r="V42" s="804">
        <f t="shared" si="4"/>
        <v>3225.203403774352</v>
      </c>
      <c r="W42" s="804">
        <f t="shared" si="5"/>
        <v>36340.933064613455</v>
      </c>
      <c r="X42" s="335" t="e">
        <f>+C42/V42</f>
        <v>#REF!</v>
      </c>
      <c r="Y42" s="336" t="e">
        <f>+C42/W42</f>
        <v>#REF!</v>
      </c>
    </row>
    <row r="43" spans="2:27" ht="19.5" customHeight="1" thickBot="1" x14ac:dyDescent="0.3">
      <c r="B43" s="342" t="s">
        <v>302</v>
      </c>
      <c r="C43" s="343" t="e">
        <f>SUM(C40:C42)</f>
        <v>#REF!</v>
      </c>
      <c r="D43" s="343" t="e">
        <f>SUM(D40:D42)</f>
        <v>#REF!</v>
      </c>
      <c r="E43" s="343">
        <f>SUM(E40:E42)</f>
        <v>640019.71376401163</v>
      </c>
      <c r="F43" s="343">
        <f>SUM(F40:F42)</f>
        <v>659813.47199897212</v>
      </c>
      <c r="G43" s="343">
        <f>SUM(G40:G42)</f>
        <v>659813.47199897224</v>
      </c>
      <c r="H43" s="344" t="e">
        <f>SUM(C43/$C$73)</f>
        <v>#REF!</v>
      </c>
      <c r="I43" s="345" t="e">
        <f>F43/C43</f>
        <v>#REF!</v>
      </c>
      <c r="J43" s="345">
        <f>G43/E43</f>
        <v>1.0309267946116094</v>
      </c>
      <c r="K43" s="346">
        <f>SUM(K40:K42)</f>
        <v>9.5237224942579459</v>
      </c>
      <c r="L43" s="343" t="s">
        <v>244</v>
      </c>
      <c r="M43" s="348">
        <f>SUM(M40:M42)</f>
        <v>70034.862021424953</v>
      </c>
      <c r="N43" s="348">
        <f>SUM(N40:N42)</f>
        <v>789138.5175680879</v>
      </c>
      <c r="O43" s="348">
        <f>SUM(O40:O42)</f>
        <v>800.71173056598445</v>
      </c>
      <c r="P43" s="349" t="e">
        <f>C43/M43</f>
        <v>#REF!</v>
      </c>
      <c r="Q43" s="363" t="e">
        <f>C43/N43</f>
        <v>#REF!</v>
      </c>
      <c r="R43" s="348">
        <f>SUM(R40:R42)</f>
        <v>0</v>
      </c>
      <c r="S43" s="348">
        <f>SUM(S40:S42)</f>
        <v>0</v>
      </c>
      <c r="T43" s="348">
        <f>SUM(T40:T42)</f>
        <v>0</v>
      </c>
      <c r="U43" s="348">
        <f>SUM(U40:U42)</f>
        <v>0</v>
      </c>
      <c r="V43" s="346">
        <f t="shared" si="4"/>
        <v>7206.5873020046274</v>
      </c>
      <c r="W43" s="346">
        <f t="shared" si="5"/>
        <v>81202.353457756239</v>
      </c>
      <c r="X43" s="349" t="e">
        <f>+C43/V43</f>
        <v>#REF!</v>
      </c>
      <c r="Y43" s="363" t="e">
        <f>+C43/W43</f>
        <v>#REF!</v>
      </c>
    </row>
    <row r="44" spans="2:27" ht="15.75" customHeight="1" thickBot="1" x14ac:dyDescent="0.3">
      <c r="B44" s="364" t="s">
        <v>127</v>
      </c>
      <c r="C44" s="365" t="e">
        <f>C43+C39+C35+C30</f>
        <v>#REF!</v>
      </c>
      <c r="D44" s="365" t="e">
        <f>D43+D39+D35+D30</f>
        <v>#REF!</v>
      </c>
      <c r="E44" s="365">
        <f>E43+E39+E35+E30</f>
        <v>11945719.879146423</v>
      </c>
      <c r="F44" s="365">
        <f>F43+F39+F35+F30</f>
        <v>14352989.277674578</v>
      </c>
      <c r="G44" s="365">
        <f>G43+G39+G35+G30</f>
        <v>14352989.277674578</v>
      </c>
      <c r="H44" s="366" t="e">
        <f>SUM(C44/C73)</f>
        <v>#REF!</v>
      </c>
      <c r="I44" s="317" t="e">
        <f>F44/C44</f>
        <v>#REF!</v>
      </c>
      <c r="J44" s="317">
        <f>G44/E44</f>
        <v>1.2015173152294079</v>
      </c>
      <c r="K44" s="346">
        <f>K43+K39+K35+K30</f>
        <v>143.06700553974906</v>
      </c>
      <c r="L44" s="612" t="s">
        <v>244</v>
      </c>
      <c r="M44" s="394">
        <f>M43+M39+M35+M30</f>
        <v>1490047.1391547029</v>
      </c>
      <c r="N44" s="395">
        <f>N43+N39+N35+N30</f>
        <v>17612701.4253699</v>
      </c>
      <c r="O44" s="395">
        <f>O43+O39+O35+O30</f>
        <v>14936.143419006412</v>
      </c>
      <c r="P44" s="367" t="e">
        <f>C44/M44</f>
        <v>#REF!</v>
      </c>
      <c r="Q44" s="367" t="e">
        <f>C44/N44</f>
        <v>#REF!</v>
      </c>
      <c r="R44" s="394">
        <f>R43+R39+R35+R30</f>
        <v>0</v>
      </c>
      <c r="S44" s="395">
        <f>S43+S39+S35+S30</f>
        <v>0</v>
      </c>
      <c r="T44" s="394"/>
      <c r="U44" s="395"/>
      <c r="V44" s="394"/>
      <c r="W44" s="395"/>
      <c r="X44" s="367"/>
      <c r="Y44" s="367"/>
    </row>
    <row r="45" spans="2:27" s="284" customFormat="1" ht="15" x14ac:dyDescent="0.2">
      <c r="B45" s="396"/>
      <c r="C45" s="397"/>
      <c r="D45" s="397"/>
      <c r="E45" s="397"/>
      <c r="F45" s="397"/>
      <c r="G45" s="397"/>
      <c r="H45" s="397"/>
      <c r="I45" s="397"/>
      <c r="J45" s="397"/>
      <c r="K45" s="806"/>
      <c r="L45" s="397"/>
      <c r="M45" s="397"/>
      <c r="N45" s="397"/>
      <c r="O45" s="397"/>
      <c r="P45" s="397"/>
      <c r="Q45" s="398"/>
      <c r="R45" s="397"/>
      <c r="S45" s="397"/>
      <c r="T45" s="397"/>
      <c r="U45" s="397"/>
      <c r="V45" s="397"/>
      <c r="W45" s="397"/>
      <c r="X45" s="397"/>
      <c r="Y45" s="397"/>
      <c r="Z45" s="285"/>
    </row>
    <row r="46" spans="2:27" ht="16.5" thickBot="1" x14ac:dyDescent="0.3">
      <c r="B46" s="2162" t="s">
        <v>41</v>
      </c>
      <c r="C46" s="2163"/>
      <c r="D46" s="2163"/>
      <c r="E46" s="2163"/>
      <c r="F46" s="2163"/>
      <c r="G46" s="2163"/>
      <c r="H46" s="2163"/>
      <c r="I46" s="2163"/>
      <c r="J46" s="2163"/>
      <c r="K46" s="2163"/>
      <c r="L46" s="2163"/>
      <c r="M46" s="2163"/>
      <c r="N46" s="2163"/>
      <c r="O46" s="2163"/>
      <c r="P46" s="2163"/>
      <c r="Q46" s="2163"/>
      <c r="R46" s="2163"/>
      <c r="S46" s="2163"/>
      <c r="T46" s="2163"/>
      <c r="U46" s="2163"/>
      <c r="V46" s="2163"/>
      <c r="W46" s="2163"/>
      <c r="X46" s="2163"/>
      <c r="Y46" s="2163"/>
    </row>
    <row r="47" spans="2:27" s="704" customFormat="1" ht="15.75" hidden="1" customHeight="1" thickBot="1" x14ac:dyDescent="0.25">
      <c r="B47" s="2110" t="s">
        <v>172</v>
      </c>
      <c r="C47" s="2111"/>
      <c r="D47" s="1121"/>
      <c r="E47" s="2111"/>
      <c r="F47" s="1121"/>
      <c r="G47" s="1121"/>
      <c r="H47" s="2112" t="e">
        <f>SUM(C47/$C$70)</f>
        <v>#DIV/0!</v>
      </c>
      <c r="I47" s="1966"/>
      <c r="J47" s="1966"/>
      <c r="K47" s="1967"/>
      <c r="L47" s="1966"/>
      <c r="M47" s="1966"/>
      <c r="N47" s="1966"/>
      <c r="O47" s="1966"/>
      <c r="P47" s="1966"/>
      <c r="Q47" s="1968"/>
      <c r="R47" s="1966"/>
      <c r="S47" s="1966"/>
      <c r="T47" s="1966"/>
      <c r="U47" s="1966"/>
      <c r="V47" s="1966"/>
      <c r="W47" s="1966"/>
      <c r="X47" s="1966"/>
      <c r="Y47" s="1968"/>
    </row>
    <row r="48" spans="2:27" s="704" customFormat="1" ht="15.75" customHeight="1" thickBot="1" x14ac:dyDescent="0.25">
      <c r="B48" s="1107" t="s">
        <v>173</v>
      </c>
      <c r="C48" s="1108" t="e">
        <f>+'CNG Table A'!#REF!</f>
        <v>#REF!</v>
      </c>
      <c r="D48" s="1109"/>
      <c r="E48" s="1108"/>
      <c r="F48" s="1109"/>
      <c r="G48" s="1109"/>
      <c r="H48" s="1259" t="e">
        <f>SUM(C48/$C$71)</f>
        <v>#REF!</v>
      </c>
      <c r="I48" s="1111"/>
      <c r="J48" s="1111"/>
      <c r="K48" s="1112"/>
      <c r="L48" s="1111"/>
      <c r="M48" s="1111"/>
      <c r="N48" s="1111"/>
      <c r="O48" s="1111"/>
      <c r="P48" s="1111"/>
      <c r="Q48" s="1113"/>
      <c r="R48" s="1111"/>
      <c r="S48" s="1111"/>
      <c r="T48" s="1111"/>
      <c r="U48" s="1111"/>
      <c r="V48" s="1111"/>
      <c r="W48" s="1111"/>
      <c r="X48" s="1111"/>
      <c r="Y48" s="1113"/>
    </row>
    <row r="49" spans="2:26" s="704" customFormat="1" ht="15.75" customHeight="1" thickBot="1" x14ac:dyDescent="0.25">
      <c r="B49" s="1260" t="s">
        <v>174</v>
      </c>
      <c r="C49" s="1972" t="e">
        <f>+'SCG Table A'!#REF!</f>
        <v>#REF!</v>
      </c>
      <c r="D49" s="1132"/>
      <c r="E49" s="1972"/>
      <c r="F49" s="1132"/>
      <c r="G49" s="1132"/>
      <c r="H49" s="1262" t="e">
        <f>SUM(C49/$C$72)</f>
        <v>#REF!</v>
      </c>
      <c r="I49" s="1256"/>
      <c r="J49" s="1256"/>
      <c r="K49" s="1257"/>
      <c r="L49" s="1256"/>
      <c r="M49" s="1256"/>
      <c r="N49" s="1256"/>
      <c r="O49" s="1256"/>
      <c r="P49" s="1256"/>
      <c r="Q49" s="1258"/>
      <c r="R49" s="1256"/>
      <c r="S49" s="1256"/>
      <c r="T49" s="1256"/>
      <c r="U49" s="1256"/>
      <c r="V49" s="1256"/>
      <c r="W49" s="1256"/>
      <c r="X49" s="1256"/>
      <c r="Y49" s="1258"/>
    </row>
    <row r="50" spans="2:26" s="704" customFormat="1" ht="16.5" customHeight="1" thickBot="1" x14ac:dyDescent="0.3">
      <c r="B50" s="1124" t="s">
        <v>175</v>
      </c>
      <c r="C50" s="1133" t="e">
        <f>SUM(C47:C49)</f>
        <v>#REF!</v>
      </c>
      <c r="D50" s="1134"/>
      <c r="E50" s="1125"/>
      <c r="F50" s="1126"/>
      <c r="G50" s="1126"/>
      <c r="H50" s="1973" t="e">
        <f>C50/C73</f>
        <v>#REF!</v>
      </c>
      <c r="I50" s="1126"/>
      <c r="J50" s="1126"/>
      <c r="K50" s="2139"/>
      <c r="L50" s="1126"/>
      <c r="M50" s="1126"/>
      <c r="N50" s="1126"/>
      <c r="O50" s="1126"/>
      <c r="P50" s="1126"/>
      <c r="Q50" s="1127"/>
      <c r="R50" s="1126"/>
      <c r="S50" s="1126"/>
      <c r="T50" s="1126"/>
      <c r="U50" s="1126"/>
      <c r="V50" s="1126"/>
      <c r="W50" s="1126"/>
      <c r="X50" s="1126"/>
      <c r="Y50" s="1127"/>
    </row>
    <row r="51" spans="2:26" s="704" customFormat="1" ht="15.75" hidden="1" customHeight="1" thickBot="1" x14ac:dyDescent="0.25">
      <c r="B51" s="1254" t="s">
        <v>237</v>
      </c>
      <c r="C51" s="1255"/>
      <c r="D51" s="1126"/>
      <c r="E51" s="1255"/>
      <c r="F51" s="1126"/>
      <c r="G51" s="1126"/>
      <c r="H51" s="1259" t="e">
        <f>SUM(C51/$C$70)</f>
        <v>#DIV/0!</v>
      </c>
      <c r="I51" s="1256"/>
      <c r="J51" s="1256"/>
      <c r="K51" s="1257"/>
      <c r="L51" s="1256"/>
      <c r="M51" s="1256"/>
      <c r="N51" s="1256"/>
      <c r="O51" s="1256"/>
      <c r="P51" s="1256"/>
      <c r="Q51" s="1258"/>
      <c r="R51" s="1256"/>
      <c r="S51" s="1256"/>
      <c r="T51" s="1256"/>
      <c r="U51" s="1256"/>
      <c r="V51" s="1256"/>
      <c r="W51" s="1256"/>
      <c r="X51" s="1256"/>
      <c r="Y51" s="1258"/>
    </row>
    <row r="52" spans="2:26" s="704" customFormat="1" ht="15.75" customHeight="1" thickBot="1" x14ac:dyDescent="0.3">
      <c r="B52" s="1128" t="s">
        <v>238</v>
      </c>
      <c r="C52" s="1253" t="e">
        <f>'CNG Table A'!#REF!+'CNG Table A'!#REF!+'CNG Table A'!#REF!</f>
        <v>#REF!</v>
      </c>
      <c r="D52" s="1129"/>
      <c r="E52" s="1106"/>
      <c r="F52" s="1129"/>
      <c r="G52" s="1129"/>
      <c r="H52" s="357" t="e">
        <f>SUM(C52/$C$71)</f>
        <v>#REF!</v>
      </c>
      <c r="I52" s="1130"/>
      <c r="J52" s="1130"/>
      <c r="K52" s="905"/>
      <c r="L52" s="1130"/>
      <c r="M52" s="1130"/>
      <c r="N52" s="1130"/>
      <c r="O52" s="1130"/>
      <c r="P52" s="1130"/>
      <c r="Q52" s="1131"/>
      <c r="R52" s="1130"/>
      <c r="S52" s="1130"/>
      <c r="T52" s="1130"/>
      <c r="U52" s="1130"/>
      <c r="V52" s="1130"/>
      <c r="W52" s="1130"/>
      <c r="X52" s="1130"/>
      <c r="Y52" s="1131"/>
    </row>
    <row r="53" spans="2:26" s="704" customFormat="1" ht="15.75" customHeight="1" thickBot="1" x14ac:dyDescent="0.3">
      <c r="B53" s="979" t="s">
        <v>239</v>
      </c>
      <c r="C53" s="1105" t="e">
        <f>'SCG Table A'!#REF!+'SCG Table A'!#REF!+'SCG Table A'!#REF!</f>
        <v>#REF!</v>
      </c>
      <c r="D53" s="1132"/>
      <c r="E53" s="1106"/>
      <c r="F53" s="1132"/>
      <c r="G53" s="1132"/>
      <c r="H53" s="1262" t="e">
        <f>SUM(C53/$C$72)</f>
        <v>#REF!</v>
      </c>
      <c r="I53" s="1111"/>
      <c r="J53" s="1111"/>
      <c r="K53" s="1112"/>
      <c r="L53" s="1111"/>
      <c r="M53" s="1111"/>
      <c r="N53" s="1111"/>
      <c r="O53" s="1111"/>
      <c r="P53" s="1111"/>
      <c r="Q53" s="1113"/>
      <c r="R53" s="1111"/>
      <c r="S53" s="1111"/>
      <c r="T53" s="1111"/>
      <c r="U53" s="1111"/>
      <c r="V53" s="1111"/>
      <c r="W53" s="1111"/>
      <c r="X53" s="1111"/>
      <c r="Y53" s="1113"/>
    </row>
    <row r="54" spans="2:26" s="704" customFormat="1" ht="15.75" customHeight="1" thickBot="1" x14ac:dyDescent="0.3">
      <c r="B54" s="1124" t="s">
        <v>89</v>
      </c>
      <c r="C54" s="1133" t="e">
        <f>SUM(C51:C53)</f>
        <v>#REF!</v>
      </c>
      <c r="D54" s="1134"/>
      <c r="E54" s="1125"/>
      <c r="F54" s="1134"/>
      <c r="G54" s="1134"/>
      <c r="H54" s="1266" t="e">
        <f>C54/C73</f>
        <v>#REF!</v>
      </c>
      <c r="I54" s="1134"/>
      <c r="J54" s="1134"/>
      <c r="K54" s="1135"/>
      <c r="L54" s="1134"/>
      <c r="M54" s="1134"/>
      <c r="N54" s="1134"/>
      <c r="O54" s="1134"/>
      <c r="P54" s="1134"/>
      <c r="Q54" s="1127"/>
      <c r="R54" s="1134"/>
      <c r="S54" s="1134"/>
      <c r="T54" s="1134"/>
      <c r="U54" s="1134"/>
      <c r="V54" s="1134"/>
      <c r="W54" s="1134"/>
      <c r="X54" s="1134"/>
      <c r="Y54" s="1127"/>
    </row>
    <row r="55" spans="2:26" s="704" customFormat="1" ht="15.75" customHeight="1" thickBot="1" x14ac:dyDescent="0.3">
      <c r="B55" s="1136" t="s">
        <v>90</v>
      </c>
      <c r="C55" s="1137" t="e">
        <f>C50+C54</f>
        <v>#REF!</v>
      </c>
      <c r="D55" s="1137"/>
      <c r="E55" s="1137"/>
      <c r="F55" s="1137"/>
      <c r="G55" s="1137"/>
      <c r="H55" s="1138" t="e">
        <f>C55/C73</f>
        <v>#REF!</v>
      </c>
      <c r="I55" s="1139"/>
      <c r="J55" s="1139"/>
      <c r="K55" s="1140"/>
      <c r="L55" s="1141"/>
      <c r="M55" s="1142"/>
      <c r="N55" s="1142"/>
      <c r="O55" s="1142"/>
      <c r="P55" s="1143"/>
      <c r="Q55" s="1144"/>
      <c r="R55" s="1141"/>
      <c r="S55" s="1141"/>
      <c r="T55" s="1141"/>
      <c r="U55" s="1141"/>
      <c r="V55" s="1141"/>
      <c r="W55" s="1141"/>
      <c r="X55" s="1143"/>
      <c r="Y55" s="1144"/>
    </row>
    <row r="56" spans="2:26" s="284" customFormat="1" ht="15.75" thickBot="1" x14ac:dyDescent="0.25">
      <c r="B56" s="396"/>
      <c r="C56" s="397"/>
      <c r="D56" s="397"/>
      <c r="E56" s="397"/>
      <c r="F56" s="397"/>
      <c r="G56" s="397"/>
      <c r="H56" s="397"/>
      <c r="I56" s="397"/>
      <c r="J56" s="397"/>
      <c r="K56" s="806"/>
      <c r="L56" s="397"/>
      <c r="M56" s="397"/>
      <c r="N56" s="397"/>
      <c r="O56" s="397"/>
      <c r="P56" s="397"/>
      <c r="Q56" s="398"/>
      <c r="R56" s="397"/>
      <c r="S56" s="397"/>
      <c r="T56" s="397"/>
      <c r="U56" s="397"/>
      <c r="V56" s="397"/>
      <c r="W56" s="397"/>
      <c r="X56" s="397"/>
      <c r="Y56" s="397"/>
      <c r="Z56" s="285"/>
    </row>
    <row r="57" spans="2:26" s="284" customFormat="1" ht="16.5" thickBot="1" x14ac:dyDescent="0.3">
      <c r="B57" s="419" t="s">
        <v>28</v>
      </c>
      <c r="C57" s="396"/>
      <c r="D57" s="397"/>
      <c r="E57" s="397"/>
      <c r="F57" s="397"/>
      <c r="G57" s="397"/>
      <c r="H57" s="420"/>
      <c r="I57" s="397"/>
      <c r="J57" s="397"/>
      <c r="K57" s="806"/>
      <c r="L57" s="397"/>
      <c r="M57" s="397"/>
      <c r="N57" s="397"/>
      <c r="O57" s="397"/>
      <c r="P57" s="420"/>
      <c r="Q57" s="421"/>
      <c r="R57" s="397"/>
      <c r="S57" s="397"/>
      <c r="T57" s="397"/>
      <c r="U57" s="397"/>
      <c r="V57" s="397"/>
      <c r="W57" s="397"/>
      <c r="X57" s="420"/>
      <c r="Y57" s="420"/>
      <c r="Z57" s="285"/>
    </row>
    <row r="58" spans="2:26" s="284" customFormat="1" ht="16.5" hidden="1" thickBot="1" x14ac:dyDescent="0.3">
      <c r="B58" s="2113" t="s">
        <v>91</v>
      </c>
      <c r="C58" s="2114">
        <f>C7+C11+C15+C20</f>
        <v>0</v>
      </c>
      <c r="D58" s="2115">
        <f>D7+D11+D15+D20</f>
        <v>0</v>
      </c>
      <c r="E58" s="2115">
        <f>E7+E11+E15+E20</f>
        <v>0</v>
      </c>
      <c r="F58" s="2115">
        <f>F7+F11+F15+F20</f>
        <v>0</v>
      </c>
      <c r="G58" s="2115">
        <f>G7+G11+G15+G20</f>
        <v>0</v>
      </c>
      <c r="H58" s="498" t="e">
        <f>SUM(C58/$C$70)</f>
        <v>#DIV/0!</v>
      </c>
      <c r="I58" s="2116"/>
      <c r="J58" s="2117"/>
      <c r="K58" s="903"/>
      <c r="L58" s="2117"/>
      <c r="M58" s="355">
        <f>M7+M11+M15+M20</f>
        <v>0</v>
      </c>
      <c r="N58" s="355">
        <f>N7+N11+N20+N15</f>
        <v>0</v>
      </c>
      <c r="O58" s="355">
        <f>O7+O11+O15+O20</f>
        <v>0</v>
      </c>
      <c r="P58" s="2118" t="s">
        <v>3</v>
      </c>
      <c r="Q58" s="1997" t="s">
        <v>3</v>
      </c>
      <c r="R58" s="2117"/>
      <c r="S58" s="2117"/>
      <c r="T58" s="2117"/>
      <c r="U58" s="2117"/>
      <c r="V58" s="2119">
        <f t="shared" ref="V58:V73" si="6">+(M58*102900+R58*138690+T58*91330)/10^6</f>
        <v>0</v>
      </c>
      <c r="W58" s="2119">
        <f t="shared" ref="W58:W73" si="7">+(N58*102900+S58*138690+U58*91330)/10^6</f>
        <v>0</v>
      </c>
      <c r="X58" s="2118" t="s">
        <v>3</v>
      </c>
      <c r="Y58" s="1997" t="s">
        <v>3</v>
      </c>
    </row>
    <row r="59" spans="2:26" s="284" customFormat="1" ht="15.75" x14ac:dyDescent="0.25">
      <c r="B59" s="422" t="s">
        <v>92</v>
      </c>
      <c r="C59" s="686" t="e">
        <f>C8+C12+C17+C21</f>
        <v>#REF!</v>
      </c>
      <c r="D59" s="423" t="e">
        <f>D8+D12+D17+D21</f>
        <v>#REF!</v>
      </c>
      <c r="E59" s="423">
        <f>E8+E12+E17+E21</f>
        <v>12017341.461083706</v>
      </c>
      <c r="F59" s="423">
        <f>F8+F12+F17+F21</f>
        <v>20552584.783357043</v>
      </c>
      <c r="G59" s="423">
        <f>G8+G12+G17+G21</f>
        <v>22066752.518467255</v>
      </c>
      <c r="H59" s="497" t="e">
        <f>SUM(C59/$C$71)</f>
        <v>#REF!</v>
      </c>
      <c r="I59" s="400"/>
      <c r="J59" s="400"/>
      <c r="K59" s="353"/>
      <c r="L59" s="400"/>
      <c r="M59" s="424">
        <f>M8+M12+M17+M21</f>
        <v>1089943.983750212</v>
      </c>
      <c r="N59" s="424">
        <f>N8+N12+N21+N17</f>
        <v>21384435.788866598</v>
      </c>
      <c r="O59" s="424">
        <f>O8+O12+O17+O21</f>
        <v>8957.6829032404239</v>
      </c>
      <c r="P59" s="2120" t="e">
        <f>SUM(C59/M59)</f>
        <v>#REF!</v>
      </c>
      <c r="Q59" s="356" t="e">
        <f>SUM(C59/N59)</f>
        <v>#REF!</v>
      </c>
      <c r="R59" s="424">
        <f>R8+R12+R17+R21</f>
        <v>46057.585963843165</v>
      </c>
      <c r="S59" s="424">
        <f>S8+S12+S21+S17</f>
        <v>921151.71927686327</v>
      </c>
      <c r="T59" s="424">
        <f>T8+T12+T17+T21</f>
        <v>2760.8354596080499</v>
      </c>
      <c r="U59" s="424">
        <f>U8+U12+U21+U17</f>
        <v>55216.709192160997</v>
      </c>
      <c r="V59" s="2121">
        <f t="shared" si="6"/>
        <v>118795.10962774823</v>
      </c>
      <c r="W59" s="2121">
        <f t="shared" si="7"/>
        <v>2333255.9166714014</v>
      </c>
      <c r="X59" s="2120" t="e">
        <f>+C59/V59</f>
        <v>#REF!</v>
      </c>
      <c r="Y59" s="356" t="e">
        <f>+C59/W59</f>
        <v>#REF!</v>
      </c>
    </row>
    <row r="60" spans="2:26" s="284" customFormat="1" ht="20.25" customHeight="1" thickBot="1" x14ac:dyDescent="0.3">
      <c r="B60" s="2122" t="s">
        <v>93</v>
      </c>
      <c r="C60" s="2123" t="e">
        <f>C9+C13+C16+C18+C22</f>
        <v>#REF!</v>
      </c>
      <c r="D60" s="2123" t="e">
        <f>D9+D13+D16+D18+D22</f>
        <v>#REF!</v>
      </c>
      <c r="E60" s="2123">
        <f>E9+E13+E16+E18+E22</f>
        <v>9367478.2458477393</v>
      </c>
      <c r="F60" s="2123">
        <f>F9+F13+F16+F18+F22</f>
        <v>14352102.883410539</v>
      </c>
      <c r="G60" s="2123">
        <f>G9+G13+G16+G18+G22</f>
        <v>15493963.268012263</v>
      </c>
      <c r="H60" s="2124" t="e">
        <f>SUM(C60/$C$72)</f>
        <v>#REF!</v>
      </c>
      <c r="I60" s="2125"/>
      <c r="J60" s="2125"/>
      <c r="K60" s="2126"/>
      <c r="L60" s="2125"/>
      <c r="M60" s="2127">
        <f>M9+M13+M16+M18+M22</f>
        <v>980410.47394854715</v>
      </c>
      <c r="N60" s="2127">
        <f>N9+N13+N16+N18+N22</f>
        <v>17670605.633373681</v>
      </c>
      <c r="O60" s="2127">
        <f>O9+O13+O16+O18+O22</f>
        <v>8247.3752650126553</v>
      </c>
      <c r="P60" s="2128" t="e">
        <f>SUM(C60/M60)</f>
        <v>#REF!</v>
      </c>
      <c r="Q60" s="2129" t="e">
        <f>SUM(C60/N60)</f>
        <v>#REF!</v>
      </c>
      <c r="R60" s="2127" t="e">
        <f>R9+R13+R16+R18+R22</f>
        <v>#REF!</v>
      </c>
      <c r="S60" s="2127" t="e">
        <f>S9+S13+S16+S22+S18</f>
        <v>#REF!</v>
      </c>
      <c r="T60" s="2127"/>
      <c r="U60" s="2127"/>
      <c r="V60" s="2130" t="e">
        <f t="shared" si="6"/>
        <v>#REF!</v>
      </c>
      <c r="W60" s="2130" t="e">
        <f t="shared" si="7"/>
        <v>#REF!</v>
      </c>
      <c r="X60" s="2128" t="e">
        <f>+C60/V60</f>
        <v>#REF!</v>
      </c>
      <c r="Y60" s="2129" t="e">
        <f>+C60/W60</f>
        <v>#REF!</v>
      </c>
    </row>
    <row r="61" spans="2:26" ht="16.5" thickBot="1" x14ac:dyDescent="0.3">
      <c r="B61" s="364" t="s">
        <v>94</v>
      </c>
      <c r="C61" s="430" t="e">
        <f>SUM(C58:C60)</f>
        <v>#REF!</v>
      </c>
      <c r="D61" s="430" t="e">
        <f>SUM(D58:D60)</f>
        <v>#REF!</v>
      </c>
      <c r="E61" s="430">
        <f>SUM(E58:E60)</f>
        <v>21384819.706931446</v>
      </c>
      <c r="F61" s="430">
        <f>SUM(F58:F60)</f>
        <v>34904687.666767582</v>
      </c>
      <c r="G61" s="365">
        <f>SUM(G58:G60)</f>
        <v>37560715.786479518</v>
      </c>
      <c r="H61" s="496" t="e">
        <f>SUM(C61/$C$73)</f>
        <v>#REF!</v>
      </c>
      <c r="I61" s="431"/>
      <c r="J61" s="406"/>
      <c r="K61" s="346"/>
      <c r="L61" s="406"/>
      <c r="M61" s="432">
        <f>SUM(M58:M60)</f>
        <v>2070354.4576987592</v>
      </c>
      <c r="N61" s="432">
        <f>SUM(N58:N60)</f>
        <v>39055041.42224028</v>
      </c>
      <c r="O61" s="432">
        <f>SUM(O58:O60)</f>
        <v>17205.058168253079</v>
      </c>
      <c r="P61" s="433" t="e">
        <f>SUM(C61/M61)</f>
        <v>#REF!</v>
      </c>
      <c r="Q61" s="363" t="e">
        <f>SUM(C61/N61)</f>
        <v>#REF!</v>
      </c>
      <c r="R61" s="432" t="e">
        <f>SUM(R58:R60)</f>
        <v>#REF!</v>
      </c>
      <c r="S61" s="432" t="e">
        <f>SUM(S58:S60)</f>
        <v>#REF!</v>
      </c>
      <c r="T61" s="432">
        <f>SUM(T58:T60)</f>
        <v>2760.8354596080499</v>
      </c>
      <c r="U61" s="432">
        <f>SUM(U58:U60)</f>
        <v>55216.709192160997</v>
      </c>
      <c r="V61" s="346" t="e">
        <f t="shared" si="6"/>
        <v>#REF!</v>
      </c>
      <c r="W61" s="346" t="e">
        <f t="shared" si="7"/>
        <v>#REF!</v>
      </c>
      <c r="X61" s="433" t="e">
        <f>+C61/V61</f>
        <v>#REF!</v>
      </c>
      <c r="Y61" s="363" t="e">
        <f>+C61/W61</f>
        <v>#REF!</v>
      </c>
    </row>
    <row r="62" spans="2:26" s="284" customFormat="1" ht="16.5" hidden="1" thickBot="1" x14ac:dyDescent="0.3">
      <c r="B62" s="434" t="s">
        <v>95</v>
      </c>
      <c r="C62" s="351">
        <f t="shared" ref="C62:G64" si="8">C27+C32+C36+C40</f>
        <v>0</v>
      </c>
      <c r="D62" s="351">
        <f t="shared" si="8"/>
        <v>0</v>
      </c>
      <c r="E62" s="351">
        <f t="shared" si="8"/>
        <v>0</v>
      </c>
      <c r="F62" s="351">
        <f t="shared" si="8"/>
        <v>0</v>
      </c>
      <c r="G62" s="351">
        <f t="shared" si="8"/>
        <v>0</v>
      </c>
      <c r="H62" s="497" t="e">
        <f>SUM(C62/$C$70)</f>
        <v>#DIV/0!</v>
      </c>
      <c r="I62" s="400"/>
      <c r="J62" s="400"/>
      <c r="K62" s="353"/>
      <c r="L62" s="400"/>
      <c r="M62" s="424">
        <f t="shared" ref="M62:O64" si="9">M27+M32+M36+M40</f>
        <v>0</v>
      </c>
      <c r="N62" s="424">
        <f t="shared" si="9"/>
        <v>0</v>
      </c>
      <c r="O62" s="424">
        <f t="shared" si="9"/>
        <v>0</v>
      </c>
      <c r="P62" s="2004" t="s">
        <v>3</v>
      </c>
      <c r="Q62" s="2005" t="s">
        <v>3</v>
      </c>
      <c r="R62" s="400"/>
      <c r="S62" s="400"/>
      <c r="T62" s="400"/>
      <c r="U62" s="400"/>
      <c r="V62" s="804">
        <f t="shared" si="6"/>
        <v>0</v>
      </c>
      <c r="W62" s="804">
        <f t="shared" si="7"/>
        <v>0</v>
      </c>
      <c r="X62" s="2004" t="s">
        <v>3</v>
      </c>
      <c r="Y62" s="2005" t="s">
        <v>3</v>
      </c>
    </row>
    <row r="63" spans="2:26" s="284" customFormat="1" ht="16.5" thickBot="1" x14ac:dyDescent="0.3">
      <c r="B63" s="437" t="s">
        <v>96</v>
      </c>
      <c r="C63" s="351" t="e">
        <f t="shared" si="8"/>
        <v>#REF!</v>
      </c>
      <c r="D63" s="351" t="e">
        <f t="shared" si="8"/>
        <v>#REF!</v>
      </c>
      <c r="E63" s="351">
        <f t="shared" si="8"/>
        <v>7086930.2308441885</v>
      </c>
      <c r="F63" s="351">
        <f t="shared" si="8"/>
        <v>8528802.565008264</v>
      </c>
      <c r="G63" s="351">
        <f t="shared" si="8"/>
        <v>8528802.565008264</v>
      </c>
      <c r="H63" s="494" t="e">
        <f>SUM(C63/$C$71)</f>
        <v>#REF!</v>
      </c>
      <c r="I63" s="402"/>
      <c r="J63" s="402"/>
      <c r="K63" s="811"/>
      <c r="L63" s="402"/>
      <c r="M63" s="340">
        <f t="shared" si="9"/>
        <v>881420.13549239107</v>
      </c>
      <c r="N63" s="340">
        <f t="shared" si="9"/>
        <v>10471004.141377712</v>
      </c>
      <c r="O63" s="340">
        <f t="shared" si="9"/>
        <v>8857.473367883571</v>
      </c>
      <c r="P63" s="438" t="e">
        <f>SUM(C63/M63)</f>
        <v>#REF!</v>
      </c>
      <c r="Q63" s="439" t="e">
        <f>SUM(C63/N63)</f>
        <v>#REF!</v>
      </c>
      <c r="R63" s="340">
        <f>R28+R33+R37+R41</f>
        <v>0</v>
      </c>
      <c r="S63" s="340">
        <f>S28+S33+S37+S41</f>
        <v>0</v>
      </c>
      <c r="T63" s="340"/>
      <c r="U63" s="340"/>
      <c r="V63" s="804">
        <f t="shared" si="6"/>
        <v>90698.131942167034</v>
      </c>
      <c r="W63" s="804">
        <f t="shared" si="7"/>
        <v>1077466.3261477666</v>
      </c>
      <c r="X63" s="438" t="e">
        <f>+C63/V63</f>
        <v>#REF!</v>
      </c>
      <c r="Y63" s="439" t="e">
        <f>+C63/W63</f>
        <v>#REF!</v>
      </c>
    </row>
    <row r="64" spans="2:26" s="284" customFormat="1" ht="16.5" thickBot="1" x14ac:dyDescent="0.3">
      <c r="B64" s="440" t="s">
        <v>97</v>
      </c>
      <c r="C64" s="351" t="e">
        <f t="shared" si="8"/>
        <v>#REF!</v>
      </c>
      <c r="D64" s="351" t="e">
        <f t="shared" si="8"/>
        <v>#REF!</v>
      </c>
      <c r="E64" s="351">
        <f t="shared" si="8"/>
        <v>4858789.6483022356</v>
      </c>
      <c r="F64" s="351">
        <f t="shared" si="8"/>
        <v>5824186.7126663122</v>
      </c>
      <c r="G64" s="351">
        <f t="shared" si="8"/>
        <v>5824186.7126663132</v>
      </c>
      <c r="H64" s="495" t="e">
        <f>SUM(C64/$C$72)</f>
        <v>#REF!</v>
      </c>
      <c r="I64" s="403"/>
      <c r="J64" s="403"/>
      <c r="K64" s="812"/>
      <c r="L64" s="403"/>
      <c r="M64" s="327">
        <f t="shared" si="9"/>
        <v>608627.00366231194</v>
      </c>
      <c r="N64" s="327">
        <f t="shared" si="9"/>
        <v>7141697.2839921899</v>
      </c>
      <c r="O64" s="327">
        <f t="shared" si="9"/>
        <v>6078.6700511228419</v>
      </c>
      <c r="P64" s="441" t="e">
        <f>SUM(C64/M64)</f>
        <v>#REF!</v>
      </c>
      <c r="Q64" s="442" t="e">
        <f>SUM(C64/N64)</f>
        <v>#REF!</v>
      </c>
      <c r="R64" s="327">
        <f>R29+R34+R38+R42</f>
        <v>0</v>
      </c>
      <c r="S64" s="327">
        <f>S29+S34+S38+S42</f>
        <v>0</v>
      </c>
      <c r="T64" s="327"/>
      <c r="U64" s="327"/>
      <c r="V64" s="804">
        <f t="shared" si="6"/>
        <v>62627.718676851895</v>
      </c>
      <c r="W64" s="804">
        <f t="shared" si="7"/>
        <v>734880.65052279644</v>
      </c>
      <c r="X64" s="441" t="e">
        <f>+C64/V64</f>
        <v>#REF!</v>
      </c>
      <c r="Y64" s="442" t="e">
        <f>+C64/W64</f>
        <v>#REF!</v>
      </c>
    </row>
    <row r="65" spans="2:25" ht="16.5" thickBot="1" x14ac:dyDescent="0.3">
      <c r="B65" s="364" t="s">
        <v>98</v>
      </c>
      <c r="C65" s="430" t="e">
        <f>SUM(C62:C64)</f>
        <v>#REF!</v>
      </c>
      <c r="D65" s="430" t="e">
        <f>SUM(D62:D64)</f>
        <v>#REF!</v>
      </c>
      <c r="E65" s="430">
        <f>SUM(E62:E64)</f>
        <v>11945719.879146423</v>
      </c>
      <c r="F65" s="430">
        <f>SUM(F62:F64)</f>
        <v>14352989.277674576</v>
      </c>
      <c r="G65" s="365">
        <f>SUM(G62:G64)</f>
        <v>14352989.277674578</v>
      </c>
      <c r="H65" s="496" t="e">
        <f>SUM(C65/$C$73)</f>
        <v>#REF!</v>
      </c>
      <c r="I65" s="443"/>
      <c r="J65" s="406"/>
      <c r="K65" s="346"/>
      <c r="L65" s="406"/>
      <c r="M65" s="432">
        <f>SUM(M62:M64)</f>
        <v>1490047.1391547029</v>
      </c>
      <c r="N65" s="432">
        <f>SUM(N62:N64)</f>
        <v>17612701.425369903</v>
      </c>
      <c r="O65" s="432">
        <f>SUM(O62:O64)</f>
        <v>14936.143419006414</v>
      </c>
      <c r="P65" s="444" t="e">
        <f>SUM(C65/M65)</f>
        <v>#REF!</v>
      </c>
      <c r="Q65" s="445" t="e">
        <f>SUM(C65/N65)</f>
        <v>#REF!</v>
      </c>
      <c r="R65" s="432">
        <f>SUM(R62:R64)</f>
        <v>0</v>
      </c>
      <c r="S65" s="432">
        <f>SUM(S62:S64)</f>
        <v>0</v>
      </c>
      <c r="T65" s="432"/>
      <c r="U65" s="432"/>
      <c r="V65" s="346">
        <f t="shared" si="6"/>
        <v>153325.85061901892</v>
      </c>
      <c r="W65" s="346">
        <f t="shared" si="7"/>
        <v>1812346.976670563</v>
      </c>
      <c r="X65" s="444" t="e">
        <f>+C65/V65</f>
        <v>#REF!</v>
      </c>
      <c r="Y65" s="445" t="e">
        <f>+C65/W65</f>
        <v>#REF!</v>
      </c>
    </row>
    <row r="66" spans="2:25" s="284" customFormat="1" ht="15.75" hidden="1" x14ac:dyDescent="0.25">
      <c r="B66" s="427" t="s">
        <v>99</v>
      </c>
      <c r="C66" s="323">
        <f>C47+C51</f>
        <v>0</v>
      </c>
      <c r="D66" s="323"/>
      <c r="E66" s="323"/>
      <c r="F66" s="323"/>
      <c r="G66" s="323"/>
      <c r="H66" s="493" t="e">
        <f>SUM(C66/$C$70)</f>
        <v>#DIV/0!</v>
      </c>
      <c r="I66" s="408"/>
      <c r="J66" s="408"/>
      <c r="K66" s="813"/>
      <c r="L66" s="408"/>
      <c r="M66" s="446"/>
      <c r="N66" s="446"/>
      <c r="O66" s="446"/>
      <c r="P66" s="446"/>
      <c r="Q66" s="448"/>
      <c r="R66" s="408"/>
      <c r="S66" s="408"/>
      <c r="T66" s="408"/>
      <c r="U66" s="408"/>
      <c r="V66" s="804">
        <f t="shared" si="6"/>
        <v>0</v>
      </c>
      <c r="W66" s="804">
        <f t="shared" si="7"/>
        <v>0</v>
      </c>
      <c r="X66" s="446"/>
      <c r="Y66" s="448"/>
    </row>
    <row r="67" spans="2:25" s="284" customFormat="1" ht="15.75" x14ac:dyDescent="0.25">
      <c r="B67" s="449" t="s">
        <v>100</v>
      </c>
      <c r="C67" s="323" t="e">
        <f>C48+C52</f>
        <v>#REF!</v>
      </c>
      <c r="D67" s="323"/>
      <c r="E67" s="323"/>
      <c r="F67" s="323"/>
      <c r="G67" s="323"/>
      <c r="H67" s="494" t="e">
        <f>SUM(C67/$C$71)</f>
        <v>#REF!</v>
      </c>
      <c r="I67" s="402"/>
      <c r="J67" s="402"/>
      <c r="K67" s="814"/>
      <c r="L67" s="402"/>
      <c r="M67" s="446"/>
      <c r="N67" s="446"/>
      <c r="O67" s="446"/>
      <c r="P67" s="446"/>
      <c r="Q67" s="439"/>
      <c r="R67" s="408"/>
      <c r="S67" s="408"/>
      <c r="T67" s="408"/>
      <c r="U67" s="408"/>
      <c r="V67" s="804">
        <f t="shared" si="6"/>
        <v>0</v>
      </c>
      <c r="W67" s="804">
        <f t="shared" si="7"/>
        <v>0</v>
      </c>
      <c r="X67" s="446"/>
      <c r="Y67" s="439"/>
    </row>
    <row r="68" spans="2:25" s="284" customFormat="1" ht="16.5" thickBot="1" x14ac:dyDescent="0.3">
      <c r="B68" s="427" t="s">
        <v>101</v>
      </c>
      <c r="C68" s="323" t="e">
        <f>C49+C53</f>
        <v>#REF!</v>
      </c>
      <c r="D68" s="323"/>
      <c r="E68" s="323"/>
      <c r="F68" s="323"/>
      <c r="G68" s="323"/>
      <c r="H68" s="498" t="e">
        <f>SUM(C68/$C$72)</f>
        <v>#REF!</v>
      </c>
      <c r="I68" s="429"/>
      <c r="J68" s="429"/>
      <c r="K68" s="815"/>
      <c r="L68" s="429"/>
      <c r="M68" s="446"/>
      <c r="N68" s="446"/>
      <c r="O68" s="446"/>
      <c r="P68" s="446"/>
      <c r="Q68" s="453"/>
      <c r="R68" s="429"/>
      <c r="S68" s="429"/>
      <c r="T68" s="429"/>
      <c r="U68" s="429"/>
      <c r="V68" s="804">
        <f t="shared" si="6"/>
        <v>0</v>
      </c>
      <c r="W68" s="804">
        <f t="shared" si="7"/>
        <v>0</v>
      </c>
      <c r="X68" s="446"/>
      <c r="Y68" s="453"/>
    </row>
    <row r="69" spans="2:25" s="284" customFormat="1" ht="16.5" thickBot="1" x14ac:dyDescent="0.3">
      <c r="B69" s="364" t="s">
        <v>102</v>
      </c>
      <c r="C69" s="430" t="e">
        <f>SUM(C66:C68)</f>
        <v>#REF!</v>
      </c>
      <c r="D69" s="430">
        <f>SUM(D66:D68)</f>
        <v>0</v>
      </c>
      <c r="E69" s="430">
        <f>SUM(E66:E68)</f>
        <v>0</v>
      </c>
      <c r="F69" s="430">
        <f>SUM(F66:F68)</f>
        <v>0</v>
      </c>
      <c r="G69" s="365">
        <f>SUM(G66:G68)</f>
        <v>0</v>
      </c>
      <c r="H69" s="496" t="e">
        <f>SUM(C69/$C$73)</f>
        <v>#REF!</v>
      </c>
      <c r="I69" s="443"/>
      <c r="J69" s="406"/>
      <c r="K69" s="816"/>
      <c r="L69" s="406"/>
      <c r="M69" s="454">
        <f>SUM(M66:M68)</f>
        <v>0</v>
      </c>
      <c r="N69" s="454">
        <f>SUM(N66:N68)</f>
        <v>0</v>
      </c>
      <c r="O69" s="454">
        <f>SUM(O66:O68)</f>
        <v>0</v>
      </c>
      <c r="P69" s="455"/>
      <c r="Q69" s="456"/>
      <c r="R69" s="406"/>
      <c r="S69" s="406"/>
      <c r="T69" s="406"/>
      <c r="U69" s="406"/>
      <c r="V69" s="346">
        <f t="shared" si="6"/>
        <v>0</v>
      </c>
      <c r="W69" s="346">
        <f t="shared" si="7"/>
        <v>0</v>
      </c>
      <c r="X69" s="455"/>
      <c r="Y69" s="456"/>
    </row>
    <row r="70" spans="2:25" s="284" customFormat="1" ht="16.5" hidden="1" thickBot="1" x14ac:dyDescent="0.3">
      <c r="B70" s="364" t="s">
        <v>103</v>
      </c>
      <c r="C70" s="457">
        <f t="shared" ref="C70:G72" si="10">SUM(C58,C62,C66)</f>
        <v>0</v>
      </c>
      <c r="D70" s="457">
        <f t="shared" si="10"/>
        <v>0</v>
      </c>
      <c r="E70" s="457">
        <f t="shared" si="10"/>
        <v>0</v>
      </c>
      <c r="F70" s="457">
        <f t="shared" si="10"/>
        <v>0</v>
      </c>
      <c r="G70" s="457">
        <f t="shared" si="10"/>
        <v>0</v>
      </c>
      <c r="H70" s="499" t="e">
        <f>SUM(C70/$C$73)</f>
        <v>#REF!</v>
      </c>
      <c r="I70" s="458"/>
      <c r="J70" s="408"/>
      <c r="K70" s="813"/>
      <c r="L70" s="408"/>
      <c r="M70" s="446">
        <f t="shared" ref="M70:N72" si="11">SUM(M58,M62,M66)</f>
        <v>0</v>
      </c>
      <c r="N70" s="446">
        <f t="shared" si="11"/>
        <v>0</v>
      </c>
      <c r="O70" s="446">
        <f>SUM(O58,O62,O66)</f>
        <v>0</v>
      </c>
      <c r="P70" s="2030" t="s">
        <v>3</v>
      </c>
      <c r="Q70" s="2031" t="s">
        <v>3</v>
      </c>
      <c r="R70" s="408"/>
      <c r="S70" s="408"/>
      <c r="T70" s="408"/>
      <c r="U70" s="408"/>
      <c r="V70" s="804">
        <f t="shared" si="6"/>
        <v>0</v>
      </c>
      <c r="W70" s="804">
        <f t="shared" si="7"/>
        <v>0</v>
      </c>
      <c r="X70" s="2030" t="s">
        <v>3</v>
      </c>
      <c r="Y70" s="2031" t="s">
        <v>3</v>
      </c>
    </row>
    <row r="71" spans="2:25" s="284" customFormat="1" ht="16.5" thickBot="1" x14ac:dyDescent="0.3">
      <c r="B71" s="364" t="s">
        <v>104</v>
      </c>
      <c r="C71" s="457" t="e">
        <f t="shared" si="10"/>
        <v>#REF!</v>
      </c>
      <c r="D71" s="457" t="e">
        <f t="shared" si="10"/>
        <v>#REF!</v>
      </c>
      <c r="E71" s="457">
        <f t="shared" si="10"/>
        <v>19104271.691927895</v>
      </c>
      <c r="F71" s="457">
        <f t="shared" si="10"/>
        <v>29081387.348365307</v>
      </c>
      <c r="G71" s="457">
        <f t="shared" si="10"/>
        <v>30595555.083475519</v>
      </c>
      <c r="H71" s="499" t="e">
        <f>SUM(C71/$C$73)</f>
        <v>#REF!</v>
      </c>
      <c r="I71" s="459"/>
      <c r="J71" s="402"/>
      <c r="K71" s="814"/>
      <c r="L71" s="402"/>
      <c r="M71" s="450">
        <f t="shared" si="11"/>
        <v>1971364.119242603</v>
      </c>
      <c r="N71" s="450">
        <f t="shared" si="11"/>
        <v>31855439.930244312</v>
      </c>
      <c r="O71" s="450">
        <f>SUM(O59,O63,O67)</f>
        <v>17815.156271123997</v>
      </c>
      <c r="P71" s="438" t="e">
        <f>SUM(C71/M71)</f>
        <v>#REF!</v>
      </c>
      <c r="Q71" s="439" t="e">
        <f>SUM(C71/N71)</f>
        <v>#REF!</v>
      </c>
      <c r="R71" s="450">
        <f t="shared" ref="R71:U72" si="12">SUM(R59,R63,R67)</f>
        <v>46057.585963843165</v>
      </c>
      <c r="S71" s="450">
        <f t="shared" si="12"/>
        <v>921151.71927686327</v>
      </c>
      <c r="T71" s="450">
        <f t="shared" si="12"/>
        <v>2760.8354596080499</v>
      </c>
      <c r="U71" s="450">
        <f t="shared" si="12"/>
        <v>55216.709192160997</v>
      </c>
      <c r="V71" s="804">
        <f t="shared" si="6"/>
        <v>209493.24156991526</v>
      </c>
      <c r="W71" s="804">
        <f t="shared" si="7"/>
        <v>3410722.2428191681</v>
      </c>
      <c r="X71" s="438" t="e">
        <f>+C71/V71</f>
        <v>#REF!</v>
      </c>
      <c r="Y71" s="439" t="e">
        <f>+C71/W71</f>
        <v>#REF!</v>
      </c>
    </row>
    <row r="72" spans="2:25" s="284" customFormat="1" ht="16.5" thickBot="1" x14ac:dyDescent="0.3">
      <c r="B72" s="364" t="s">
        <v>105</v>
      </c>
      <c r="C72" s="457" t="e">
        <f t="shared" si="10"/>
        <v>#REF!</v>
      </c>
      <c r="D72" s="457" t="e">
        <f t="shared" si="10"/>
        <v>#REF!</v>
      </c>
      <c r="E72" s="457">
        <f t="shared" si="10"/>
        <v>14226267.894149974</v>
      </c>
      <c r="F72" s="457">
        <f t="shared" si="10"/>
        <v>20176289.596076854</v>
      </c>
      <c r="G72" s="457">
        <f t="shared" si="10"/>
        <v>21318149.980678577</v>
      </c>
      <c r="H72" s="499" t="e">
        <f>SUM(C72/$C$73)</f>
        <v>#REF!</v>
      </c>
      <c r="I72" s="460"/>
      <c r="J72" s="403"/>
      <c r="K72" s="817"/>
      <c r="L72" s="403"/>
      <c r="M72" s="461">
        <f t="shared" si="11"/>
        <v>1589037.4776108591</v>
      </c>
      <c r="N72" s="461">
        <f t="shared" si="11"/>
        <v>24812302.917365871</v>
      </c>
      <c r="O72" s="461">
        <f>SUM(O60,O64,O68)</f>
        <v>14326.045316135496</v>
      </c>
      <c r="P72" s="441" t="e">
        <f>SUM(C72/M72)</f>
        <v>#REF!</v>
      </c>
      <c r="Q72" s="442" t="e">
        <f>SUM(C72/N72)</f>
        <v>#REF!</v>
      </c>
      <c r="R72" s="461" t="e">
        <f t="shared" si="12"/>
        <v>#REF!</v>
      </c>
      <c r="S72" s="461" t="e">
        <f t="shared" si="12"/>
        <v>#REF!</v>
      </c>
      <c r="T72" s="461">
        <f t="shared" si="12"/>
        <v>0</v>
      </c>
      <c r="U72" s="461">
        <f t="shared" si="12"/>
        <v>0</v>
      </c>
      <c r="V72" s="804" t="e">
        <f t="shared" si="6"/>
        <v>#REF!</v>
      </c>
      <c r="W72" s="804" t="e">
        <f t="shared" si="7"/>
        <v>#REF!</v>
      </c>
      <c r="X72" s="441" t="e">
        <f>+C72/V72</f>
        <v>#REF!</v>
      </c>
      <c r="Y72" s="442" t="e">
        <f>+C72/W72</f>
        <v>#REF!</v>
      </c>
    </row>
    <row r="73" spans="2:25" ht="16.5" thickBot="1" x14ac:dyDescent="0.3">
      <c r="B73" s="364" t="s">
        <v>106</v>
      </c>
      <c r="C73" s="411" t="e">
        <f>SUM(C70:C72)</f>
        <v>#REF!</v>
      </c>
      <c r="D73" s="411" t="e">
        <f>SUM(D70:D72)</f>
        <v>#REF!</v>
      </c>
      <c r="E73" s="411">
        <f>SUM(E70:E72)</f>
        <v>33330539.586077869</v>
      </c>
      <c r="F73" s="411">
        <f>SUM(F70:F72)</f>
        <v>49257676.94444216</v>
      </c>
      <c r="G73" s="411">
        <f>SUM(G70:G72)</f>
        <v>51913705.064154096</v>
      </c>
      <c r="H73" s="500" t="e">
        <f>SUM(C73/$C$73)</f>
        <v>#REF!</v>
      </c>
      <c r="I73" s="317" t="e">
        <f>F73/C73</f>
        <v>#REF!</v>
      </c>
      <c r="J73" s="317">
        <f>G73/E73</f>
        <v>1.5575416932595474</v>
      </c>
      <c r="K73" s="818"/>
      <c r="L73" s="462"/>
      <c r="M73" s="395">
        <f>SUM(M70:M72)</f>
        <v>3560401.596853462</v>
      </c>
      <c r="N73" s="395">
        <f>SUM(N70:N72)</f>
        <v>56667742.847610183</v>
      </c>
      <c r="O73" s="395">
        <f>SUM(O70:O72)</f>
        <v>32141.201587259493</v>
      </c>
      <c r="P73" s="367" t="e">
        <f>SUM(C73/M73)</f>
        <v>#REF!</v>
      </c>
      <c r="Q73" s="367" t="e">
        <f>SUM(C73/N73)</f>
        <v>#REF!</v>
      </c>
      <c r="R73" s="395" t="e">
        <f>SUM(R70:R72)</f>
        <v>#REF!</v>
      </c>
      <c r="S73" s="395" t="e">
        <f>SUM(S70:S72)</f>
        <v>#REF!</v>
      </c>
      <c r="T73" s="395">
        <f>SUM(T70:T72)</f>
        <v>2760.8354596080499</v>
      </c>
      <c r="U73" s="395">
        <f>SUM(U70:U72)</f>
        <v>55216.709192160997</v>
      </c>
      <c r="V73" s="346" t="e">
        <f t="shared" si="6"/>
        <v>#REF!</v>
      </c>
      <c r="W73" s="346" t="e">
        <f t="shared" si="7"/>
        <v>#REF!</v>
      </c>
      <c r="X73" s="367" t="e">
        <f>+C73/V73</f>
        <v>#REF!</v>
      </c>
      <c r="Y73" s="367" t="e">
        <f>+C73/W73</f>
        <v>#REF!</v>
      </c>
    </row>
    <row r="74" spans="2:25" x14ac:dyDescent="0.2">
      <c r="C74" s="788"/>
      <c r="G74" s="706" t="s">
        <v>3</v>
      </c>
    </row>
    <row r="75" spans="2:25" x14ac:dyDescent="0.2">
      <c r="G75" s="706" t="s">
        <v>3</v>
      </c>
    </row>
    <row r="76" spans="2:25" x14ac:dyDescent="0.2">
      <c r="C76" s="751"/>
      <c r="L76" s="704"/>
      <c r="M76" s="704"/>
      <c r="R76" s="704"/>
      <c r="S76" s="704"/>
      <c r="T76" s="704"/>
      <c r="U76" s="704"/>
      <c r="V76" s="704"/>
      <c r="W76" s="704"/>
    </row>
    <row r="77" spans="2:25" x14ac:dyDescent="0.2">
      <c r="L77" s="704"/>
      <c r="M77" s="1038"/>
      <c r="R77" s="704"/>
      <c r="S77" s="704"/>
      <c r="T77" s="704"/>
      <c r="U77" s="704"/>
      <c r="V77" s="704"/>
      <c r="W77" s="704"/>
    </row>
    <row r="78" spans="2:25" ht="13.5" customHeight="1" x14ac:dyDescent="0.2">
      <c r="L78" s="704"/>
      <c r="M78" s="1038"/>
      <c r="R78" s="704"/>
      <c r="S78" s="704"/>
      <c r="T78" s="704"/>
      <c r="U78" s="704"/>
      <c r="V78" s="704"/>
      <c r="W78" s="704"/>
    </row>
    <row r="80" spans="2:25" x14ac:dyDescent="0.2">
      <c r="C80" s="788"/>
      <c r="D80" s="788"/>
      <c r="E80" s="788"/>
      <c r="F80" s="788"/>
      <c r="G80" s="788"/>
      <c r="H80" s="788"/>
      <c r="I80" s="788"/>
      <c r="J80" s="788"/>
      <c r="K80" s="788"/>
      <c r="L80" s="788"/>
      <c r="M80" s="788"/>
      <c r="N80" s="788"/>
      <c r="O80" s="788"/>
      <c r="P80" s="788"/>
      <c r="Q80" s="788"/>
      <c r="R80" s="788"/>
      <c r="S80" s="788"/>
      <c r="T80" s="788"/>
      <c r="U80" s="788"/>
      <c r="V80" s="788"/>
      <c r="W80" s="788"/>
      <c r="X80" s="788"/>
      <c r="Y80" s="788"/>
    </row>
    <row r="81" spans="12:23" x14ac:dyDescent="0.2">
      <c r="L81" s="704"/>
      <c r="M81" s="1038"/>
      <c r="R81" s="704"/>
      <c r="S81" s="704"/>
      <c r="T81" s="704"/>
      <c r="U81" s="704"/>
      <c r="V81" s="704"/>
      <c r="W81" s="704"/>
    </row>
    <row r="82" spans="12:23" x14ac:dyDescent="0.2">
      <c r="L82" s="704"/>
      <c r="M82" s="1038"/>
      <c r="R82" s="704"/>
      <c r="S82" s="704"/>
      <c r="T82" s="704"/>
      <c r="U82" s="704"/>
      <c r="V82" s="704"/>
      <c r="W82" s="704"/>
    </row>
    <row r="84" spans="12:23" x14ac:dyDescent="0.2">
      <c r="L84" s="704"/>
      <c r="M84" s="704"/>
      <c r="R84" s="704"/>
      <c r="S84" s="704"/>
      <c r="T84" s="704"/>
      <c r="U84" s="704"/>
      <c r="V84" s="704"/>
      <c r="W84" s="704"/>
    </row>
    <row r="85" spans="12:23" x14ac:dyDescent="0.2">
      <c r="L85" s="704"/>
      <c r="M85" s="1038"/>
      <c r="R85" s="704"/>
      <c r="S85" s="704"/>
      <c r="T85" s="704"/>
      <c r="U85" s="704"/>
      <c r="V85" s="704"/>
      <c r="W85" s="704"/>
    </row>
    <row r="86" spans="12:23" x14ac:dyDescent="0.2">
      <c r="L86" s="704"/>
      <c r="M86" s="1038"/>
      <c r="R86" s="704"/>
      <c r="S86" s="704"/>
      <c r="T86" s="704"/>
      <c r="U86" s="704"/>
      <c r="V86" s="704"/>
      <c r="W86" s="704"/>
    </row>
  </sheetData>
  <printOptions horizontalCentered="1"/>
  <pageMargins left="0.25" right="0.25"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theme="3" tint="0.59999389629810485"/>
  </sheetPr>
  <dimension ref="A1:U51"/>
  <sheetViews>
    <sheetView topLeftCell="A10" workbookViewId="0">
      <selection sqref="A1:E1"/>
    </sheetView>
  </sheetViews>
  <sheetFormatPr defaultRowHeight="12.75" x14ac:dyDescent="0.2"/>
  <cols>
    <col min="1" max="1" width="27.5703125" bestFit="1" customWidth="1"/>
    <col min="3" max="3" width="10.85546875" bestFit="1" customWidth="1"/>
    <col min="4" max="4" width="10.5703125" bestFit="1" customWidth="1"/>
    <col min="5" max="5" width="13.140625" bestFit="1" customWidth="1"/>
  </cols>
  <sheetData>
    <row r="1" spans="1:5" ht="15" x14ac:dyDescent="0.25">
      <c r="A1" s="2855" t="s">
        <v>578</v>
      </c>
      <c r="B1" s="2855"/>
      <c r="C1" s="2855"/>
      <c r="D1" s="2855"/>
      <c r="E1" s="2855"/>
    </row>
    <row r="26" spans="1:21" ht="44.25" customHeight="1" x14ac:dyDescent="0.2">
      <c r="F26" s="206"/>
      <c r="G26" s="206"/>
      <c r="H26" s="53"/>
      <c r="I26" s="49"/>
      <c r="O26" s="15"/>
      <c r="P26" s="15"/>
      <c r="Q26" s="13"/>
      <c r="R26" s="13"/>
      <c r="S26" s="44"/>
      <c r="T26" s="25"/>
      <c r="U26" s="13"/>
    </row>
    <row r="27" spans="1:21" ht="38.25" x14ac:dyDescent="0.2">
      <c r="A27" s="209" t="s">
        <v>20</v>
      </c>
      <c r="B27" s="209"/>
      <c r="C27" s="209" t="s">
        <v>679</v>
      </c>
      <c r="D27" s="209" t="s">
        <v>57</v>
      </c>
      <c r="E27" s="209" t="s">
        <v>21</v>
      </c>
      <c r="F27" s="207"/>
      <c r="G27" s="207"/>
      <c r="H27" s="49"/>
      <c r="I27" s="49"/>
      <c r="O27" s="15"/>
      <c r="P27" s="15"/>
      <c r="Q27" s="13"/>
      <c r="R27" s="13"/>
      <c r="S27" s="44"/>
      <c r="T27" s="25"/>
      <c r="U27" s="13"/>
    </row>
    <row r="28" spans="1:21" x14ac:dyDescent="0.2">
      <c r="A28" s="176" t="s">
        <v>228</v>
      </c>
      <c r="B28" s="54"/>
      <c r="C28" s="55" t="e">
        <f>'SCG Table A'!#REF!</f>
        <v>#REF!</v>
      </c>
      <c r="D28" s="56" t="e">
        <f>C28/$C$41</f>
        <v>#REF!</v>
      </c>
      <c r="E28" s="57" t="e">
        <f>C28/$C$35</f>
        <v>#REF!</v>
      </c>
      <c r="F28" s="207"/>
      <c r="G28" s="207"/>
      <c r="H28" s="49"/>
      <c r="I28" s="58"/>
      <c r="J28" s="32"/>
      <c r="K28" s="32"/>
      <c r="L28" s="32"/>
      <c r="M28" s="32"/>
      <c r="O28" s="15"/>
      <c r="P28" s="15"/>
      <c r="Q28" s="13"/>
      <c r="R28" s="13"/>
      <c r="S28" s="44"/>
      <c r="T28" s="25"/>
      <c r="U28" s="13"/>
    </row>
    <row r="29" spans="1:21" x14ac:dyDescent="0.2">
      <c r="A29" s="176" t="s">
        <v>229</v>
      </c>
      <c r="B29" s="54"/>
      <c r="C29" s="55" t="e">
        <f>'SCG Table A'!#REF!-'SCG 2017 Table A Pie Charts'!C28</f>
        <v>#REF!</v>
      </c>
      <c r="D29" s="56" t="e">
        <f>C29/$C$41</f>
        <v>#REF!</v>
      </c>
      <c r="E29" s="57" t="e">
        <f>C29/$C$35</f>
        <v>#REF!</v>
      </c>
      <c r="F29" s="207"/>
      <c r="G29" s="207"/>
      <c r="H29" s="49"/>
      <c r="I29" s="49"/>
      <c r="O29" s="15"/>
      <c r="P29" s="15"/>
      <c r="Q29" s="13"/>
      <c r="R29" s="13"/>
      <c r="S29" s="44"/>
      <c r="T29" s="25"/>
      <c r="U29" s="13"/>
    </row>
    <row r="30" spans="1:21" x14ac:dyDescent="0.2">
      <c r="A30" s="108" t="s">
        <v>22</v>
      </c>
      <c r="B30" s="60"/>
      <c r="C30" s="61" t="e">
        <f>SUM(C28:C29)</f>
        <v>#REF!</v>
      </c>
      <c r="D30" s="62" t="e">
        <f>C30/$C$41</f>
        <v>#REF!</v>
      </c>
      <c r="E30" s="62" t="e">
        <f>C30/$C$35</f>
        <v>#REF!</v>
      </c>
      <c r="F30" s="207"/>
      <c r="G30" s="207"/>
      <c r="H30" s="65"/>
      <c r="I30" s="65"/>
      <c r="O30" s="13"/>
      <c r="P30" s="13"/>
      <c r="Q30" s="13"/>
      <c r="R30" s="13"/>
      <c r="S30" s="13"/>
      <c r="T30" s="13"/>
      <c r="U30" s="13"/>
    </row>
    <row r="31" spans="1:21" x14ac:dyDescent="0.2">
      <c r="A31" s="54"/>
      <c r="B31" s="54"/>
      <c r="C31" s="55"/>
      <c r="D31" s="56"/>
      <c r="E31" s="57"/>
      <c r="F31" s="207"/>
      <c r="G31" s="207"/>
      <c r="H31" s="65"/>
      <c r="I31" s="65"/>
      <c r="O31" s="13"/>
      <c r="P31" s="13"/>
      <c r="Q31" s="13"/>
      <c r="R31" s="13"/>
      <c r="S31" s="13"/>
      <c r="T31" s="13"/>
      <c r="U31" s="13"/>
    </row>
    <row r="32" spans="1:21" x14ac:dyDescent="0.2">
      <c r="A32" s="176" t="s">
        <v>56</v>
      </c>
      <c r="B32" s="54"/>
      <c r="C32" s="55" t="e">
        <f>'SCG Table A'!#REF!</f>
        <v>#REF!</v>
      </c>
      <c r="D32" s="56" t="e">
        <f>C32/$C$41</f>
        <v>#REF!</v>
      </c>
      <c r="E32" s="57" t="e">
        <f>C32/$C$35</f>
        <v>#REF!</v>
      </c>
      <c r="F32" s="207"/>
      <c r="G32" s="207"/>
      <c r="H32" s="49"/>
      <c r="I32" s="50"/>
      <c r="O32" s="13"/>
      <c r="P32" s="13"/>
      <c r="Q32" s="13"/>
      <c r="R32" s="13"/>
      <c r="S32" s="13"/>
      <c r="T32" s="13"/>
      <c r="U32" s="13"/>
    </row>
    <row r="33" spans="1:9" x14ac:dyDescent="0.2">
      <c r="A33" s="108" t="s">
        <v>23</v>
      </c>
      <c r="B33" s="60"/>
      <c r="C33" s="61" t="e">
        <f>+C32</f>
        <v>#REF!</v>
      </c>
      <c r="D33" s="62" t="e">
        <f>C33/$C$41</f>
        <v>#REF!</v>
      </c>
      <c r="E33" s="62" t="e">
        <f>C33/$C$35</f>
        <v>#REF!</v>
      </c>
      <c r="F33" s="165"/>
      <c r="G33" s="165"/>
      <c r="H33" s="49"/>
      <c r="I33" s="50"/>
    </row>
    <row r="34" spans="1:9" x14ac:dyDescent="0.2">
      <c r="A34" s="49"/>
      <c r="B34" s="49"/>
      <c r="C34" s="49"/>
      <c r="D34" s="63"/>
      <c r="E34" s="63"/>
      <c r="F34" s="207"/>
      <c r="G34" s="208"/>
      <c r="H34" s="49"/>
      <c r="I34" s="50"/>
    </row>
    <row r="35" spans="1:9" x14ac:dyDescent="0.2">
      <c r="A35" s="108" t="s">
        <v>29</v>
      </c>
      <c r="B35" s="59"/>
      <c r="C35" s="61" t="e">
        <f>+C33+C30</f>
        <v>#REF!</v>
      </c>
      <c r="D35" s="62" t="e">
        <f>C35/$C$41</f>
        <v>#REF!</v>
      </c>
      <c r="E35" s="62" t="e">
        <f>C35/$C$35</f>
        <v>#REF!</v>
      </c>
      <c r="F35" s="203"/>
      <c r="G35" s="203"/>
      <c r="H35" s="49"/>
      <c r="I35" s="137"/>
    </row>
    <row r="36" spans="1:9" s="34" customFormat="1" ht="15" customHeight="1" x14ac:dyDescent="0.2">
      <c r="A36" s="54"/>
      <c r="B36" s="54"/>
      <c r="C36" s="55"/>
      <c r="D36" s="57"/>
      <c r="E36" s="66"/>
      <c r="F36" s="68"/>
      <c r="G36" s="202"/>
      <c r="H36" s="51"/>
      <c r="I36" s="51"/>
    </row>
    <row r="37" spans="1:9" s="34" customFormat="1" ht="15" customHeight="1" x14ac:dyDescent="0.25">
      <c r="A37" s="177" t="s">
        <v>24</v>
      </c>
      <c r="B37" s="67"/>
      <c r="C37" s="68"/>
      <c r="D37" s="69"/>
      <c r="E37" s="51"/>
      <c r="F37" s="68"/>
      <c r="G37" s="202"/>
      <c r="H37" s="51"/>
      <c r="I37" s="51"/>
    </row>
    <row r="38" spans="1:9" s="34" customFormat="1" ht="15" customHeight="1" x14ac:dyDescent="0.2">
      <c r="A38" s="176" t="s">
        <v>24</v>
      </c>
      <c r="B38" s="54"/>
      <c r="C38" s="70" t="e">
        <f>'SCG Table A'!#REF!</f>
        <v>#REF!</v>
      </c>
      <c r="D38" s="56" t="e">
        <f>C38/$C$41</f>
        <v>#REF!</v>
      </c>
      <c r="E38" s="51"/>
      <c r="F38" s="68"/>
      <c r="G38" s="203"/>
      <c r="H38" s="51"/>
      <c r="I38" s="51"/>
    </row>
    <row r="39" spans="1:9" s="34" customFormat="1" x14ac:dyDescent="0.2">
      <c r="A39" s="108" t="s">
        <v>25</v>
      </c>
      <c r="B39" s="71"/>
      <c r="C39" s="72" t="e">
        <f>SUM(C38)</f>
        <v>#REF!</v>
      </c>
      <c r="D39" s="73" t="e">
        <f>C39/$C$41</f>
        <v>#REF!</v>
      </c>
      <c r="E39" s="74"/>
      <c r="F39" s="204"/>
      <c r="G39" s="205"/>
      <c r="H39" s="51"/>
      <c r="I39" s="51"/>
    </row>
    <row r="40" spans="1:9" s="34" customFormat="1" x14ac:dyDescent="0.2">
      <c r="A40" s="75"/>
      <c r="B40" s="75"/>
      <c r="C40" s="76"/>
      <c r="D40" s="77"/>
      <c r="E40" s="78"/>
      <c r="F40" s="52"/>
      <c r="G40" s="52"/>
      <c r="H40" s="51"/>
      <c r="I40" s="51"/>
    </row>
    <row r="41" spans="1:9" s="37" customFormat="1" x14ac:dyDescent="0.2">
      <c r="A41" s="79" t="s">
        <v>16</v>
      </c>
      <c r="B41" s="79"/>
      <c r="C41" s="80" t="e">
        <f>C39+C35</f>
        <v>#REF!</v>
      </c>
      <c r="D41" s="57" t="e">
        <f>C41/$C$41</f>
        <v>#REF!</v>
      </c>
      <c r="E41" s="51"/>
      <c r="F41" s="201"/>
      <c r="G41" s="201"/>
    </row>
    <row r="42" spans="1:9" x14ac:dyDescent="0.2">
      <c r="A42" s="35"/>
      <c r="B42" s="35"/>
      <c r="C42" s="38"/>
      <c r="D42" s="30"/>
      <c r="E42" s="37"/>
    </row>
    <row r="43" spans="1:9" x14ac:dyDescent="0.2">
      <c r="A43" s="2249" t="s">
        <v>680</v>
      </c>
    </row>
    <row r="48" spans="1:9" ht="51" x14ac:dyDescent="0.2">
      <c r="A48" s="209" t="s">
        <v>20</v>
      </c>
      <c r="B48" s="209" t="s">
        <v>21</v>
      </c>
    </row>
    <row r="49" spans="1:2" x14ac:dyDescent="0.2">
      <c r="A49" s="176" t="s">
        <v>228</v>
      </c>
      <c r="B49" s="2248" t="e">
        <f>E28</f>
        <v>#REF!</v>
      </c>
    </row>
    <row r="50" spans="1:2" x14ac:dyDescent="0.2">
      <c r="A50" s="176" t="s">
        <v>229</v>
      </c>
      <c r="B50" s="2248" t="e">
        <f>E29</f>
        <v>#REF!</v>
      </c>
    </row>
    <row r="51" spans="1:2" x14ac:dyDescent="0.2">
      <c r="A51" s="176" t="s">
        <v>56</v>
      </c>
      <c r="B51" s="2248" t="e">
        <f>E32</f>
        <v>#REF!</v>
      </c>
    </row>
  </sheetData>
  <mergeCells count="1">
    <mergeCell ref="A1:E1"/>
  </mergeCells>
  <printOptions horizontalCentered="1"/>
  <pageMargins left="0.7" right="0.7" top="0.75" bottom="0.75" header="0.3" footer="0.3"/>
  <pageSetup orientation="portrait" r:id="rId1"/>
  <headerFooter>
    <oddFooter>&amp;C&amp;1#&amp;"Calibri"&amp;12&amp;K008000Internal Use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6">
    <tabColor theme="3" tint="0.59999389629810485"/>
  </sheetPr>
  <dimension ref="A1:F51"/>
  <sheetViews>
    <sheetView zoomScaleNormal="100" workbookViewId="0">
      <selection activeCell="H15" sqref="H15"/>
    </sheetView>
  </sheetViews>
  <sheetFormatPr defaultRowHeight="12.75" x14ac:dyDescent="0.2"/>
  <cols>
    <col min="1" max="1" width="45.7109375" customWidth="1"/>
    <col min="2" max="2" width="14.42578125" bestFit="1" customWidth="1"/>
    <col min="3" max="3" width="16.42578125" bestFit="1" customWidth="1"/>
    <col min="4" max="4" width="14.28515625" customWidth="1"/>
    <col min="5" max="5" width="11.85546875" customWidth="1"/>
  </cols>
  <sheetData>
    <row r="1" spans="1:5" ht="15" x14ac:dyDescent="0.25">
      <c r="A1" s="2855" t="s">
        <v>710</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ht="16.5" x14ac:dyDescent="0.25">
      <c r="A28" s="2705" t="s">
        <v>228</v>
      </c>
      <c r="B28" s="2706">
        <f>'SCG Table A'!G16</f>
        <v>2663429.4900000002</v>
      </c>
      <c r="C28" s="2707">
        <f ca="1">B28/$B$41</f>
        <v>0.21865571771421632</v>
      </c>
      <c r="D28" s="2707">
        <f>B28/$B$35</f>
        <v>0.25855056478439969</v>
      </c>
      <c r="E28" s="13"/>
    </row>
    <row r="29" spans="1:6" ht="16.5" x14ac:dyDescent="0.25">
      <c r="A29" s="2705" t="s">
        <v>229</v>
      </c>
      <c r="B29" s="2706">
        <f>'SCG Table A'!G56-'SCG Table A'!G16</f>
        <v>4557414.0259678485</v>
      </c>
      <c r="C29" s="2707">
        <f ca="1">B29/$B$41</f>
        <v>0.37414342617676577</v>
      </c>
      <c r="D29" s="2707">
        <f>B29/$B$35</f>
        <v>0.44240779596171403</v>
      </c>
      <c r="E29" s="13"/>
    </row>
    <row r="30" spans="1:6" ht="16.5" x14ac:dyDescent="0.25">
      <c r="A30" s="2708" t="s">
        <v>22</v>
      </c>
      <c r="B30" s="2709">
        <f>SUM(B28:B29)</f>
        <v>7220843.5159678487</v>
      </c>
      <c r="C30" s="2710">
        <f ca="1">B30/$B$41</f>
        <v>0.59279914389098209</v>
      </c>
      <c r="D30" s="2710">
        <f>B30/$B$35</f>
        <v>0.70095836074611373</v>
      </c>
      <c r="E30" s="13"/>
    </row>
    <row r="31" spans="1:6" ht="16.5" x14ac:dyDescent="0.25">
      <c r="A31" s="2718"/>
      <c r="B31" s="2718"/>
      <c r="C31" s="2718"/>
      <c r="D31" s="2718"/>
      <c r="E31" s="13"/>
    </row>
    <row r="32" spans="1:6" ht="16.5" x14ac:dyDescent="0.25">
      <c r="A32" s="2705" t="s">
        <v>56</v>
      </c>
      <c r="B32" s="2706">
        <f>'SCG Table A'!G57</f>
        <v>3080543.728035978</v>
      </c>
      <c r="C32" s="2707">
        <f ca="1">B32/$B$41</f>
        <v>0.25289894188403478</v>
      </c>
      <c r="D32" s="2707">
        <f>B32/$B$35</f>
        <v>0.29904163925388627</v>
      </c>
      <c r="E32" s="13"/>
    </row>
    <row r="33" spans="1:5" ht="16.5" x14ac:dyDescent="0.25">
      <c r="A33" s="2708" t="s">
        <v>23</v>
      </c>
      <c r="B33" s="2709">
        <f>+B32</f>
        <v>3080543.728035978</v>
      </c>
      <c r="C33" s="2710">
        <f ca="1">B33/$B$41</f>
        <v>0.25289894188403478</v>
      </c>
      <c r="D33" s="2710">
        <f>B33/$B$35</f>
        <v>0.29904163925388627</v>
      </c>
    </row>
    <row r="34" spans="1:5" ht="16.5" x14ac:dyDescent="0.25">
      <c r="A34" s="2719"/>
      <c r="B34" s="2719"/>
      <c r="C34" s="2719"/>
      <c r="D34" s="2719"/>
    </row>
    <row r="35" spans="1:5" ht="16.5" x14ac:dyDescent="0.25">
      <c r="A35" s="2708" t="s">
        <v>29</v>
      </c>
      <c r="B35" s="2709">
        <f>+B33+B30</f>
        <v>10301387.244003827</v>
      </c>
      <c r="C35" s="2710">
        <f ca="1">B35/$B$41</f>
        <v>0.84569808577501682</v>
      </c>
      <c r="D35" s="2710">
        <f>B35/$B$35</f>
        <v>1</v>
      </c>
    </row>
    <row r="36" spans="1:5" s="34" customFormat="1" ht="15" customHeight="1" x14ac:dyDescent="0.25">
      <c r="A36" s="2718"/>
      <c r="B36" s="2718"/>
      <c r="C36" s="2718"/>
      <c r="D36" s="2718"/>
    </row>
    <row r="37" spans="1:5" s="34" customFormat="1" ht="15" customHeight="1" x14ac:dyDescent="0.25">
      <c r="A37" s="2721" t="s">
        <v>24</v>
      </c>
      <c r="B37" s="2721"/>
      <c r="C37" s="2721"/>
      <c r="D37" s="2721"/>
    </row>
    <row r="38" spans="1:5" s="34" customFormat="1" ht="15" customHeight="1" x14ac:dyDescent="0.25">
      <c r="A38" s="2711" t="s">
        <v>24</v>
      </c>
      <c r="B38" s="2706">
        <f ca="1">'SCG Table A'!G58</f>
        <v>1879540.4620857553</v>
      </c>
      <c r="C38" s="2707">
        <f ca="1">B38/$B$41</f>
        <v>0.15430191422498313</v>
      </c>
      <c r="D38" s="2712"/>
    </row>
    <row r="39" spans="1:5" s="34" customFormat="1" ht="16.5" x14ac:dyDescent="0.25">
      <c r="A39" s="2708" t="s">
        <v>25</v>
      </c>
      <c r="B39" s="2714">
        <f ca="1">SUM(B38)</f>
        <v>1879540.4620857553</v>
      </c>
      <c r="C39" s="2715">
        <f ca="1">B39/$B$41</f>
        <v>0.15430191422498313</v>
      </c>
      <c r="D39" s="2713"/>
    </row>
    <row r="40" spans="1:5" s="34" customFormat="1" ht="16.5" x14ac:dyDescent="0.25">
      <c r="A40" s="2720"/>
      <c r="B40" s="2720"/>
      <c r="C40" s="2720"/>
      <c r="D40" s="2720"/>
    </row>
    <row r="41" spans="1:5" s="37" customFormat="1" ht="16.5" x14ac:dyDescent="0.25">
      <c r="A41" s="2713" t="s">
        <v>16</v>
      </c>
      <c r="B41" s="2716">
        <f ca="1">B39+B35</f>
        <v>12180927.706089582</v>
      </c>
      <c r="C41" s="2715">
        <f ca="1">B41/$B$41</f>
        <v>1</v>
      </c>
      <c r="D41" s="2717"/>
    </row>
    <row r="42" spans="1:5" ht="15" x14ac:dyDescent="0.2">
      <c r="A42" s="2722"/>
      <c r="B42" s="2722"/>
      <c r="C42" s="2722"/>
      <c r="D42" s="2722"/>
    </row>
    <row r="43" spans="1:5" ht="15" x14ac:dyDescent="0.2">
      <c r="A43" s="2722" t="s">
        <v>680</v>
      </c>
      <c r="B43" s="2722"/>
      <c r="C43" s="2722"/>
      <c r="D43" s="2722"/>
      <c r="E43" s="37"/>
    </row>
    <row r="48" spans="1:5" ht="38.25" x14ac:dyDescent="0.2">
      <c r="A48" s="2485" t="s">
        <v>20</v>
      </c>
      <c r="B48" s="2485" t="s">
        <v>21</v>
      </c>
    </row>
    <row r="49" spans="1:2" x14ac:dyDescent="0.2">
      <c r="A49" s="176" t="s">
        <v>228</v>
      </c>
      <c r="B49" s="2248">
        <f>D28</f>
        <v>0.25855056478439969</v>
      </c>
    </row>
    <row r="50" spans="1:2" x14ac:dyDescent="0.2">
      <c r="A50" s="176" t="s">
        <v>229</v>
      </c>
      <c r="B50" s="2248">
        <f>D29</f>
        <v>0.44240779596171403</v>
      </c>
    </row>
    <row r="51" spans="1:2" x14ac:dyDescent="0.2">
      <c r="A51" s="176" t="s">
        <v>56</v>
      </c>
      <c r="B51" s="2248">
        <f>D32</f>
        <v>0.29904163925388627</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4">
    <tabColor theme="3" tint="0.59999389629810485"/>
  </sheetPr>
  <dimension ref="A1:F51"/>
  <sheetViews>
    <sheetView topLeftCell="A16" zoomScaleNormal="100" workbookViewId="0">
      <selection activeCell="H15" sqref="H15"/>
    </sheetView>
  </sheetViews>
  <sheetFormatPr defaultRowHeight="12.75" x14ac:dyDescent="0.2"/>
  <cols>
    <col min="1" max="1" width="45.7109375" customWidth="1"/>
    <col min="2" max="2" width="14.42578125" bestFit="1" customWidth="1"/>
    <col min="3" max="3" width="16.85546875" customWidth="1"/>
    <col min="4" max="4" width="14.28515625" customWidth="1"/>
    <col min="5" max="5" width="11.85546875" customWidth="1"/>
  </cols>
  <sheetData>
    <row r="1" spans="1:5" ht="15" x14ac:dyDescent="0.25">
      <c r="A1" s="2855" t="s">
        <v>734</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ht="16.5" x14ac:dyDescent="0.25">
      <c r="A28" s="2705" t="s">
        <v>228</v>
      </c>
      <c r="B28" s="2706">
        <f>'SCG Table A'!J16</f>
        <v>3876844.8191903494</v>
      </c>
      <c r="C28" s="2707">
        <f ca="1">B28/$B$41</f>
        <v>0.26386537127577137</v>
      </c>
      <c r="D28" s="2707">
        <f>B28/$B$35</f>
        <v>0.29890006803657121</v>
      </c>
      <c r="E28" s="13"/>
    </row>
    <row r="29" spans="1:6" ht="16.5" x14ac:dyDescent="0.25">
      <c r="A29" s="2705" t="s">
        <v>229</v>
      </c>
      <c r="B29" s="2706">
        <f>'SCG Table A'!J56-'SCG Table A'!J16</f>
        <v>5225139.1830995157</v>
      </c>
      <c r="C29" s="2707">
        <f ca="1">B29/$B$41</f>
        <v>0.35563282896736442</v>
      </c>
      <c r="D29" s="2707">
        <f>B29/$B$35</f>
        <v>0.40285194021646925</v>
      </c>
      <c r="E29" s="13"/>
    </row>
    <row r="30" spans="1:6" ht="16.5" x14ac:dyDescent="0.25">
      <c r="A30" s="2708" t="s">
        <v>22</v>
      </c>
      <c r="B30" s="2709">
        <f>SUM(B28:B29)</f>
        <v>9101984.0022898652</v>
      </c>
      <c r="C30" s="2710">
        <f ca="1">B30/$B$41</f>
        <v>0.61949820024313573</v>
      </c>
      <c r="D30" s="2710">
        <f>B30/$B$35</f>
        <v>0.7017520082530404</v>
      </c>
      <c r="E30" s="13"/>
    </row>
    <row r="31" spans="1:6" ht="16.5" x14ac:dyDescent="0.25">
      <c r="A31" s="2718"/>
      <c r="B31" s="2718"/>
      <c r="C31" s="2718"/>
      <c r="D31" s="2718"/>
      <c r="E31" s="13"/>
    </row>
    <row r="32" spans="1:6" ht="16.5" x14ac:dyDescent="0.25">
      <c r="A32" s="2705" t="s">
        <v>56</v>
      </c>
      <c r="B32" s="2706">
        <f>'SCG Table A'!J57</f>
        <v>3868387.14769598</v>
      </c>
      <c r="C32" s="2707">
        <f ca="1">B32/$B$41</f>
        <v>0.26328972620018221</v>
      </c>
      <c r="D32" s="2707">
        <f>B32/$B$35</f>
        <v>0.29824799174695948</v>
      </c>
      <c r="E32" s="13"/>
    </row>
    <row r="33" spans="1:5" ht="16.5" x14ac:dyDescent="0.25">
      <c r="A33" s="2708" t="s">
        <v>23</v>
      </c>
      <c r="B33" s="2709">
        <f>+B32</f>
        <v>3868387.14769598</v>
      </c>
      <c r="C33" s="2710">
        <f ca="1">B33/$B$41</f>
        <v>0.26328972620018221</v>
      </c>
      <c r="D33" s="2710">
        <f>B33/$B$35</f>
        <v>0.29824799174695948</v>
      </c>
    </row>
    <row r="34" spans="1:5" ht="16.5" x14ac:dyDescent="0.25">
      <c r="A34" s="2719"/>
      <c r="B34" s="2719"/>
      <c r="C34" s="2719"/>
      <c r="D34" s="2719"/>
    </row>
    <row r="35" spans="1:5" ht="16.5" x14ac:dyDescent="0.25">
      <c r="A35" s="2708" t="s">
        <v>29</v>
      </c>
      <c r="B35" s="2709">
        <f>+B33+B30</f>
        <v>12970371.149985846</v>
      </c>
      <c r="C35" s="2710">
        <f ca="1">B35/$B$41</f>
        <v>0.88278792644331805</v>
      </c>
      <c r="D35" s="2710">
        <f>B35/$B$35</f>
        <v>1</v>
      </c>
    </row>
    <row r="36" spans="1:5" s="34" customFormat="1" ht="15" customHeight="1" x14ac:dyDescent="0.25">
      <c r="A36" s="2718"/>
      <c r="B36" s="2718"/>
      <c r="C36" s="2718"/>
      <c r="D36" s="2718"/>
    </row>
    <row r="37" spans="1:5" s="34" customFormat="1" ht="15" customHeight="1" x14ac:dyDescent="0.25">
      <c r="A37" s="2721" t="s">
        <v>24</v>
      </c>
      <c r="B37" s="2721"/>
      <c r="C37" s="2721"/>
      <c r="D37" s="2721"/>
    </row>
    <row r="38" spans="1:5" s="34" customFormat="1" ht="15" customHeight="1" x14ac:dyDescent="0.25">
      <c r="A38" s="2711" t="s">
        <v>24</v>
      </c>
      <c r="B38" s="2706">
        <f ca="1">'SCG Table A'!J58</f>
        <v>1722139.6574992924</v>
      </c>
      <c r="C38" s="2707">
        <f ca="1">B38/$B$41</f>
        <v>0.11721207355668194</v>
      </c>
      <c r="D38" s="2712"/>
    </row>
    <row r="39" spans="1:5" s="34" customFormat="1" ht="16.5" x14ac:dyDescent="0.25">
      <c r="A39" s="2708" t="s">
        <v>25</v>
      </c>
      <c r="B39" s="2714">
        <f ca="1">SUM(B38)</f>
        <v>1722139.6574992924</v>
      </c>
      <c r="C39" s="2715">
        <f ca="1">B39/$B$41</f>
        <v>0.11721207355668194</v>
      </c>
      <c r="D39" s="2713"/>
    </row>
    <row r="40" spans="1:5" s="34" customFormat="1" ht="16.5" x14ac:dyDescent="0.25">
      <c r="A40" s="2720"/>
      <c r="B40" s="2720"/>
      <c r="C40" s="2720"/>
      <c r="D40" s="2720"/>
    </row>
    <row r="41" spans="1:5" s="37" customFormat="1" ht="16.5" x14ac:dyDescent="0.25">
      <c r="A41" s="2713" t="s">
        <v>16</v>
      </c>
      <c r="B41" s="2716">
        <f ca="1">B39+B35</f>
        <v>14692510.807485139</v>
      </c>
      <c r="C41" s="2715">
        <f ca="1">B41/$B$41</f>
        <v>1</v>
      </c>
      <c r="D41" s="2717"/>
    </row>
    <row r="42" spans="1:5" ht="15" x14ac:dyDescent="0.2">
      <c r="A42" s="2722"/>
      <c r="B42" s="2722"/>
      <c r="C42" s="2722"/>
      <c r="D42" s="2722"/>
    </row>
    <row r="43" spans="1:5" ht="15" x14ac:dyDescent="0.2">
      <c r="A43" s="2722" t="s">
        <v>680</v>
      </c>
      <c r="B43" s="2722"/>
      <c r="C43" s="2722"/>
      <c r="D43" s="2722"/>
      <c r="E43" s="37"/>
    </row>
    <row r="48" spans="1:5" ht="38.25" x14ac:dyDescent="0.2">
      <c r="A48" s="2485" t="s">
        <v>20</v>
      </c>
      <c r="B48" s="2485" t="s">
        <v>21</v>
      </c>
    </row>
    <row r="49" spans="1:2" x14ac:dyDescent="0.2">
      <c r="A49" s="176" t="s">
        <v>228</v>
      </c>
      <c r="B49" s="2248">
        <f>D28</f>
        <v>0.29890006803657121</v>
      </c>
    </row>
    <row r="50" spans="1:2" x14ac:dyDescent="0.2">
      <c r="A50" s="176" t="s">
        <v>229</v>
      </c>
      <c r="B50" s="2248">
        <f>D29</f>
        <v>0.40285194021646925</v>
      </c>
    </row>
    <row r="51" spans="1:2" x14ac:dyDescent="0.2">
      <c r="A51" s="176" t="s">
        <v>56</v>
      </c>
      <c r="B51" s="2248">
        <f>D32</f>
        <v>0.29824799174695948</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5">
    <tabColor theme="3" tint="0.59999389629810485"/>
  </sheetPr>
  <dimension ref="A1:F51"/>
  <sheetViews>
    <sheetView topLeftCell="A22" zoomScaleNormal="100" workbookViewId="0">
      <selection activeCell="H15" sqref="H15"/>
    </sheetView>
  </sheetViews>
  <sheetFormatPr defaultRowHeight="12.75" x14ac:dyDescent="0.2"/>
  <cols>
    <col min="1" max="1" width="45.7109375" customWidth="1"/>
    <col min="2" max="2" width="14.42578125" bestFit="1" customWidth="1"/>
    <col min="3" max="3" width="18" customWidth="1"/>
    <col min="4" max="4" width="14.28515625" customWidth="1"/>
    <col min="5" max="5" width="11.85546875" customWidth="1"/>
  </cols>
  <sheetData>
    <row r="1" spans="1:5" ht="15" x14ac:dyDescent="0.25">
      <c r="A1" s="2855" t="s">
        <v>768</v>
      </c>
      <c r="B1" s="2855"/>
      <c r="C1" s="2855"/>
      <c r="D1" s="2855"/>
      <c r="E1" s="2855"/>
    </row>
    <row r="26" spans="1:6" ht="44.25" customHeight="1" x14ac:dyDescent="0.2">
      <c r="F26" s="13"/>
    </row>
    <row r="27" spans="1:6" ht="66" x14ac:dyDescent="0.2">
      <c r="A27" s="2702" t="s">
        <v>20</v>
      </c>
      <c r="B27" s="2703" t="s">
        <v>679</v>
      </c>
      <c r="C27" s="2703" t="s">
        <v>57</v>
      </c>
      <c r="D27" s="2704" t="s">
        <v>767</v>
      </c>
      <c r="E27" s="13"/>
    </row>
    <row r="28" spans="1:6" ht="16.5" x14ac:dyDescent="0.25">
      <c r="A28" s="2705" t="s">
        <v>228</v>
      </c>
      <c r="B28" s="2706">
        <f>'SCG Table A'!M16</f>
        <v>4058315.4133377485</v>
      </c>
      <c r="C28" s="2707">
        <f ca="1">B28/$B$41</f>
        <v>0.27343910492226642</v>
      </c>
      <c r="D28" s="2707">
        <f>B28/$B$35</f>
        <v>0.30898120551715014</v>
      </c>
      <c r="E28" s="13"/>
    </row>
    <row r="29" spans="1:6" ht="16.5" x14ac:dyDescent="0.25">
      <c r="A29" s="2705" t="s">
        <v>229</v>
      </c>
      <c r="B29" s="2706">
        <f>'SCG Table A'!M56-'SCG Table A'!M16</f>
        <v>5160662.361977078</v>
      </c>
      <c r="C29" s="2707">
        <f ca="1">B29/$B$41</f>
        <v>0.34771247508937819</v>
      </c>
      <c r="D29" s="2707">
        <f>B29/$B$35</f>
        <v>0.39290876027776028</v>
      </c>
      <c r="E29" s="13"/>
    </row>
    <row r="30" spans="1:6" ht="16.5" x14ac:dyDescent="0.25">
      <c r="A30" s="2708" t="s">
        <v>22</v>
      </c>
      <c r="B30" s="2709">
        <f>SUM(B28:B29)</f>
        <v>9218977.7753148265</v>
      </c>
      <c r="C30" s="2710">
        <f ca="1">B30/$B$41</f>
        <v>0.62115158001164461</v>
      </c>
      <c r="D30" s="2710">
        <f>B30/$B$35</f>
        <v>0.70188996579491048</v>
      </c>
      <c r="E30" s="13"/>
    </row>
    <row r="31" spans="1:6" ht="16.5" x14ac:dyDescent="0.25">
      <c r="A31" s="2718"/>
      <c r="B31" s="2718"/>
      <c r="C31" s="2718"/>
      <c r="D31" s="2718"/>
      <c r="E31" s="13"/>
    </row>
    <row r="32" spans="1:6" ht="16.5" x14ac:dyDescent="0.25">
      <c r="A32" s="2705" t="s">
        <v>56</v>
      </c>
      <c r="B32" s="2706">
        <f>'SCG Table A'!M57</f>
        <v>3915527.9514824934</v>
      </c>
      <c r="C32" s="2707">
        <f ca="1">B32/$B$41</f>
        <v>0.26381844418320577</v>
      </c>
      <c r="D32" s="2707">
        <f>B32/$B$35</f>
        <v>0.29811003420508952</v>
      </c>
      <c r="E32" s="13"/>
    </row>
    <row r="33" spans="1:5" ht="16.5" x14ac:dyDescent="0.25">
      <c r="A33" s="2708" t="s">
        <v>23</v>
      </c>
      <c r="B33" s="2709">
        <f>+B32</f>
        <v>3915527.9514824934</v>
      </c>
      <c r="C33" s="2710">
        <f ca="1">B33/$B$41</f>
        <v>0.26381844418320577</v>
      </c>
      <c r="D33" s="2710">
        <f>B33/$B$35</f>
        <v>0.29811003420508952</v>
      </c>
    </row>
    <row r="34" spans="1:5" ht="16.5" x14ac:dyDescent="0.25">
      <c r="A34" s="2719"/>
      <c r="B34" s="2719"/>
      <c r="C34" s="2719"/>
      <c r="D34" s="2719"/>
    </row>
    <row r="35" spans="1:5" ht="16.5" x14ac:dyDescent="0.25">
      <c r="A35" s="2708" t="s">
        <v>29</v>
      </c>
      <c r="B35" s="2709">
        <f>+B33+B30</f>
        <v>13134505.72679732</v>
      </c>
      <c r="C35" s="2710">
        <f ca="1">B35/$B$41</f>
        <v>0.88497002419485038</v>
      </c>
      <c r="D35" s="2710">
        <f>B35/$B$35</f>
        <v>1</v>
      </c>
    </row>
    <row r="36" spans="1:5" s="34" customFormat="1" ht="15" customHeight="1" x14ac:dyDescent="0.25">
      <c r="A36" s="2718"/>
      <c r="B36" s="2718"/>
      <c r="C36" s="2718"/>
      <c r="D36" s="2718"/>
    </row>
    <row r="37" spans="1:5" s="34" customFormat="1" ht="15" customHeight="1" x14ac:dyDescent="0.25">
      <c r="A37" s="2721" t="s">
        <v>24</v>
      </c>
      <c r="B37" s="2721"/>
      <c r="C37" s="2721"/>
      <c r="D37" s="2721"/>
    </row>
    <row r="38" spans="1:5" s="34" customFormat="1" ht="15" customHeight="1" x14ac:dyDescent="0.25">
      <c r="A38" s="2711" t="s">
        <v>24</v>
      </c>
      <c r="B38" s="2706">
        <f ca="1">'SCG Table A'!M58</f>
        <v>1707246.3864984396</v>
      </c>
      <c r="C38" s="2707">
        <f ca="1">B38/$B$41</f>
        <v>0.11502997580514962</v>
      </c>
      <c r="D38" s="2712"/>
    </row>
    <row r="39" spans="1:5" s="34" customFormat="1" ht="16.5" x14ac:dyDescent="0.25">
      <c r="A39" s="2708" t="s">
        <v>25</v>
      </c>
      <c r="B39" s="2714">
        <f ca="1">SUM(B38)</f>
        <v>1707246.3864984396</v>
      </c>
      <c r="C39" s="2715">
        <f ca="1">B39/$B$41</f>
        <v>0.11502997580514962</v>
      </c>
      <c r="D39" s="2713"/>
    </row>
    <row r="40" spans="1:5" s="34" customFormat="1" ht="16.5" x14ac:dyDescent="0.25">
      <c r="A40" s="2720"/>
      <c r="B40" s="2720"/>
      <c r="C40" s="2720"/>
      <c r="D40" s="2720"/>
    </row>
    <row r="41" spans="1:5" s="37" customFormat="1" ht="16.5" x14ac:dyDescent="0.25">
      <c r="A41" s="2713" t="s">
        <v>16</v>
      </c>
      <c r="B41" s="2716">
        <f ca="1">B39+B35</f>
        <v>14841752.11329576</v>
      </c>
      <c r="C41" s="2715">
        <f ca="1">B41/$B$41</f>
        <v>1</v>
      </c>
      <c r="D41" s="2717"/>
    </row>
    <row r="42" spans="1:5" ht="15" x14ac:dyDescent="0.2">
      <c r="A42" s="2722"/>
      <c r="B42" s="2722"/>
      <c r="C42" s="2722"/>
      <c r="D42" s="2722"/>
    </row>
    <row r="43" spans="1:5" ht="15" x14ac:dyDescent="0.2">
      <c r="A43" s="2722" t="s">
        <v>680</v>
      </c>
      <c r="B43" s="2722"/>
      <c r="C43" s="2722"/>
      <c r="D43" s="2722"/>
      <c r="E43" s="37"/>
    </row>
    <row r="48" spans="1:5" ht="38.25" x14ac:dyDescent="0.2">
      <c r="A48" s="2485" t="s">
        <v>20</v>
      </c>
      <c r="B48" s="2485" t="s">
        <v>21</v>
      </c>
    </row>
    <row r="49" spans="1:2" x14ac:dyDescent="0.2">
      <c r="A49" s="176" t="s">
        <v>228</v>
      </c>
      <c r="B49" s="2248">
        <f>D28</f>
        <v>0.30898120551715014</v>
      </c>
    </row>
    <row r="50" spans="1:2" x14ac:dyDescent="0.2">
      <c r="A50" s="176" t="s">
        <v>229</v>
      </c>
      <c r="B50" s="2248">
        <f>D29</f>
        <v>0.39290876027776028</v>
      </c>
    </row>
    <row r="51" spans="1:2" x14ac:dyDescent="0.2">
      <c r="A51" s="176" t="s">
        <v>56</v>
      </c>
      <c r="B51" s="2248">
        <f>D32</f>
        <v>0.29811003420508952</v>
      </c>
    </row>
  </sheetData>
  <mergeCells count="1">
    <mergeCell ref="A1:E1"/>
  </mergeCells>
  <printOptions horizontalCentered="1"/>
  <pageMargins left="0.7" right="0.7" top="0.75" bottom="0.75" header="0.3" footer="0.3"/>
  <pageSetup scale="98" orientation="portrait" r:id="rId1"/>
  <headerFooter>
    <oddFooter>&amp;C&amp;1#&amp;"Calibri"&amp;12&amp;K008000Internal Use</oddFooter>
  </headerFooter>
  <rowBreaks count="1" manualBreakCount="1">
    <brk id="4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theme="3" tint="0.59999389629810485"/>
    <pageSetUpPr fitToPage="1"/>
  </sheetPr>
  <dimension ref="A1:H25"/>
  <sheetViews>
    <sheetView topLeftCell="B1" zoomScaleNormal="100" workbookViewId="0">
      <pane xSplit="1" ySplit="4" topLeftCell="C5" activePane="bottomRight" state="frozen"/>
      <selection activeCell="H15" sqref="H15"/>
      <selection pane="topRight" activeCell="H15" sqref="H15"/>
      <selection pane="bottomLeft" activeCell="H15" sqref="H15"/>
      <selection pane="bottomRight" activeCell="H25" sqref="H25"/>
    </sheetView>
  </sheetViews>
  <sheetFormatPr defaultRowHeight="15" x14ac:dyDescent="0.2"/>
  <cols>
    <col min="1" max="1" width="4.85546875" style="1513" hidden="1" customWidth="1"/>
    <col min="2" max="2" width="76" style="1513" bestFit="1" customWidth="1"/>
    <col min="3" max="3" width="18.85546875" style="1513" bestFit="1" customWidth="1"/>
    <col min="4" max="4" width="18.85546875" style="1513" customWidth="1"/>
    <col min="5" max="7" width="18.85546875" style="1513" bestFit="1" customWidth="1"/>
    <col min="8" max="8" width="18.85546875" style="1513" customWidth="1"/>
    <col min="9" max="16384" width="9.140625" style="1513"/>
  </cols>
  <sheetData>
    <row r="1" spans="1:8" ht="15.75" x14ac:dyDescent="0.25">
      <c r="B1" s="1313"/>
    </row>
    <row r="2" spans="1:8" ht="20.25" customHeight="1" x14ac:dyDescent="0.25">
      <c r="A2" s="2652"/>
      <c r="B2" s="2653" t="s">
        <v>711</v>
      </c>
      <c r="C2" s="2683"/>
      <c r="D2" s="2683"/>
      <c r="E2" s="2683"/>
      <c r="F2" s="2683"/>
    </row>
    <row r="3" spans="1:8" ht="20.25" customHeight="1" x14ac:dyDescent="0.25">
      <c r="A3" s="2652"/>
      <c r="B3" s="2653" t="s">
        <v>735</v>
      </c>
      <c r="C3" s="2683"/>
      <c r="D3" s="2683"/>
      <c r="E3" s="2683"/>
      <c r="F3" s="2683"/>
    </row>
    <row r="4" spans="1:8" ht="20.25" customHeight="1" x14ac:dyDescent="0.25">
      <c r="A4" s="2652"/>
      <c r="B4" s="2654"/>
    </row>
    <row r="6" spans="1:8" ht="15.75" thickBot="1" x14ac:dyDescent="0.25"/>
    <row r="7" spans="1:8" ht="18" x14ac:dyDescent="0.25">
      <c r="B7" s="2723"/>
      <c r="C7" s="2724">
        <v>2021</v>
      </c>
      <c r="D7" s="2724">
        <v>2021</v>
      </c>
      <c r="E7" s="2724">
        <v>2022</v>
      </c>
      <c r="F7" s="2724">
        <v>2023</v>
      </c>
      <c r="G7" s="2724">
        <v>2024</v>
      </c>
      <c r="H7" s="2724">
        <v>2025</v>
      </c>
    </row>
    <row r="8" spans="1:8" ht="18" x14ac:dyDescent="0.25">
      <c r="B8" s="2725"/>
      <c r="C8" s="2726" t="s">
        <v>38</v>
      </c>
      <c r="D8" s="2726" t="s">
        <v>38</v>
      </c>
      <c r="E8" s="2726" t="s">
        <v>38</v>
      </c>
      <c r="F8" s="2726" t="s">
        <v>38</v>
      </c>
      <c r="G8" s="2726" t="s">
        <v>38</v>
      </c>
      <c r="H8" s="2726" t="s">
        <v>38</v>
      </c>
    </row>
    <row r="9" spans="1:8" ht="18" x14ac:dyDescent="0.25">
      <c r="B9" s="2726"/>
      <c r="C9" s="2726" t="s">
        <v>287</v>
      </c>
      <c r="D9" s="2726"/>
      <c r="E9" s="2726" t="s">
        <v>287</v>
      </c>
      <c r="F9" s="2726" t="s">
        <v>287</v>
      </c>
      <c r="G9" s="2726" t="s">
        <v>287</v>
      </c>
      <c r="H9" s="2726" t="s">
        <v>287</v>
      </c>
    </row>
    <row r="10" spans="1:8" ht="18" x14ac:dyDescent="0.25">
      <c r="B10" s="2726"/>
      <c r="C10" s="2726" t="s">
        <v>712</v>
      </c>
      <c r="D10" s="2726" t="s">
        <v>186</v>
      </c>
      <c r="E10" s="2726" t="s">
        <v>712</v>
      </c>
      <c r="F10" s="2726" t="s">
        <v>712</v>
      </c>
      <c r="G10" s="2726" t="s">
        <v>712</v>
      </c>
      <c r="H10" s="2726" t="s">
        <v>712</v>
      </c>
    </row>
    <row r="11" spans="1:8" ht="16.5" customHeight="1" thickBot="1" x14ac:dyDescent="0.3">
      <c r="B11" s="2727"/>
      <c r="C11" s="2728" t="s">
        <v>1</v>
      </c>
      <c r="D11" s="2728" t="s">
        <v>820</v>
      </c>
      <c r="E11" s="2728" t="s">
        <v>1</v>
      </c>
      <c r="F11" s="2728" t="s">
        <v>1</v>
      </c>
      <c r="G11" s="2728" t="s">
        <v>1</v>
      </c>
      <c r="H11" s="2728" t="s">
        <v>1</v>
      </c>
    </row>
    <row r="12" spans="1:8" ht="18.75" thickBot="1" x14ac:dyDescent="0.3">
      <c r="B12" s="2731" t="s">
        <v>727</v>
      </c>
      <c r="C12" s="2732">
        <f>17300000-14111250</f>
        <v>3188750</v>
      </c>
      <c r="D12" s="2732">
        <f>17300000-14111250</f>
        <v>3188750</v>
      </c>
      <c r="E12" s="2733">
        <f>-1805060.64+16</f>
        <v>-1805044.64</v>
      </c>
      <c r="F12" s="2733"/>
      <c r="G12" s="2733"/>
      <c r="H12" s="2733"/>
    </row>
    <row r="13" spans="1:8" ht="18.75" thickBot="1" x14ac:dyDescent="0.3">
      <c r="B13" s="2731" t="s">
        <v>726</v>
      </c>
      <c r="C13" s="2732">
        <f>(12695033+2849389)-17300000</f>
        <v>-1755578</v>
      </c>
      <c r="D13" s="2732">
        <f>(12695033+2849389)-17300000</f>
        <v>-1755578</v>
      </c>
      <c r="E13" s="2733">
        <v>-555037.65619913861</v>
      </c>
      <c r="F13" s="2733"/>
      <c r="G13" s="2733"/>
      <c r="H13" s="2733"/>
    </row>
    <row r="14" spans="1:8" ht="18.75" thickBot="1" x14ac:dyDescent="0.3">
      <c r="B14" s="2731" t="s">
        <v>725</v>
      </c>
      <c r="C14" s="2732">
        <v>309972</v>
      </c>
      <c r="D14" s="2732">
        <f>1121+309972</f>
        <v>311093</v>
      </c>
      <c r="E14" s="2733">
        <v>80810</v>
      </c>
      <c r="F14" s="2733"/>
      <c r="G14" s="2733"/>
      <c r="H14" s="2733"/>
    </row>
    <row r="15" spans="1:8" ht="18.75" thickBot="1" x14ac:dyDescent="0.3">
      <c r="B15" s="2731" t="s">
        <v>713</v>
      </c>
      <c r="C15" s="2732">
        <v>13350256.768563326</v>
      </c>
      <c r="D15" s="2732">
        <v>12794098</v>
      </c>
      <c r="E15" s="2733">
        <v>14460200</v>
      </c>
      <c r="F15" s="2733">
        <v>14692510.807485137</v>
      </c>
      <c r="G15" s="2733">
        <v>14841752.116467232</v>
      </c>
      <c r="H15" s="2733">
        <v>14992509.365685718</v>
      </c>
    </row>
    <row r="16" spans="1:8" ht="18.75" thickBot="1" x14ac:dyDescent="0.3">
      <c r="B16" s="2729" t="s">
        <v>714</v>
      </c>
      <c r="C16" s="2730">
        <f>SUM(C12:C15)</f>
        <v>15093400.768563326</v>
      </c>
      <c r="D16" s="2730">
        <f>SUM(D12:D15)</f>
        <v>14538363</v>
      </c>
      <c r="E16" s="2730">
        <f>SUM(E12:E15)</f>
        <v>12180927.703800861</v>
      </c>
      <c r="F16" s="2730">
        <f>SUM(F15:F15)</f>
        <v>14692510.807485137</v>
      </c>
      <c r="G16" s="2730">
        <f>SUM(G15:G15)</f>
        <v>14841752.116467232</v>
      </c>
      <c r="H16" s="2730">
        <f>SUM(H15:H15)</f>
        <v>14992509.365685718</v>
      </c>
    </row>
    <row r="19" spans="2:8" x14ac:dyDescent="0.2">
      <c r="B19" s="1513" t="s">
        <v>715</v>
      </c>
    </row>
    <row r="20" spans="2:8" x14ac:dyDescent="0.2">
      <c r="B20" s="1513" t="s">
        <v>716</v>
      </c>
      <c r="C20" s="2655">
        <f ca="1">C25</f>
        <v>646714.02352665039</v>
      </c>
      <c r="D20" s="2655"/>
      <c r="E20" s="2655">
        <f ca="1">E25</f>
        <v>575618.46208575531</v>
      </c>
      <c r="F20" s="2655">
        <f ca="1">F25</f>
        <v>695217.65749929228</v>
      </c>
      <c r="G20" s="2655">
        <f ca="1">G25</f>
        <v>702324.38649843959</v>
      </c>
      <c r="H20" s="2655">
        <f ca="1">H25</f>
        <v>713929.0174136057</v>
      </c>
    </row>
    <row r="21" spans="2:8" x14ac:dyDescent="0.2">
      <c r="B21" s="1513" t="s">
        <v>717</v>
      </c>
      <c r="C21" s="2655">
        <v>43333</v>
      </c>
      <c r="D21" s="2655"/>
      <c r="E21" s="2655">
        <f>'SCG Table A'!G47</f>
        <v>53333</v>
      </c>
      <c r="F21" s="2655">
        <f>'SCG Table A'!J47</f>
        <v>53333</v>
      </c>
      <c r="G21" s="2655">
        <f>'SCG Table A'!M47</f>
        <v>53333</v>
      </c>
      <c r="H21" s="2655">
        <f>'SCG Table A'!O47</f>
        <v>0</v>
      </c>
    </row>
    <row r="22" spans="2:8" x14ac:dyDescent="0.2">
      <c r="B22" s="1513" t="s">
        <v>488</v>
      </c>
      <c r="C22" s="2655">
        <v>21931</v>
      </c>
      <c r="D22" s="2655"/>
      <c r="E22" s="2655">
        <f>'SCG Table A'!G45</f>
        <v>29607</v>
      </c>
      <c r="F22" s="2655">
        <f>'SCG Table A'!J45</f>
        <v>29607</v>
      </c>
      <c r="G22" s="2655">
        <f>'SCG Table A'!M45</f>
        <v>29607</v>
      </c>
      <c r="H22" s="2655">
        <f>'SCG Table A'!O45</f>
        <v>0</v>
      </c>
    </row>
    <row r="23" spans="2:8" x14ac:dyDescent="0.2">
      <c r="B23" s="1513" t="s">
        <v>718</v>
      </c>
      <c r="C23" s="2655">
        <v>10000</v>
      </c>
      <c r="D23" s="2655"/>
      <c r="E23" s="2655">
        <f>'SCG Table A'!G48</f>
        <v>10000</v>
      </c>
      <c r="F23" s="2655">
        <f>'SCG Table A'!J48</f>
        <v>10000</v>
      </c>
      <c r="G23" s="2655">
        <f>'SCG Table A'!M48</f>
        <v>10000</v>
      </c>
      <c r="H23" s="2655">
        <f>'SCG Table A'!O48</f>
        <v>0</v>
      </c>
    </row>
    <row r="25" spans="2:8" ht="15.75" x14ac:dyDescent="0.25">
      <c r="B25" s="1513" t="s">
        <v>719</v>
      </c>
      <c r="C25" s="2656">
        <f ca="1">(C16-C20-C21-C22-C23)*0.045</f>
        <v>646714.02352665039</v>
      </c>
      <c r="D25" s="2656"/>
      <c r="E25" s="2656">
        <f ca="1">(E16-E20-E21-E22-E23)*0.05</f>
        <v>575618.46208575531</v>
      </c>
      <c r="F25" s="2656">
        <f ca="1">(F16-F20-F21-F22-F23)*0.05</f>
        <v>695217.65749929228</v>
      </c>
      <c r="G25" s="2656">
        <f ca="1">(G16-G20-G21-G22-G23)*0.05</f>
        <v>702324.38649843959</v>
      </c>
      <c r="H25" s="2656">
        <f ca="1">(H16-H20-H21-H22-H23)*0.05</f>
        <v>713929.0174136057</v>
      </c>
    </row>
  </sheetData>
  <printOptions horizontalCentered="1"/>
  <pageMargins left="0" right="0" top="1" bottom="1" header="0.22" footer="0.23"/>
  <pageSetup scale="94" orientation="landscape" r:id="rId1"/>
  <headerFooter alignWithMargins="0">
    <oddFooter>&amp;C&amp;1#&amp;"Calibri"&amp;12&amp;K008000Internal Use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B2:E28"/>
  <sheetViews>
    <sheetView workbookViewId="0">
      <selection activeCell="E1" sqref="E1:E1048576"/>
    </sheetView>
  </sheetViews>
  <sheetFormatPr defaultRowHeight="12.75" x14ac:dyDescent="0.2"/>
  <cols>
    <col min="1" max="1" width="9.140625" style="1039"/>
    <col min="2" max="2" width="47.42578125" style="1039" bestFit="1" customWidth="1"/>
    <col min="3" max="3" width="11.85546875" style="1039" bestFit="1" customWidth="1"/>
    <col min="4" max="5" width="10.7109375" style="1039" customWidth="1"/>
    <col min="6" max="16384" width="9.140625" style="1039"/>
  </cols>
  <sheetData>
    <row r="2" spans="2:5" x14ac:dyDescent="0.2">
      <c r="B2" s="2860" t="s">
        <v>681</v>
      </c>
      <c r="C2" s="2860"/>
      <c r="D2" s="2860"/>
      <c r="E2" s="2860"/>
    </row>
    <row r="4" spans="2:5" ht="13.5" thickBot="1" x14ac:dyDescent="0.25"/>
    <row r="5" spans="2:5" ht="16.5" thickBot="1" x14ac:dyDescent="0.3">
      <c r="B5" s="2401"/>
      <c r="C5" s="2402" t="s">
        <v>682</v>
      </c>
      <c r="D5" s="2403" t="s">
        <v>683</v>
      </c>
      <c r="E5" s="2404" t="s">
        <v>684</v>
      </c>
    </row>
    <row r="6" spans="2:5" ht="16.5" thickBot="1" x14ac:dyDescent="0.3">
      <c r="B6" s="2405" t="s">
        <v>393</v>
      </c>
      <c r="C6" s="2406"/>
      <c r="D6" s="2407"/>
      <c r="E6" s="2408"/>
    </row>
    <row r="7" spans="2:5" ht="15.75" x14ac:dyDescent="0.25">
      <c r="B7" s="2409" t="s">
        <v>600</v>
      </c>
      <c r="C7" s="2410">
        <v>0.5</v>
      </c>
      <c r="D7" s="2411">
        <v>0.5</v>
      </c>
      <c r="E7" s="2412">
        <v>0</v>
      </c>
    </row>
    <row r="8" spans="2:5" ht="15.75" x14ac:dyDescent="0.25">
      <c r="B8" s="2413" t="s">
        <v>487</v>
      </c>
      <c r="C8" s="2414">
        <v>0.8</v>
      </c>
      <c r="D8" s="2415">
        <v>0.2</v>
      </c>
      <c r="E8" s="2416">
        <v>0</v>
      </c>
    </row>
    <row r="9" spans="2:5" ht="15.75" x14ac:dyDescent="0.25">
      <c r="B9" s="2413" t="s">
        <v>601</v>
      </c>
      <c r="C9" s="2414">
        <v>0.8</v>
      </c>
      <c r="D9" s="2415">
        <v>0.2</v>
      </c>
      <c r="E9" s="2416">
        <v>0</v>
      </c>
    </row>
    <row r="10" spans="2:5" ht="16.5" thickBot="1" x14ac:dyDescent="0.3">
      <c r="B10" s="2413" t="s">
        <v>602</v>
      </c>
      <c r="C10" s="2414">
        <v>0.5</v>
      </c>
      <c r="D10" s="2415">
        <v>0.5</v>
      </c>
      <c r="E10" s="2416">
        <v>0</v>
      </c>
    </row>
    <row r="11" spans="2:5" ht="16.5" thickBot="1" x14ac:dyDescent="0.3">
      <c r="B11" s="2428" t="s">
        <v>108</v>
      </c>
      <c r="C11" s="2417"/>
      <c r="D11" s="2418"/>
      <c r="E11" s="2419"/>
    </row>
    <row r="12" spans="2:5" ht="15.75" x14ac:dyDescent="0.25">
      <c r="B12" s="2458" t="s">
        <v>651</v>
      </c>
      <c r="C12" s="2411">
        <v>1</v>
      </c>
      <c r="D12" s="2411">
        <v>0</v>
      </c>
      <c r="E12" s="2412">
        <v>0</v>
      </c>
    </row>
    <row r="13" spans="2:5" ht="15.75" x14ac:dyDescent="0.25">
      <c r="B13" s="2459" t="s">
        <v>652</v>
      </c>
      <c r="C13" s="2415">
        <v>0</v>
      </c>
      <c r="D13" s="2415">
        <v>1</v>
      </c>
      <c r="E13" s="2416">
        <v>0</v>
      </c>
    </row>
    <row r="14" spans="2:5" ht="16.5" thickBot="1" x14ac:dyDescent="0.3">
      <c r="B14" s="2460" t="s">
        <v>653</v>
      </c>
      <c r="C14" s="2422">
        <v>0</v>
      </c>
      <c r="D14" s="2422">
        <v>0</v>
      </c>
      <c r="E14" s="2423">
        <v>1</v>
      </c>
    </row>
    <row r="15" spans="2:5" ht="16.5" thickBot="1" x14ac:dyDescent="0.3">
      <c r="B15" s="2457" t="s">
        <v>629</v>
      </c>
      <c r="C15" s="2417"/>
      <c r="D15" s="2418"/>
      <c r="E15" s="2419"/>
    </row>
    <row r="16" spans="2:5" ht="16.5" thickBot="1" x14ac:dyDescent="0.3">
      <c r="B16" s="2424" t="s">
        <v>685</v>
      </c>
      <c r="C16" s="2425">
        <v>0</v>
      </c>
      <c r="D16" s="2426">
        <v>1</v>
      </c>
      <c r="E16" s="2427">
        <v>0</v>
      </c>
    </row>
    <row r="17" spans="2:5" ht="16.5" thickBot="1" x14ac:dyDescent="0.3">
      <c r="B17" s="2428" t="s">
        <v>401</v>
      </c>
      <c r="C17" s="2417"/>
      <c r="D17" s="2418"/>
      <c r="E17" s="2419"/>
    </row>
    <row r="18" spans="2:5" ht="15.75" x14ac:dyDescent="0.25">
      <c r="B18" s="2420" t="s">
        <v>662</v>
      </c>
      <c r="C18" s="2410">
        <v>0</v>
      </c>
      <c r="D18" s="2411">
        <v>0</v>
      </c>
      <c r="E18" s="2412">
        <v>1</v>
      </c>
    </row>
    <row r="19" spans="2:5" ht="15.75" x14ac:dyDescent="0.25">
      <c r="B19" s="2429" t="s">
        <v>663</v>
      </c>
      <c r="C19" s="2414">
        <v>0.8</v>
      </c>
      <c r="D19" s="2415">
        <v>0.2</v>
      </c>
      <c r="E19" s="2416">
        <v>0</v>
      </c>
    </row>
    <row r="20" spans="2:5" ht="15.75" x14ac:dyDescent="0.25">
      <c r="B20" s="2429" t="s">
        <v>686</v>
      </c>
      <c r="C20" s="2414">
        <v>0</v>
      </c>
      <c r="D20" s="2415">
        <v>0</v>
      </c>
      <c r="E20" s="2416">
        <v>1</v>
      </c>
    </row>
    <row r="21" spans="2:5" ht="15.75" x14ac:dyDescent="0.25">
      <c r="B21" s="2429" t="s">
        <v>639</v>
      </c>
      <c r="C21" s="2414">
        <v>0</v>
      </c>
      <c r="D21" s="2415">
        <v>0</v>
      </c>
      <c r="E21" s="2416">
        <v>1</v>
      </c>
    </row>
    <row r="22" spans="2:5" ht="15.75" x14ac:dyDescent="0.25">
      <c r="B22" s="2429" t="s">
        <v>640</v>
      </c>
      <c r="C22" s="2414">
        <v>0</v>
      </c>
      <c r="D22" s="2415">
        <v>0</v>
      </c>
      <c r="E22" s="2416">
        <v>1</v>
      </c>
    </row>
    <row r="23" spans="2:5" ht="15.75" x14ac:dyDescent="0.25">
      <c r="B23" s="2429" t="s">
        <v>664</v>
      </c>
      <c r="C23" s="2414">
        <v>0</v>
      </c>
      <c r="D23" s="2415">
        <v>0</v>
      </c>
      <c r="E23" s="2416">
        <v>1</v>
      </c>
    </row>
    <row r="24" spans="2:5" ht="15.75" x14ac:dyDescent="0.25">
      <c r="B24" s="2429" t="s">
        <v>641</v>
      </c>
      <c r="C24" s="2414">
        <v>0</v>
      </c>
      <c r="D24" s="2415">
        <v>0</v>
      </c>
      <c r="E24" s="2416">
        <v>1</v>
      </c>
    </row>
    <row r="25" spans="2:5" ht="15.75" x14ac:dyDescent="0.25">
      <c r="B25" s="2430" t="s">
        <v>687</v>
      </c>
      <c r="C25" s="2414">
        <v>0</v>
      </c>
      <c r="D25" s="2415">
        <v>0</v>
      </c>
      <c r="E25" s="2416">
        <v>1</v>
      </c>
    </row>
    <row r="26" spans="2:5" ht="16.5" thickBot="1" x14ac:dyDescent="0.3">
      <c r="B26" s="2431" t="s">
        <v>643</v>
      </c>
      <c r="C26" s="2421">
        <v>0</v>
      </c>
      <c r="D26" s="2422">
        <v>0</v>
      </c>
      <c r="E26" s="2423">
        <v>1</v>
      </c>
    </row>
    <row r="28" spans="2:5" ht="60.75" customHeight="1" x14ac:dyDescent="0.25">
      <c r="B28" s="2863" t="s">
        <v>688</v>
      </c>
      <c r="C28" s="2863"/>
      <c r="D28" s="2863"/>
      <c r="E28" s="2863"/>
    </row>
  </sheetData>
  <mergeCells count="2">
    <mergeCell ref="B2:E2"/>
    <mergeCell ref="B28:E28"/>
  </mergeCells>
  <pageMargins left="0.7" right="0.7" top="0.75" bottom="0.75" header="0.3" footer="0.3"/>
  <pageSetup orientation="portrait" r:id="rId1"/>
  <headerFooter>
    <oddFooter>&amp;C&amp;1#&amp;"Calibri"&amp;12&amp;K008000Internal Use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pageSetUpPr fitToPage="1"/>
  </sheetPr>
  <dimension ref="A1:M52"/>
  <sheetViews>
    <sheetView topLeftCell="A7" workbookViewId="0">
      <selection activeCell="C30" sqref="C30"/>
    </sheetView>
  </sheetViews>
  <sheetFormatPr defaultRowHeight="12.75" x14ac:dyDescent="0.2"/>
  <cols>
    <col min="1" max="1" width="32.5703125" customWidth="1"/>
    <col min="2" max="2" width="3.5703125" customWidth="1"/>
    <col min="3" max="3" width="14.42578125" customWidth="1"/>
    <col min="4" max="6" width="13.28515625" customWidth="1"/>
    <col min="7" max="7" width="14" customWidth="1"/>
    <col min="8" max="8" width="12.28515625" bestFit="1" customWidth="1"/>
    <col min="9" max="9" width="12" customWidth="1"/>
    <col min="10" max="10" width="12.140625" customWidth="1"/>
    <col min="11" max="11" width="11.140625" customWidth="1"/>
    <col min="12" max="12" width="10" customWidth="1"/>
    <col min="13" max="13" width="11.5703125" customWidth="1"/>
  </cols>
  <sheetData>
    <row r="1" spans="1:6" ht="15" x14ac:dyDescent="0.25">
      <c r="A1" s="2855" t="s">
        <v>461</v>
      </c>
      <c r="B1" s="2855"/>
      <c r="C1" s="2855"/>
      <c r="D1" s="2855"/>
      <c r="E1" s="2855"/>
      <c r="F1" s="29"/>
    </row>
    <row r="2" spans="1:6" ht="15" x14ac:dyDescent="0.25">
      <c r="A2" s="2855" t="s">
        <v>34</v>
      </c>
      <c r="B2" s="2855"/>
      <c r="C2" s="2855"/>
      <c r="D2" s="2855"/>
      <c r="E2" s="2855"/>
    </row>
    <row r="23" spans="1:13" ht="13.5" customHeight="1" x14ac:dyDescent="0.2"/>
    <row r="24" spans="1:13" ht="13.5" customHeight="1" x14ac:dyDescent="0.2"/>
    <row r="25" spans="1:13" s="3" customFormat="1" ht="13.5" customHeight="1" x14ac:dyDescent="0.2"/>
    <row r="26" spans="1:13" s="3" customFormat="1" ht="13.5" customHeight="1" x14ac:dyDescent="0.2"/>
    <row r="28" spans="1:13" ht="44.25" customHeight="1" x14ac:dyDescent="0.2">
      <c r="A28" s="209" t="s">
        <v>20</v>
      </c>
      <c r="B28" s="209"/>
      <c r="C28" s="209" t="s">
        <v>35</v>
      </c>
      <c r="D28" s="209" t="s">
        <v>57</v>
      </c>
      <c r="E28" s="210" t="s">
        <v>21</v>
      </c>
      <c r="F28" s="194"/>
      <c r="G28" s="103"/>
      <c r="H28" s="104"/>
      <c r="J28" s="103"/>
      <c r="K28" s="103"/>
      <c r="L28" s="103"/>
      <c r="M28" s="3"/>
    </row>
    <row r="29" spans="1:13" x14ac:dyDescent="0.2">
      <c r="A29" s="105" t="s">
        <v>228</v>
      </c>
      <c r="B29" s="105"/>
      <c r="C29" s="30" t="e">
        <f>'2013-2015 Combined Table A1'!F12+'2013-2015 Combined Table A1'!F40</f>
        <v>#REF!</v>
      </c>
      <c r="D29" s="106" t="e">
        <f>C29/C43</f>
        <v>#REF!</v>
      </c>
      <c r="E29" s="47" t="e">
        <f>C29/C37</f>
        <v>#REF!</v>
      </c>
      <c r="F29" s="106"/>
      <c r="G29" s="106"/>
      <c r="J29" s="3"/>
      <c r="K29" s="3"/>
      <c r="L29" s="3"/>
      <c r="M29" s="3"/>
    </row>
    <row r="30" spans="1:13" x14ac:dyDescent="0.2">
      <c r="A30" s="105" t="s">
        <v>229</v>
      </c>
      <c r="B30" s="105"/>
      <c r="C30" s="30" t="e">
        <f>'2013-2015 Combined Table A1'!F60-'2013 Table A1 Pies'!C29</f>
        <v>#REF!</v>
      </c>
      <c r="D30" s="106" t="e">
        <f>C30/C43</f>
        <v>#REF!</v>
      </c>
      <c r="E30" s="47" t="e">
        <f>C30/C37</f>
        <v>#REF!</v>
      </c>
      <c r="F30" s="106"/>
      <c r="G30" s="106"/>
      <c r="J30" s="3"/>
      <c r="K30" s="107"/>
      <c r="L30" s="107"/>
      <c r="M30" s="3"/>
    </row>
    <row r="31" spans="1:13" x14ac:dyDescent="0.2">
      <c r="A31" s="108" t="s">
        <v>22</v>
      </c>
      <c r="B31" s="109"/>
      <c r="C31" s="110" t="e">
        <f>SUM(C29:C30)</f>
        <v>#REF!</v>
      </c>
      <c r="D31" s="111" t="e">
        <f>SUM(D29:D30)</f>
        <v>#REF!</v>
      </c>
      <c r="E31" s="111" t="e">
        <f>SUM(E29:E30)</f>
        <v>#REF!</v>
      </c>
      <c r="F31" s="106"/>
      <c r="G31" s="106"/>
      <c r="J31" s="112"/>
      <c r="K31" s="112"/>
      <c r="L31" s="112"/>
      <c r="M31" s="3"/>
    </row>
    <row r="32" spans="1:13" x14ac:dyDescent="0.2">
      <c r="A32" s="105"/>
      <c r="B32" s="105"/>
      <c r="C32" s="30"/>
      <c r="D32" s="106"/>
      <c r="E32" s="47"/>
      <c r="F32" s="106"/>
      <c r="G32" s="106"/>
      <c r="H32" s="33"/>
      <c r="J32" s="113"/>
      <c r="K32" s="113"/>
      <c r="L32" s="113"/>
      <c r="M32" s="3"/>
    </row>
    <row r="33" spans="1:13" x14ac:dyDescent="0.2">
      <c r="A33" s="176" t="s">
        <v>56</v>
      </c>
      <c r="B33" s="105"/>
      <c r="C33" s="30" t="e">
        <f>'2013-2015 Combined Table A1'!F61</f>
        <v>#REF!</v>
      </c>
      <c r="D33" s="106" t="e">
        <f>C33/C43</f>
        <v>#REF!</v>
      </c>
      <c r="E33" s="47" t="e">
        <f>C33/C37</f>
        <v>#REF!</v>
      </c>
      <c r="F33" s="106"/>
      <c r="G33" s="106"/>
      <c r="J33" s="112"/>
      <c r="K33" s="112"/>
      <c r="L33" s="112"/>
      <c r="M33" s="3"/>
    </row>
    <row r="34" spans="1:13" x14ac:dyDescent="0.2">
      <c r="A34" s="105"/>
      <c r="B34" s="105"/>
      <c r="C34" s="30"/>
      <c r="D34" s="106"/>
      <c r="E34" s="47"/>
      <c r="F34" s="106"/>
      <c r="G34" s="106"/>
      <c r="J34" s="112"/>
      <c r="K34" s="112"/>
      <c r="L34" s="112"/>
      <c r="M34" s="3"/>
    </row>
    <row r="35" spans="1:13" x14ac:dyDescent="0.2">
      <c r="A35" s="108" t="s">
        <v>23</v>
      </c>
      <c r="B35" s="109"/>
      <c r="C35" s="110" t="e">
        <f>SUM(C32:C34)</f>
        <v>#REF!</v>
      </c>
      <c r="D35" s="111" t="e">
        <f>SUM(D32:D34)</f>
        <v>#REF!</v>
      </c>
      <c r="E35" s="111" t="e">
        <f>SUM(E32:E34)</f>
        <v>#REF!</v>
      </c>
      <c r="F35" s="106"/>
      <c r="G35" s="106"/>
      <c r="J35" s="112"/>
      <c r="K35" s="112"/>
      <c r="L35" s="112"/>
      <c r="M35" s="3"/>
    </row>
    <row r="36" spans="1:13" x14ac:dyDescent="0.2">
      <c r="D36" s="2"/>
      <c r="E36" s="2"/>
      <c r="F36" s="106"/>
      <c r="G36" s="195"/>
      <c r="I36" s="3"/>
      <c r="J36" s="3"/>
      <c r="K36" s="3"/>
      <c r="L36" s="3"/>
      <c r="M36" s="3"/>
    </row>
    <row r="37" spans="1:13" x14ac:dyDescent="0.2">
      <c r="A37" s="108" t="s">
        <v>29</v>
      </c>
      <c r="B37" s="108"/>
      <c r="C37" s="110" t="e">
        <f>C31+C35</f>
        <v>#REF!</v>
      </c>
      <c r="D37" s="111" t="e">
        <f>D31+D35</f>
        <v>#REF!</v>
      </c>
      <c r="E37" s="111" t="e">
        <f>E31+E35</f>
        <v>#REF!</v>
      </c>
      <c r="F37" s="106"/>
      <c r="G37" s="106"/>
      <c r="I37" s="3"/>
    </row>
    <row r="38" spans="1:13" x14ac:dyDescent="0.2">
      <c r="A38" s="105"/>
      <c r="B38" s="105"/>
      <c r="C38" s="30"/>
      <c r="D38" s="47"/>
      <c r="E38" s="47"/>
      <c r="F38" s="106"/>
      <c r="G38" s="106"/>
      <c r="I38" s="3"/>
    </row>
    <row r="39" spans="1:13" s="34" customFormat="1" ht="15" customHeight="1" x14ac:dyDescent="0.2">
      <c r="A39" s="114" t="s">
        <v>24</v>
      </c>
      <c r="B39" s="114"/>
      <c r="C39" s="115"/>
      <c r="D39" s="116"/>
      <c r="F39" s="115"/>
      <c r="G39" s="196"/>
    </row>
    <row r="40" spans="1:13" s="34" customFormat="1" ht="15" customHeight="1" x14ac:dyDescent="0.2">
      <c r="A40" s="105" t="s">
        <v>24</v>
      </c>
      <c r="B40" s="105"/>
      <c r="C40" s="30" t="e">
        <f>'2013-2015 Combined Table A1'!F62</f>
        <v>#REF!</v>
      </c>
      <c r="D40" s="106" t="e">
        <f>C40/C43</f>
        <v>#REF!</v>
      </c>
      <c r="F40" s="115"/>
      <c r="G40" s="196"/>
      <c r="J40" s="117"/>
    </row>
    <row r="41" spans="1:13" s="34" customFormat="1" ht="15" customHeight="1" x14ac:dyDescent="0.2">
      <c r="A41" s="118" t="s">
        <v>25</v>
      </c>
      <c r="B41" s="118"/>
      <c r="C41" s="119" t="e">
        <f>SUM(C40)</f>
        <v>#REF!</v>
      </c>
      <c r="D41" s="120" t="e">
        <f>SUM(D40)</f>
        <v>#REF!</v>
      </c>
      <c r="E41" s="121"/>
      <c r="F41" s="197"/>
      <c r="G41" s="198"/>
      <c r="I41" s="117"/>
    </row>
    <row r="42" spans="1:13" s="34" customFormat="1" x14ac:dyDescent="0.2">
      <c r="A42" s="35"/>
      <c r="B42" s="35"/>
      <c r="C42" s="122"/>
      <c r="D42" s="123"/>
      <c r="E42" s="124"/>
      <c r="F42" s="199"/>
      <c r="G42" s="200"/>
    </row>
    <row r="43" spans="1:13" s="34" customFormat="1" x14ac:dyDescent="0.2">
      <c r="A43" s="125" t="s">
        <v>55</v>
      </c>
      <c r="B43" s="125"/>
      <c r="C43" s="126" t="e">
        <f>C41+C37</f>
        <v>#REF!</v>
      </c>
      <c r="D43" s="127" t="e">
        <f>D37+D41</f>
        <v>#REF!</v>
      </c>
      <c r="F43" s="201"/>
      <c r="G43" s="201"/>
      <c r="I43" s="128"/>
      <c r="J43" s="128"/>
    </row>
    <row r="44" spans="1:13" s="34" customFormat="1" x14ac:dyDescent="0.2">
      <c r="A44" s="129" t="s">
        <v>54</v>
      </c>
      <c r="B44" s="129"/>
      <c r="C44" s="130">
        <f>'2013-2015 Combined Table A1'!C63</f>
        <v>13145575</v>
      </c>
      <c r="D44" s="131" t="e">
        <f>C44/C43</f>
        <v>#REF!</v>
      </c>
    </row>
    <row r="45" spans="1:13" s="37" customFormat="1" x14ac:dyDescent="0.2">
      <c r="A45" s="129" t="s">
        <v>37</v>
      </c>
      <c r="B45" s="132"/>
      <c r="C45" s="133" t="e">
        <f>'2012-2013 Combined Table A1 '!H57</f>
        <v>#REF!</v>
      </c>
      <c r="D45" s="131" t="e">
        <f>C45/C43</f>
        <v>#REF!</v>
      </c>
    </row>
    <row r="46" spans="1:13" s="37" customFormat="1" x14ac:dyDescent="0.2">
      <c r="A46" s="175" t="s">
        <v>38</v>
      </c>
      <c r="B46" s="175"/>
      <c r="C46" s="133" t="e">
        <f>'2012-2013 Combined Table A1 '!I57</f>
        <v>#REF!</v>
      </c>
      <c r="D46" s="131" t="e">
        <f>C46/C43</f>
        <v>#REF!</v>
      </c>
      <c r="E46" s="175"/>
    </row>
    <row r="47" spans="1:13" s="37" customFormat="1" x14ac:dyDescent="0.2">
      <c r="A47" s="175"/>
      <c r="B47" s="175"/>
      <c r="C47" s="175"/>
      <c r="D47" s="175"/>
      <c r="E47" s="175"/>
    </row>
    <row r="48" spans="1:13" s="37" customFormat="1" x14ac:dyDescent="0.2">
      <c r="A48" s="46"/>
      <c r="B48" s="35"/>
      <c r="C48" s="38"/>
      <c r="D48" s="39"/>
      <c r="E48" s="39"/>
      <c r="F48" s="36"/>
      <c r="G48" s="40"/>
    </row>
    <row r="49" spans="1:7" s="37" customFormat="1" x14ac:dyDescent="0.2">
      <c r="A49" s="35"/>
      <c r="B49" s="35"/>
      <c r="C49" s="38"/>
      <c r="D49" s="40"/>
      <c r="E49" s="40"/>
      <c r="F49" s="40"/>
      <c r="G49" s="40"/>
    </row>
    <row r="50" spans="1:7" s="37" customFormat="1" x14ac:dyDescent="0.2">
      <c r="A50" s="35"/>
      <c r="B50" s="35"/>
      <c r="C50" s="38"/>
      <c r="D50" s="34"/>
      <c r="E50" s="34"/>
      <c r="F50" s="34"/>
      <c r="G50" s="34"/>
    </row>
    <row r="51" spans="1:7" x14ac:dyDescent="0.2">
      <c r="A51" s="41"/>
      <c r="B51" s="41"/>
      <c r="C51" s="42"/>
      <c r="D51" s="13"/>
      <c r="E51" s="13"/>
      <c r="F51" s="13"/>
      <c r="G51" s="13"/>
    </row>
    <row r="52" spans="1:7" x14ac:dyDescent="0.2">
      <c r="A52" s="13"/>
      <c r="B52" s="13"/>
      <c r="C52" s="43"/>
      <c r="D52" s="13"/>
      <c r="E52" s="13"/>
      <c r="F52" s="13"/>
      <c r="G52" s="13"/>
    </row>
  </sheetData>
  <mergeCells count="2">
    <mergeCell ref="A1:E1"/>
    <mergeCell ref="A2:E2"/>
  </mergeCells>
  <phoneticPr fontId="10" type="noConversion"/>
  <pageMargins left="0.75" right="0.75" top="1" bottom="1" header="0.5" footer="0.5"/>
  <pageSetup orientation="portrait" r:id="rId1"/>
  <headerFooter alignWithMargins="0">
    <oddFooter>&amp;C&amp;"Arial"&amp;11&amp;K000000
Totals may vary due to rounding_x000D_&amp;1#&amp;"Calibri"&amp;12&amp;K008000Internal Use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B1:AD90"/>
  <sheetViews>
    <sheetView zoomScale="70" zoomScaleNormal="70" workbookViewId="0">
      <pane xSplit="2" ySplit="5" topLeftCell="C7" activePane="bottomRight" state="frozen"/>
      <selection activeCell="S52" sqref="S52"/>
      <selection pane="topRight" activeCell="S52" sqref="S52"/>
      <selection pane="bottomLeft" activeCell="S52" sqref="S52"/>
      <selection pane="bottomRight" activeCell="C7" sqref="C7"/>
    </sheetView>
  </sheetViews>
  <sheetFormatPr defaultRowHeight="12.75" x14ac:dyDescent="0.2"/>
  <cols>
    <col min="1" max="1" width="9.140625" style="321"/>
    <col min="2" max="2" width="64.28515625" style="321" customWidth="1"/>
    <col min="3" max="3" width="18" style="321" bestFit="1" customWidth="1"/>
    <col min="4" max="4" width="15.7109375" style="321" hidden="1" customWidth="1"/>
    <col min="5" max="5" width="15.5703125" style="321" customWidth="1"/>
    <col min="6" max="6" width="16.140625"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5.8554687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row>
    <row r="2" spans="2:29" s="284" customFormat="1" ht="18" customHeight="1" x14ac:dyDescent="0.2">
      <c r="B2" s="2154" t="s">
        <v>616</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row>
    <row r="3" spans="2:29" s="284" customFormat="1" ht="13.5" thickBot="1" x14ac:dyDescent="0.25">
      <c r="C3" s="243"/>
      <c r="K3" s="802"/>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7"/>
      <c r="R5" s="2159"/>
      <c r="S5" s="2108"/>
      <c r="T5" s="2108"/>
      <c r="U5" s="2108"/>
      <c r="V5" s="2108"/>
      <c r="W5" s="2108"/>
      <c r="X5" s="2108"/>
      <c r="Y5" s="2109"/>
      <c r="Z5" s="2109"/>
    </row>
    <row r="6" spans="2:29" s="284" customFormat="1" ht="19.5" hidden="1" customHeight="1" x14ac:dyDescent="0.2">
      <c r="B6" s="359" t="s">
        <v>232</v>
      </c>
      <c r="C6" s="2132"/>
      <c r="D6" s="2133"/>
      <c r="E6" s="2133"/>
      <c r="F6" s="2133"/>
      <c r="G6" s="2133"/>
      <c r="H6" s="337"/>
      <c r="I6" s="338"/>
      <c r="J6" s="338"/>
      <c r="K6" s="2119"/>
      <c r="L6" s="2134"/>
      <c r="M6" s="2119"/>
      <c r="N6" s="2119"/>
      <c r="O6" s="2119"/>
      <c r="P6" s="341"/>
      <c r="Q6" s="336"/>
      <c r="R6" s="2319"/>
      <c r="S6" s="2119"/>
      <c r="T6" s="2119"/>
      <c r="U6" s="2119"/>
      <c r="V6" s="2119"/>
      <c r="W6" s="2119">
        <f t="shared" ref="W6:W27" si="0">+(M6*102900+S6*138690+U6*91330)/10^6</f>
        <v>0</v>
      </c>
      <c r="X6" s="2119">
        <f t="shared" ref="X6:X27" si="1">+(N6*102900+T6*138690+V6*91330)/10^6</f>
        <v>0</v>
      </c>
      <c r="Y6" s="341" t="s">
        <v>3</v>
      </c>
      <c r="Z6" s="336" t="s">
        <v>3</v>
      </c>
    </row>
    <row r="7" spans="2:29" s="2060" customFormat="1" ht="18" customHeight="1" x14ac:dyDescent="0.2">
      <c r="B7" s="2290" t="s">
        <v>233</v>
      </c>
      <c r="C7" s="2354" t="e">
        <f>'CNG Table A'!#REF!</f>
        <v>#REF!</v>
      </c>
      <c r="D7" s="2291" t="e">
        <f>E7-C7</f>
        <v>#REF!</v>
      </c>
      <c r="E7" s="2291" t="e">
        <f>C7</f>
        <v>#REF!</v>
      </c>
      <c r="F7" s="2291">
        <f>'10.1.15 2016 Summary Table B'!F7*('CNG Table C 2016'!$F$15/'10.1.15 CNG Table C 2016'!$F$15)</f>
        <v>5073109.4628881579</v>
      </c>
      <c r="G7" s="2291">
        <f>'10.1.15 2016 Summary Table B'!G7*('CNG Table C 2016'!$F$15/'10.1.15 CNG Table C 2016'!$F$15)</f>
        <v>5435880.3719379408</v>
      </c>
      <c r="H7" s="2355" t="e">
        <f>SUM(C7/$C$75)</f>
        <v>#REF!</v>
      </c>
      <c r="I7" s="2356" t="e">
        <f>F7/C7</f>
        <v>#REF!</v>
      </c>
      <c r="J7" s="2356" t="e">
        <f>G7/E7</f>
        <v>#REF!</v>
      </c>
      <c r="K7" s="2357">
        <f>'10.1.15 2016 Summary Table B'!K7*('CNG Table C 2016'!$F$15/'10.1.15 CNG Table C 2016'!$F$15)</f>
        <v>5061.7014835034597</v>
      </c>
      <c r="L7" s="2358" t="s">
        <v>241</v>
      </c>
      <c r="M7" s="2357">
        <f>'10.1.15 2016 Summary Table B'!M7*('CNG Table C 2016'!$F$15/'10.1.15 CNG Table C 2016'!$F$15)</f>
        <v>374926.40128642763</v>
      </c>
      <c r="N7" s="2357">
        <f>'10.1.15 2016 Summary Table B'!N7*('CNG Table C 2016'!$F$15/'10.1.15 CNG Table C 2016'!$F$15)</f>
        <v>7837031.1755982321</v>
      </c>
      <c r="O7" s="2357">
        <f>'10.1.15 2016 Summary Table B'!O7*('CNG Table C 2016'!$F$15/'10.1.15 CNG Table C 2016'!$F$15)</f>
        <v>4516.9182457896168</v>
      </c>
      <c r="P7" s="2359" t="e">
        <f>C7/M7</f>
        <v>#REF!</v>
      </c>
      <c r="Q7" s="2360" t="e">
        <f>C7/N7</f>
        <v>#REF!</v>
      </c>
      <c r="R7" s="2360" t="e">
        <f>C7/O7</f>
        <v>#REF!</v>
      </c>
      <c r="S7" s="2357"/>
      <c r="T7" s="2357"/>
      <c r="U7" s="2357"/>
      <c r="V7" s="2357"/>
      <c r="W7" s="2357">
        <f t="shared" si="0"/>
        <v>38579.926692373403</v>
      </c>
      <c r="X7" s="2357">
        <f t="shared" si="1"/>
        <v>806430.50796905812</v>
      </c>
      <c r="Y7" s="2359" t="e">
        <f>+C7/W7</f>
        <v>#REF!</v>
      </c>
      <c r="Z7" s="2361" t="e">
        <f>+C7/X7</f>
        <v>#REF!</v>
      </c>
    </row>
    <row r="8" spans="2:29" s="2060" customFormat="1" ht="19.5" customHeight="1" x14ac:dyDescent="0.2">
      <c r="B8" s="2202" t="s">
        <v>234</v>
      </c>
      <c r="C8" s="2200" t="e">
        <f>'SCG Table A'!#REF!</f>
        <v>#REF!</v>
      </c>
      <c r="D8" s="2052" t="e">
        <f>E8-C8</f>
        <v>#REF!</v>
      </c>
      <c r="E8" s="2052" t="e">
        <f>C8</f>
        <v>#REF!</v>
      </c>
      <c r="F8" s="2052">
        <f>'10.1.15 2016 Summary Table B'!F8*('SCG Table C 2016'!$F$15/'10.1.15 SCG Table C 2016'!$F$15)</f>
        <v>2959402.5935577713</v>
      </c>
      <c r="G8" s="2052">
        <f>'10.1.15 2016 Summary Table B'!G8*('SCG Table C 2016'!$F$15/'10.1.15 SCG Table C 2016'!$F$15)</f>
        <v>3149355.3154697376</v>
      </c>
      <c r="H8" s="2053" t="e">
        <f>SUM(C8/$C$76)</f>
        <v>#REF!</v>
      </c>
      <c r="I8" s="2054" t="e">
        <f>F8/C8</f>
        <v>#REF!</v>
      </c>
      <c r="J8" s="2054" t="e">
        <f>G8/E8</f>
        <v>#REF!</v>
      </c>
      <c r="K8" s="2055">
        <f>'10.1.15 2016 Summary Table B'!K8*('SCG Table C 2016'!$F$15/'10.1.15 SCG Table C 2016'!$F$15)</f>
        <v>2454.7863063828459</v>
      </c>
      <c r="L8" s="2328" t="s">
        <v>241</v>
      </c>
      <c r="M8" s="2055">
        <f>'10.1.15 2016 Summary Table B'!M8*('SCG Table C 2016'!$F$15/'10.1.15 SCG Table C 2016'!$F$15)</f>
        <v>215941.59695829652</v>
      </c>
      <c r="N8" s="2055">
        <f>'10.1.15 2016 Summary Table B'!N8*('SCG Table C 2016'!$F$15/'10.1.15 SCG Table C 2016'!$F$15)</f>
        <v>4597301.9157452565</v>
      </c>
      <c r="O8" s="2055">
        <f>'10.1.15 2016 Summary Table B'!O8*('SCG Table C 2016'!$F$15/'10.1.15 SCG Table C 2016'!$F$15)</f>
        <v>4430.8535798597841</v>
      </c>
      <c r="P8" s="2057" t="e">
        <f>C8/M8</f>
        <v>#REF!</v>
      </c>
      <c r="Q8" s="2329" t="e">
        <f>C8/N8</f>
        <v>#REF!</v>
      </c>
      <c r="R8" s="2329" t="e">
        <f t="shared" ref="R8:R17" si="2">C8/O8</f>
        <v>#REF!</v>
      </c>
      <c r="S8" s="2055"/>
      <c r="T8" s="2055"/>
      <c r="U8" s="2055"/>
      <c r="V8" s="2055"/>
      <c r="W8" s="2055">
        <f t="shared" si="0"/>
        <v>22220.390327008714</v>
      </c>
      <c r="X8" s="2055">
        <f t="shared" si="1"/>
        <v>473062.36713018687</v>
      </c>
      <c r="Y8" s="2057" t="e">
        <f>+C8/W8</f>
        <v>#REF!</v>
      </c>
      <c r="Z8" s="2362" t="e">
        <f>+C8/X8</f>
        <v>#REF!</v>
      </c>
    </row>
    <row r="9" spans="2:29" ht="17.25" customHeight="1" x14ac:dyDescent="0.25">
      <c r="B9" s="2363" t="s">
        <v>235</v>
      </c>
      <c r="C9" s="2330" t="e">
        <f>SUM(C6:C8)</f>
        <v>#REF!</v>
      </c>
      <c r="D9" s="2330" t="e">
        <f>SUM(D6:D8)</f>
        <v>#REF!</v>
      </c>
      <c r="E9" s="2330" t="e">
        <f>SUM(E6:E8)</f>
        <v>#REF!</v>
      </c>
      <c r="F9" s="2330">
        <f>SUM(F6:F8)</f>
        <v>8032512.0564459292</v>
      </c>
      <c r="G9" s="2330">
        <f>SUM(G6:G8)</f>
        <v>8585235.687407678</v>
      </c>
      <c r="H9" s="2331" t="e">
        <f>SUM(C9/$C$77)</f>
        <v>#REF!</v>
      </c>
      <c r="I9" s="2332" t="e">
        <f>F9/C9</f>
        <v>#REF!</v>
      </c>
      <c r="J9" s="2332" t="e">
        <f>G9/E9</f>
        <v>#REF!</v>
      </c>
      <c r="K9" s="2333">
        <f>SUM(K6:K8)</f>
        <v>7516.4877898863051</v>
      </c>
      <c r="L9" s="2334" t="s">
        <v>241</v>
      </c>
      <c r="M9" s="2335">
        <f>SUM(M6:M8)</f>
        <v>590867.99824472412</v>
      </c>
      <c r="N9" s="2335">
        <f>SUM(N6:N8)</f>
        <v>12434333.091343489</v>
      </c>
      <c r="O9" s="2335">
        <f>SUM(O6:O8)</f>
        <v>8947.7718256494009</v>
      </c>
      <c r="P9" s="2336" t="e">
        <f>C9/M9</f>
        <v>#REF!</v>
      </c>
      <c r="Q9" s="2336" t="e">
        <f>C9/N9</f>
        <v>#REF!</v>
      </c>
      <c r="R9" s="2336" t="e">
        <f t="shared" si="2"/>
        <v>#REF!</v>
      </c>
      <c r="S9" s="2335">
        <f>SUM(S6:S8)</f>
        <v>0</v>
      </c>
      <c r="T9" s="2335">
        <f>SUM(T6:T8)</f>
        <v>0</v>
      </c>
      <c r="U9" s="2335"/>
      <c r="V9" s="2335"/>
      <c r="W9" s="2333">
        <f t="shared" si="0"/>
        <v>60800.317019382113</v>
      </c>
      <c r="X9" s="2333">
        <f t="shared" si="1"/>
        <v>1279492.8750992448</v>
      </c>
      <c r="Y9" s="2336" t="e">
        <f>+C9/W9</f>
        <v>#REF!</v>
      </c>
      <c r="Z9" s="2364" t="e">
        <f>+C9/X9</f>
        <v>#REF!</v>
      </c>
      <c r="AB9" s="704"/>
    </row>
    <row r="10" spans="2:29" s="284" customFormat="1" ht="15" hidden="1" x14ac:dyDescent="0.2">
      <c r="B10" s="330" t="s">
        <v>139</v>
      </c>
      <c r="C10" s="331"/>
      <c r="D10" s="331"/>
      <c r="E10" s="331"/>
      <c r="F10" s="331"/>
      <c r="G10" s="331"/>
      <c r="H10" s="332"/>
      <c r="I10" s="333"/>
      <c r="J10" s="333"/>
      <c r="K10" s="804"/>
      <c r="L10" s="2337"/>
      <c r="M10" s="804"/>
      <c r="N10" s="804"/>
      <c r="O10" s="804"/>
      <c r="P10" s="335"/>
      <c r="Q10" s="2338"/>
      <c r="R10" s="2338" t="e">
        <f t="shared" si="2"/>
        <v>#DIV/0!</v>
      </c>
      <c r="S10" s="804"/>
      <c r="T10" s="804"/>
      <c r="U10" s="804"/>
      <c r="V10" s="804"/>
      <c r="W10" s="804">
        <f t="shared" si="0"/>
        <v>0</v>
      </c>
      <c r="X10" s="804">
        <f t="shared" si="1"/>
        <v>0</v>
      </c>
      <c r="Y10" s="335" t="s">
        <v>3</v>
      </c>
      <c r="Z10" s="358" t="s">
        <v>3</v>
      </c>
      <c r="AA10" s="393"/>
      <c r="AB10" s="797"/>
    </row>
    <row r="11" spans="2:29" s="2060" customFormat="1" ht="15" x14ac:dyDescent="0.2">
      <c r="B11" s="2202" t="s">
        <v>140</v>
      </c>
      <c r="C11" s="2052" t="e">
        <f>'CNG Table A'!#REF!</f>
        <v>#REF!</v>
      </c>
      <c r="D11" s="2052" t="e">
        <f>E11-C11</f>
        <v>#REF!</v>
      </c>
      <c r="E11" s="2052">
        <v>4671580.0184026361</v>
      </c>
      <c r="F11" s="2052">
        <v>4993044.7862164816</v>
      </c>
      <c r="G11" s="2052">
        <v>4994680.6543779466</v>
      </c>
      <c r="H11" s="2053" t="e">
        <f>SUM(C11/$C$75)</f>
        <v>#REF!</v>
      </c>
      <c r="I11" s="2054" t="e">
        <f>F11/C11</f>
        <v>#REF!</v>
      </c>
      <c r="J11" s="2054">
        <f>G11/E11</f>
        <v>1.0691630315016607</v>
      </c>
      <c r="K11" s="2055">
        <v>4295.629384615384</v>
      </c>
      <c r="L11" s="2328" t="s">
        <v>241</v>
      </c>
      <c r="M11" s="2055">
        <v>409066.34210102889</v>
      </c>
      <c r="N11" s="2055">
        <v>7344352.3832203476</v>
      </c>
      <c r="O11" s="2055">
        <v>6830.7520497500054</v>
      </c>
      <c r="P11" s="2057" t="e">
        <f>C11/M11</f>
        <v>#REF!</v>
      </c>
      <c r="Q11" s="2329" t="e">
        <f>C11/N11</f>
        <v>#REF!</v>
      </c>
      <c r="R11" s="2329" t="e">
        <f t="shared" si="2"/>
        <v>#REF!</v>
      </c>
      <c r="S11" s="2055">
        <v>0</v>
      </c>
      <c r="T11" s="2055">
        <v>0</v>
      </c>
      <c r="U11" s="2055">
        <v>0</v>
      </c>
      <c r="V11" s="2055">
        <v>0</v>
      </c>
      <c r="W11" s="2055">
        <f t="shared" si="0"/>
        <v>42092.926602195868</v>
      </c>
      <c r="X11" s="2055">
        <f t="shared" si="1"/>
        <v>755733.86023337382</v>
      </c>
      <c r="Y11" s="2057" t="e">
        <f>+C11/W11</f>
        <v>#REF!</v>
      </c>
      <c r="Z11" s="2362" t="e">
        <f>+C11/X11</f>
        <v>#REF!</v>
      </c>
      <c r="AA11" s="2072"/>
      <c r="AB11" s="2203"/>
      <c r="AC11" s="2072"/>
    </row>
    <row r="12" spans="2:29" s="2060" customFormat="1" ht="15" x14ac:dyDescent="0.2">
      <c r="B12" s="2202" t="s">
        <v>141</v>
      </c>
      <c r="C12" s="2052" t="e">
        <f>'SCG Table A'!#REF!</f>
        <v>#REF!</v>
      </c>
      <c r="D12" s="2052" t="e">
        <f>E12-C12</f>
        <v>#REF!</v>
      </c>
      <c r="E12" s="2052">
        <f>'10.1.15 2016 Summary Table B'!E12*('SCG Table C 2016'!$F$13/'10.1.15 SCG Table C 2016'!$F$13)</f>
        <v>2575453.1336761559</v>
      </c>
      <c r="F12" s="2052">
        <f>'10.1.15 2016 Summary Table B'!F12*('SCG Table C 2016'!$F$13/'10.1.15 SCG Table C 2016'!$F$13)</f>
        <v>2417671.263217933</v>
      </c>
      <c r="G12" s="2052">
        <f>'10.1.15 2016 Summary Table B'!G12*('SCG Table C 2016'!$F$13/'10.1.15 SCG Table C 2016'!$F$13)</f>
        <v>2419005.45662336</v>
      </c>
      <c r="H12" s="2053" t="e">
        <f>SUM(C12/$C$76)</f>
        <v>#REF!</v>
      </c>
      <c r="I12" s="2054" t="e">
        <f>F12/C12</f>
        <v>#REF!</v>
      </c>
      <c r="J12" s="2054">
        <f>G12/E12</f>
        <v>0.93925431023880246</v>
      </c>
      <c r="K12" s="2055">
        <f>'10.1.15 2016 Summary Table B'!K12*('SCG Table C 2016'!$F$13/'10.1.15 SCG Table C 2016'!$F$13)</f>
        <v>2391.2488117001826</v>
      </c>
      <c r="L12" s="2328" t="s">
        <v>241</v>
      </c>
      <c r="M12" s="2055">
        <f>'10.1.15 2016 Summary Table B'!M12*('SCG Table C 2016'!$F$13/'10.1.15 SCG Table C 2016'!$F$13)</f>
        <v>201615.41457896956</v>
      </c>
      <c r="N12" s="2055">
        <f>'10.1.15 2016 Summary Table B'!N12*('SCG Table C 2016'!$F$13/'10.1.15 SCG Table C 2016'!$F$13)</f>
        <v>3535361.9754344216</v>
      </c>
      <c r="O12" s="2055">
        <f>'10.1.15 2016 Summary Table B'!O12*('SCG Table C 2016'!$F$13/'10.1.15 SCG Table C 2016'!$F$13)</f>
        <v>3646.5202565036466</v>
      </c>
      <c r="P12" s="2057" t="e">
        <f>C12/M12</f>
        <v>#REF!</v>
      </c>
      <c r="Q12" s="2329" t="e">
        <f>C12/N12</f>
        <v>#REF!</v>
      </c>
      <c r="R12" s="2329" t="e">
        <f t="shared" si="2"/>
        <v>#REF!</v>
      </c>
      <c r="S12" s="2055" t="e">
        <v>#REF!</v>
      </c>
      <c r="T12" s="2055" t="e">
        <v>#REF!</v>
      </c>
      <c r="U12" s="2055"/>
      <c r="V12" s="2055"/>
      <c r="W12" s="2055" t="e">
        <f t="shared" si="0"/>
        <v>#REF!</v>
      </c>
      <c r="X12" s="2055" t="e">
        <f t="shared" si="1"/>
        <v>#REF!</v>
      </c>
      <c r="Y12" s="2057" t="e">
        <f>+C12/W12</f>
        <v>#REF!</v>
      </c>
      <c r="Z12" s="2362" t="e">
        <f>+C12/X12</f>
        <v>#REF!</v>
      </c>
      <c r="AA12" s="2072"/>
      <c r="AB12" s="2203"/>
      <c r="AC12" s="2072"/>
    </row>
    <row r="13" spans="2:29" ht="17.25" customHeight="1" x14ac:dyDescent="0.25">
      <c r="B13" s="2363" t="s">
        <v>146</v>
      </c>
      <c r="C13" s="2330" t="e">
        <f>SUM(C10:C12)</f>
        <v>#REF!</v>
      </c>
      <c r="D13" s="2330" t="e">
        <f>SUM(D10:D12)</f>
        <v>#REF!</v>
      </c>
      <c r="E13" s="2330">
        <f>SUM(E10:E12)</f>
        <v>7247033.1520787925</v>
      </c>
      <c r="F13" s="2330">
        <f>SUM(F10:F12)</f>
        <v>7410716.0494344141</v>
      </c>
      <c r="G13" s="2330">
        <f>SUM(G10:G12)</f>
        <v>7413686.1110013071</v>
      </c>
      <c r="H13" s="2331" t="e">
        <f>SUM(C13/$C$77)</f>
        <v>#REF!</v>
      </c>
      <c r="I13" s="2332" t="e">
        <f>F13/C13</f>
        <v>#REF!</v>
      </c>
      <c r="J13" s="2332">
        <f>G13/E13</f>
        <v>1.0229960254666022</v>
      </c>
      <c r="K13" s="2333">
        <f>SUM(K10:K12)</f>
        <v>6686.878196315567</v>
      </c>
      <c r="L13" s="2334" t="s">
        <v>241</v>
      </c>
      <c r="M13" s="2335">
        <f>SUM(M10:M12)</f>
        <v>610681.75667999848</v>
      </c>
      <c r="N13" s="2335">
        <f>SUM(N10:N12)</f>
        <v>10879714.358654769</v>
      </c>
      <c r="O13" s="2335">
        <f>SUM(O10:O12)</f>
        <v>10477.272306253652</v>
      </c>
      <c r="P13" s="2336" t="e">
        <f>C13/M13</f>
        <v>#REF!</v>
      </c>
      <c r="Q13" s="2339" t="e">
        <f>C13/N13</f>
        <v>#REF!</v>
      </c>
      <c r="R13" s="2339" t="e">
        <f t="shared" si="2"/>
        <v>#REF!</v>
      </c>
      <c r="S13" s="2335" t="e">
        <f>SUM(S10:S12)</f>
        <v>#REF!</v>
      </c>
      <c r="T13" s="2335" t="e">
        <f>SUM(T10:T12)</f>
        <v>#REF!</v>
      </c>
      <c r="U13" s="2335">
        <f>SUM(U10:U12)</f>
        <v>0</v>
      </c>
      <c r="V13" s="2335">
        <f>SUM(V10:V12)</f>
        <v>0</v>
      </c>
      <c r="W13" s="2333" t="e">
        <f t="shared" si="0"/>
        <v>#REF!</v>
      </c>
      <c r="X13" s="2333" t="e">
        <f t="shared" si="1"/>
        <v>#REF!</v>
      </c>
      <c r="Y13" s="2336" t="e">
        <f>+C13/W13</f>
        <v>#REF!</v>
      </c>
      <c r="Z13" s="2365" t="e">
        <f>+C13/X13</f>
        <v>#REF!</v>
      </c>
    </row>
    <row r="14" spans="2:29" s="284" customFormat="1" ht="31.5" hidden="1" customHeight="1" x14ac:dyDescent="0.2">
      <c r="B14" s="330" t="s">
        <v>169</v>
      </c>
      <c r="C14" s="331"/>
      <c r="D14" s="331"/>
      <c r="E14" s="331"/>
      <c r="F14" s="331"/>
      <c r="G14" s="331"/>
      <c r="H14" s="332"/>
      <c r="I14" s="333"/>
      <c r="J14" s="333"/>
      <c r="K14" s="804"/>
      <c r="L14" s="2337"/>
      <c r="M14" s="804"/>
      <c r="N14" s="804"/>
      <c r="O14" s="804"/>
      <c r="P14" s="335"/>
      <c r="Q14" s="2338"/>
      <c r="R14" s="2338" t="e">
        <f t="shared" si="2"/>
        <v>#DIV/0!</v>
      </c>
      <c r="S14" s="804"/>
      <c r="T14" s="804"/>
      <c r="U14" s="804"/>
      <c r="V14" s="804"/>
      <c r="W14" s="804">
        <f t="shared" si="0"/>
        <v>0</v>
      </c>
      <c r="X14" s="804">
        <f t="shared" si="1"/>
        <v>0</v>
      </c>
      <c r="Y14" s="335" t="s">
        <v>3</v>
      </c>
      <c r="Z14" s="358" t="s">
        <v>3</v>
      </c>
    </row>
    <row r="15" spans="2:29" s="2060" customFormat="1" ht="30" x14ac:dyDescent="0.2">
      <c r="B15" s="2202" t="s">
        <v>597</v>
      </c>
      <c r="C15" s="2052" t="e">
        <f>'CNG Table A'!#REF!</f>
        <v>#REF!</v>
      </c>
      <c r="D15" s="2052" t="e">
        <f>E15-C15</f>
        <v>#REF!</v>
      </c>
      <c r="E15" s="2052">
        <f>'10.1.15 2016 Summary Table B'!E15*('CNG Table C 2016'!$F$14/'10.1.15 CNG Table C 2016'!$F$14)</f>
        <v>4952549.530116654</v>
      </c>
      <c r="F15" s="2052">
        <f>'10.1.15 2016 Summary Table B'!F15*('CNG Table C 2016'!$F$14/'10.1.15 CNG Table C 2016'!$F$14)</f>
        <v>4131152.672764332</v>
      </c>
      <c r="G15" s="2052">
        <f>'10.1.15 2016 Summary Table B'!G15*('CNG Table C 2016'!$F$14/'10.1.15 CNG Table C 2016'!$F$14)</f>
        <v>4131152.6727643316</v>
      </c>
      <c r="H15" s="2053" t="e">
        <f>SUM(C15/$C$75)</f>
        <v>#REF!</v>
      </c>
      <c r="I15" s="2054" t="e">
        <f t="shared" ref="I15:I23" si="3">F15/C15</f>
        <v>#REF!</v>
      </c>
      <c r="J15" s="2054">
        <f>G15/E15</f>
        <v>0.83414666479206823</v>
      </c>
      <c r="K15" s="2055">
        <f>'10.1.15 2016 Summary Table B'!K15*('CNG Table C 2016'!$F$14/'10.1.15 CNG Table C 2016'!$F$14)</f>
        <v>3604.0486913271548</v>
      </c>
      <c r="L15" s="2328" t="s">
        <v>572</v>
      </c>
      <c r="M15" s="2055">
        <f>'10.1.15 2016 Summary Table B'!M15*('CNG Table C 2016'!$F$14/'10.1.15 CNG Table C 2016'!$F$14)</f>
        <v>314000.74958262901</v>
      </c>
      <c r="N15" s="2055">
        <f>'10.1.15 2016 Summary Table B'!N15*('CNG Table C 2016'!$F$14/'10.1.15 CNG Table C 2016'!$F$14)</f>
        <v>6214716.1329202363</v>
      </c>
      <c r="O15" s="2055">
        <f>'10.1.15 2016 Summary Table B'!O15*('CNG Table C 2016'!$F$14/'10.1.15 CNG Table C 2016'!$F$14)</f>
        <v>2917.2731429600199</v>
      </c>
      <c r="P15" s="2057" t="e">
        <f>C15/M15</f>
        <v>#REF!</v>
      </c>
      <c r="Q15" s="2329" t="e">
        <f>C15/N15</f>
        <v>#REF!</v>
      </c>
      <c r="R15" s="2329" t="e">
        <f t="shared" si="2"/>
        <v>#REF!</v>
      </c>
      <c r="S15" s="2055"/>
      <c r="T15" s="2055"/>
      <c r="U15" s="2055"/>
      <c r="V15" s="2055"/>
      <c r="W15" s="2055">
        <f t="shared" si="0"/>
        <v>32310.677132052526</v>
      </c>
      <c r="X15" s="2055">
        <f t="shared" si="1"/>
        <v>639494.29007749236</v>
      </c>
      <c r="Y15" s="2057" t="e">
        <f t="shared" ref="Y15:Y20" si="4">+C15/W15</f>
        <v>#REF!</v>
      </c>
      <c r="Z15" s="2362" t="e">
        <f>+C15/X15</f>
        <v>#REF!</v>
      </c>
      <c r="AA15" s="2072"/>
      <c r="AB15" s="2203"/>
      <c r="AC15" s="2072"/>
    </row>
    <row r="16" spans="2:29" s="2060" customFormat="1" ht="30" x14ac:dyDescent="0.2">
      <c r="B16" s="2202" t="s">
        <v>598</v>
      </c>
      <c r="C16" s="2052" t="e">
        <f>'SCG Table A'!#REF!</f>
        <v>#REF!</v>
      </c>
      <c r="D16" s="2052" t="e">
        <f>E16-C16</f>
        <v>#REF!</v>
      </c>
      <c r="E16" s="2052">
        <f>'10.1.15 2016 Summary Table B'!E16*('SCG Table C 2016'!$F$14/'10.1.15 SCG Table C 2016'!$F$14)</f>
        <v>2994518.0244552055</v>
      </c>
      <c r="F16" s="2052">
        <f>'10.1.15 2016 Summary Table B'!F16*('SCG Table C 2016'!$F$14/'10.1.15 SCG Table C 2016'!$F$14)</f>
        <v>2333145.2329021581</v>
      </c>
      <c r="G16" s="2052">
        <f>'10.1.15 2016 Summary Table B'!G16*('SCG Table C 2016'!$F$14/'10.1.15 SCG Table C 2016'!$F$14)</f>
        <v>2333145.2329021581</v>
      </c>
      <c r="H16" s="2053" t="e">
        <f>SUM(C16/$C$76)</f>
        <v>#REF!</v>
      </c>
      <c r="I16" s="2054" t="e">
        <f t="shared" si="3"/>
        <v>#REF!</v>
      </c>
      <c r="J16" s="2054">
        <f t="shared" ref="J16:J23" si="5">G16/E16</f>
        <v>0.77913881761544201</v>
      </c>
      <c r="K16" s="2055">
        <f>'10.1.15 2016 Summary Table B'!K16*('SCG Table C 2016'!$F$14/'10.1.15 SCG Table C 2016'!$F$14)</f>
        <v>2199.1716282211351</v>
      </c>
      <c r="L16" s="2328" t="s">
        <v>572</v>
      </c>
      <c r="M16" s="2055">
        <f>'10.1.15 2016 Summary Table B'!M16*('SCG Table C 2016'!$F$14/'10.1.15 SCG Table C 2016'!$F$14)</f>
        <v>177369.00629819589</v>
      </c>
      <c r="N16" s="2055">
        <f>'10.1.15 2016 Summary Table B'!N16*('SCG Table C 2016'!$F$14/'10.1.15 SCG Table C 2016'!$F$14)</f>
        <v>3512374.5989224403</v>
      </c>
      <c r="O16" s="2055">
        <f>'10.1.15 2016 Summary Table B'!O16*('SCG Table C 2016'!$F$14/'10.1.15 SCG Table C 2016'!$F$14)</f>
        <v>2015.9430091969375</v>
      </c>
      <c r="P16" s="2057" t="e">
        <f t="shared" ref="P16:P23" si="6">C16/M16</f>
        <v>#REF!</v>
      </c>
      <c r="Q16" s="2329" t="e">
        <f>C16/N16</f>
        <v>#REF!</v>
      </c>
      <c r="R16" s="2329" t="e">
        <f t="shared" si="2"/>
        <v>#REF!</v>
      </c>
      <c r="S16" s="2055"/>
      <c r="T16" s="2055"/>
      <c r="U16" s="2055"/>
      <c r="V16" s="2055"/>
      <c r="W16" s="2055">
        <f t="shared" si="0"/>
        <v>18251.270748084356</v>
      </c>
      <c r="X16" s="2055">
        <f t="shared" si="1"/>
        <v>361423.34622911905</v>
      </c>
      <c r="Y16" s="2057" t="e">
        <f t="shared" si="4"/>
        <v>#REF!</v>
      </c>
      <c r="Z16" s="2362" t="e">
        <f>+C16/X16</f>
        <v>#REF!</v>
      </c>
      <c r="AA16" s="2072"/>
      <c r="AB16" s="2203"/>
      <c r="AC16" s="2072"/>
    </row>
    <row r="17" spans="2:27" s="284" customFormat="1" ht="31.5" x14ac:dyDescent="0.25">
      <c r="B17" s="2366" t="s">
        <v>599</v>
      </c>
      <c r="C17" s="2330" t="e">
        <f>SUM(C14:C16)</f>
        <v>#REF!</v>
      </c>
      <c r="D17" s="2330" t="e">
        <f>SUM(D14:D16)</f>
        <v>#REF!</v>
      </c>
      <c r="E17" s="2330">
        <f>SUM(E14:E16)</f>
        <v>7947067.5545718595</v>
      </c>
      <c r="F17" s="2330">
        <f>SUM(F14:F16)</f>
        <v>6464297.9056664901</v>
      </c>
      <c r="G17" s="2330">
        <f>SUM(G14:G16)</f>
        <v>6464297.9056664892</v>
      </c>
      <c r="H17" s="2331" t="e">
        <f>SUM(C17/$C$77)</f>
        <v>#REF!</v>
      </c>
      <c r="I17" s="2332" t="e">
        <f t="shared" si="3"/>
        <v>#REF!</v>
      </c>
      <c r="J17" s="2332">
        <f t="shared" si="5"/>
        <v>0.81341927211222087</v>
      </c>
      <c r="K17" s="2333">
        <f>SUM(K14:K16)</f>
        <v>5803.2203195482898</v>
      </c>
      <c r="L17" s="2334" t="s">
        <v>572</v>
      </c>
      <c r="M17" s="2335">
        <f>SUM(M14:M16)</f>
        <v>491369.75588082487</v>
      </c>
      <c r="N17" s="2335">
        <f>SUM(N14:N16)</f>
        <v>9727090.7318426762</v>
      </c>
      <c r="O17" s="2335">
        <f>SUM(O14:O16)</f>
        <v>4933.2161521569578</v>
      </c>
      <c r="P17" s="2336" t="e">
        <f t="shared" si="6"/>
        <v>#REF!</v>
      </c>
      <c r="Q17" s="2339" t="e">
        <f>C17/N17</f>
        <v>#REF!</v>
      </c>
      <c r="R17" s="2339" t="e">
        <f t="shared" si="2"/>
        <v>#REF!</v>
      </c>
      <c r="S17" s="2335">
        <f>SUM(S14:S16)</f>
        <v>0</v>
      </c>
      <c r="T17" s="2335">
        <f>SUM(T14:T16)</f>
        <v>0</v>
      </c>
      <c r="U17" s="2335">
        <f>SUM(U14:U16)</f>
        <v>0</v>
      </c>
      <c r="V17" s="2335">
        <f>SUM(V14:V16)</f>
        <v>0</v>
      </c>
      <c r="W17" s="2333">
        <f t="shared" si="0"/>
        <v>50561.947880136882</v>
      </c>
      <c r="X17" s="2333">
        <f t="shared" si="1"/>
        <v>1000917.6363066114</v>
      </c>
      <c r="Y17" s="2336" t="e">
        <f t="shared" si="4"/>
        <v>#REF!</v>
      </c>
      <c r="Z17" s="2365" t="e">
        <f>+C17/X17</f>
        <v>#REF!</v>
      </c>
    </row>
    <row r="18" spans="2:27" s="284" customFormat="1" ht="15" x14ac:dyDescent="0.2">
      <c r="B18" s="2073" t="s">
        <v>609</v>
      </c>
      <c r="C18" s="2052" t="e">
        <f>'CNG Table A'!#REF!</f>
        <v>#REF!</v>
      </c>
      <c r="D18" s="2340"/>
      <c r="E18" s="2340">
        <v>0</v>
      </c>
      <c r="F18" s="2340">
        <v>101239.28383890328</v>
      </c>
      <c r="G18" s="2340">
        <v>177488.27879221336</v>
      </c>
      <c r="H18" s="1115" t="e">
        <f>SUM(C18/$C$75)</f>
        <v>#REF!</v>
      </c>
      <c r="I18" s="1922" t="e">
        <f>F18/C18</f>
        <v>#REF!</v>
      </c>
      <c r="J18" s="1922"/>
      <c r="K18" s="1923">
        <v>12500</v>
      </c>
      <c r="L18" s="1923" t="s">
        <v>242</v>
      </c>
      <c r="M18" s="1923">
        <v>42500</v>
      </c>
      <c r="N18" s="1923">
        <v>157250</v>
      </c>
      <c r="O18" s="1923">
        <v>0</v>
      </c>
      <c r="P18" s="2341" t="e">
        <f>$C$18/M18</f>
        <v>#REF!</v>
      </c>
      <c r="Q18" s="2341" t="e">
        <f>$C$18/N18</f>
        <v>#REF!</v>
      </c>
      <c r="R18" s="2341"/>
      <c r="S18" s="2342">
        <v>0</v>
      </c>
      <c r="T18" s="2342">
        <v>0</v>
      </c>
      <c r="U18" s="2342">
        <v>0</v>
      </c>
      <c r="V18" s="2342">
        <v>0</v>
      </c>
      <c r="W18" s="1923">
        <f t="shared" si="0"/>
        <v>4373.25</v>
      </c>
      <c r="X18" s="1923">
        <f t="shared" si="1"/>
        <v>16181.025</v>
      </c>
      <c r="Y18" s="1925" t="e">
        <f t="shared" si="4"/>
        <v>#REF!</v>
      </c>
      <c r="Z18" s="1989">
        <f>+E18/X18</f>
        <v>0</v>
      </c>
    </row>
    <row r="19" spans="2:27" s="2060" customFormat="1" ht="15" x14ac:dyDescent="0.2">
      <c r="B19" s="693" t="s">
        <v>530</v>
      </c>
      <c r="C19" s="2343" t="e">
        <f>'SCG Table A'!#REF!</f>
        <v>#REF!</v>
      </c>
      <c r="D19" s="2340"/>
      <c r="E19" s="2340">
        <v>0</v>
      </c>
      <c r="F19" s="2340">
        <v>101239.28383890328</v>
      </c>
      <c r="G19" s="2340">
        <v>177488.27879221336</v>
      </c>
      <c r="H19" s="1115" t="e">
        <f>SUM(C19/$C$75)</f>
        <v>#REF!</v>
      </c>
      <c r="I19" s="1922" t="e">
        <f>F19/C19</f>
        <v>#REF!</v>
      </c>
      <c r="J19" s="1922"/>
      <c r="K19" s="1923">
        <v>12500</v>
      </c>
      <c r="L19" s="1923" t="s">
        <v>242</v>
      </c>
      <c r="M19" s="1923">
        <v>42500</v>
      </c>
      <c r="N19" s="1923">
        <v>157250</v>
      </c>
      <c r="O19" s="1923">
        <v>0</v>
      </c>
      <c r="P19" s="2341" t="e">
        <f>C19/M19</f>
        <v>#REF!</v>
      </c>
      <c r="Q19" s="2341" t="e">
        <f>$C$18/N19</f>
        <v>#REF!</v>
      </c>
      <c r="R19" s="2341"/>
      <c r="S19" s="2342">
        <v>0</v>
      </c>
      <c r="T19" s="2342">
        <v>0</v>
      </c>
      <c r="U19" s="2342">
        <v>0</v>
      </c>
      <c r="V19" s="2342">
        <v>0</v>
      </c>
      <c r="W19" s="1923">
        <f t="shared" si="0"/>
        <v>4373.25</v>
      </c>
      <c r="X19" s="1923">
        <f t="shared" si="1"/>
        <v>16181.025</v>
      </c>
      <c r="Y19" s="1925" t="e">
        <f t="shared" si="4"/>
        <v>#REF!</v>
      </c>
      <c r="Z19" s="1989">
        <f>+E19/X19</f>
        <v>0</v>
      </c>
    </row>
    <row r="20" spans="2:27" s="284" customFormat="1" ht="15.75" x14ac:dyDescent="0.25">
      <c r="B20" s="2366" t="s">
        <v>610</v>
      </c>
      <c r="C20" s="2330" t="e">
        <f>SUM(C18:C19)</f>
        <v>#REF!</v>
      </c>
      <c r="D20" s="2330">
        <f>SUM(D18:D19)</f>
        <v>0</v>
      </c>
      <c r="E20" s="2330">
        <f>SUM(E18:E19)</f>
        <v>0</v>
      </c>
      <c r="F20" s="2330">
        <f>SUM(F18:F19)</f>
        <v>202478.56767780657</v>
      </c>
      <c r="G20" s="2330">
        <f>SUM(G18:G19)</f>
        <v>354976.55758442672</v>
      </c>
      <c r="H20" s="2331" t="e">
        <f>SUM(C20/$C$77)</f>
        <v>#REF!</v>
      </c>
      <c r="I20" s="2332"/>
      <c r="J20" s="2332"/>
      <c r="K20" s="2333">
        <f>SUM(K18:K19)</f>
        <v>25000</v>
      </c>
      <c r="L20" s="2334"/>
      <c r="M20" s="2335">
        <f>SUM(M18:M19)</f>
        <v>85000</v>
      </c>
      <c r="N20" s="2335">
        <f>SUM(N18:N19)</f>
        <v>314500</v>
      </c>
      <c r="O20" s="2335">
        <f>SUM(O18:O19)</f>
        <v>0</v>
      </c>
      <c r="P20" s="2336"/>
      <c r="Q20" s="2339"/>
      <c r="R20" s="2339"/>
      <c r="S20" s="2335">
        <f>SUM(S18:S19)</f>
        <v>0</v>
      </c>
      <c r="T20" s="2335">
        <f>SUM(T18:T19)</f>
        <v>0</v>
      </c>
      <c r="U20" s="2335">
        <f>SUM(U18:U19)</f>
        <v>0</v>
      </c>
      <c r="V20" s="2335">
        <f>SUM(V18:V19)</f>
        <v>0</v>
      </c>
      <c r="W20" s="2333">
        <f t="shared" si="0"/>
        <v>8746.5</v>
      </c>
      <c r="X20" s="2333">
        <f t="shared" si="1"/>
        <v>32362.05</v>
      </c>
      <c r="Y20" s="2336" t="e">
        <f t="shared" si="4"/>
        <v>#REF!</v>
      </c>
      <c r="Z20" s="2365" t="e">
        <f>+C20/X20</f>
        <v>#REF!</v>
      </c>
    </row>
    <row r="21" spans="2:27" s="2060" customFormat="1" ht="15.75" customHeight="1" x14ac:dyDescent="0.2">
      <c r="B21" s="2202" t="s">
        <v>170</v>
      </c>
      <c r="C21" s="2052" t="e">
        <f>'CNG Table A'!#REF!</f>
        <v>#REF!</v>
      </c>
      <c r="D21" s="2052" t="e">
        <f>E21-C21</f>
        <v>#REF!</v>
      </c>
      <c r="E21" s="331">
        <v>1146411</v>
      </c>
      <c r="F21" s="331">
        <v>1805368.1070852689</v>
      </c>
      <c r="G21" s="331">
        <v>1805368.1070852689</v>
      </c>
      <c r="H21" s="332" t="e">
        <f>SUM(C21/$C$75)</f>
        <v>#REF!</v>
      </c>
      <c r="I21" s="333" t="e">
        <f t="shared" si="3"/>
        <v>#REF!</v>
      </c>
      <c r="J21" s="333">
        <f t="shared" si="5"/>
        <v>1.5748000560752373</v>
      </c>
      <c r="K21" s="804">
        <v>443</v>
      </c>
      <c r="L21" s="2337" t="s">
        <v>241</v>
      </c>
      <c r="M21" s="804">
        <v>124267.77226036256</v>
      </c>
      <c r="N21" s="804">
        <v>2876577.8925753296</v>
      </c>
      <c r="O21" s="804">
        <v>1124.7476067285415</v>
      </c>
      <c r="P21" s="335" t="e">
        <f t="shared" si="6"/>
        <v>#REF!</v>
      </c>
      <c r="Q21" s="2329" t="e">
        <f>C21/N21</f>
        <v>#REF!</v>
      </c>
      <c r="R21" s="2329" t="e">
        <f t="shared" ref="R21:R28" si="7">C21/O21</f>
        <v>#REF!</v>
      </c>
      <c r="S21" s="2055"/>
      <c r="T21" s="2055"/>
      <c r="U21" s="2055"/>
      <c r="V21" s="2055"/>
      <c r="W21" s="2055">
        <f t="shared" si="0"/>
        <v>12787.153765591307</v>
      </c>
      <c r="X21" s="2055">
        <f t="shared" si="1"/>
        <v>295999.86514600139</v>
      </c>
      <c r="Y21" s="2057" t="e">
        <f t="shared" ref="Y21:Y28" si="8">+C21/W21</f>
        <v>#REF!</v>
      </c>
      <c r="Z21" s="2362" t="e">
        <f t="shared" ref="Z21:Z28" si="9">+C21/X21</f>
        <v>#REF!</v>
      </c>
    </row>
    <row r="22" spans="2:27" s="2060" customFormat="1" ht="15.75" customHeight="1" x14ac:dyDescent="0.2">
      <c r="B22" s="2202" t="s">
        <v>171</v>
      </c>
      <c r="C22" s="2052" t="e">
        <f>'SCG Table A'!#REF!</f>
        <v>#REF!</v>
      </c>
      <c r="D22" s="2052" t="e">
        <f>E22-C22</f>
        <v>#REF!</v>
      </c>
      <c r="E22" s="331">
        <v>1459590</v>
      </c>
      <c r="F22" s="331">
        <v>1118509.5433908661</v>
      </c>
      <c r="G22" s="331">
        <v>1118509.5433908661</v>
      </c>
      <c r="H22" s="332" t="e">
        <f>SUM(C22/$C$76)</f>
        <v>#REF!</v>
      </c>
      <c r="I22" s="333" t="e">
        <f t="shared" si="3"/>
        <v>#REF!</v>
      </c>
      <c r="J22" s="333">
        <f t="shared" si="5"/>
        <v>0.766317625765363</v>
      </c>
      <c r="K22" s="804">
        <v>353.10839116131007</v>
      </c>
      <c r="L22" s="2337" t="s">
        <v>241</v>
      </c>
      <c r="M22" s="804">
        <v>76888.887334292245</v>
      </c>
      <c r="N22" s="804">
        <v>1823190.5705633524</v>
      </c>
      <c r="O22" s="804">
        <v>739.73673301093288</v>
      </c>
      <c r="P22" s="335" t="e">
        <f t="shared" si="6"/>
        <v>#REF!</v>
      </c>
      <c r="Q22" s="2329" t="e">
        <f>C22/N22</f>
        <v>#REF!</v>
      </c>
      <c r="R22" s="2329" t="e">
        <f t="shared" si="7"/>
        <v>#REF!</v>
      </c>
      <c r="S22" s="2055"/>
      <c r="T22" s="2055"/>
      <c r="U22" s="2055"/>
      <c r="V22" s="2055"/>
      <c r="W22" s="2055">
        <f t="shared" si="0"/>
        <v>7911.8665066986723</v>
      </c>
      <c r="X22" s="2055">
        <f t="shared" si="1"/>
        <v>187606.30971096896</v>
      </c>
      <c r="Y22" s="2057" t="e">
        <f t="shared" si="8"/>
        <v>#REF!</v>
      </c>
      <c r="Z22" s="2362" t="e">
        <f t="shared" si="9"/>
        <v>#REF!</v>
      </c>
    </row>
    <row r="23" spans="2:27" ht="17.25" customHeight="1" x14ac:dyDescent="0.25">
      <c r="B23" s="2363" t="s">
        <v>204</v>
      </c>
      <c r="C23" s="2330" t="e">
        <f>SUM(C21:C22)</f>
        <v>#REF!</v>
      </c>
      <c r="D23" s="2330" t="e">
        <f>SUM(D21:D22)</f>
        <v>#REF!</v>
      </c>
      <c r="E23" s="2330">
        <f>SUM(E21:E22)</f>
        <v>2606001</v>
      </c>
      <c r="F23" s="2330">
        <f>SUM(F21:F22)</f>
        <v>2923877.6504761353</v>
      </c>
      <c r="G23" s="2330">
        <f>SUM(G21:G22)</f>
        <v>2923877.6504761353</v>
      </c>
      <c r="H23" s="2331" t="e">
        <f>SUM(C23/$C$77)</f>
        <v>#REF!</v>
      </c>
      <c r="I23" s="2332" t="e">
        <f t="shared" si="3"/>
        <v>#REF!</v>
      </c>
      <c r="J23" s="2332">
        <f t="shared" si="5"/>
        <v>1.1219787139284043</v>
      </c>
      <c r="K23" s="2333">
        <f>SUM(K21:K22)</f>
        <v>796.10839116131001</v>
      </c>
      <c r="L23" s="2334" t="s">
        <v>241</v>
      </c>
      <c r="M23" s="2335">
        <f>SUM(M21:M22)</f>
        <v>201156.6595946548</v>
      </c>
      <c r="N23" s="2335">
        <f>SUM(N21:N22)</f>
        <v>4699768.4631386818</v>
      </c>
      <c r="O23" s="2335">
        <f>SUM(O21:O22)</f>
        <v>1864.4843397394743</v>
      </c>
      <c r="P23" s="2336" t="e">
        <f t="shared" si="6"/>
        <v>#REF!</v>
      </c>
      <c r="Q23" s="2339" t="e">
        <f>C23/N23</f>
        <v>#REF!</v>
      </c>
      <c r="R23" s="2339" t="e">
        <f t="shared" si="7"/>
        <v>#REF!</v>
      </c>
      <c r="S23" s="2344">
        <f>SUM(S14:S22)</f>
        <v>0</v>
      </c>
      <c r="T23" s="2344">
        <f>SUM(T14:T22)</f>
        <v>0</v>
      </c>
      <c r="U23" s="2344">
        <f>SUM(U14:U22)</f>
        <v>0</v>
      </c>
      <c r="V23" s="2344">
        <f>SUM(V14:V22)</f>
        <v>0</v>
      </c>
      <c r="W23" s="2333">
        <f t="shared" si="0"/>
        <v>20699.020272289978</v>
      </c>
      <c r="X23" s="2333">
        <f t="shared" si="1"/>
        <v>483606.17485697032</v>
      </c>
      <c r="Y23" s="2345" t="e">
        <f t="shared" si="8"/>
        <v>#REF!</v>
      </c>
      <c r="Z23" s="2367" t="e">
        <f t="shared" si="9"/>
        <v>#REF!</v>
      </c>
    </row>
    <row r="24" spans="2:27" s="284" customFormat="1" ht="15.75" hidden="1" customHeight="1" x14ac:dyDescent="0.2">
      <c r="B24" s="330" t="s">
        <v>142</v>
      </c>
      <c r="C24" s="331"/>
      <c r="D24" s="331"/>
      <c r="E24" s="331"/>
      <c r="F24" s="331"/>
      <c r="G24" s="331"/>
      <c r="H24" s="332"/>
      <c r="I24" s="333"/>
      <c r="J24" s="333"/>
      <c r="K24" s="804"/>
      <c r="L24" s="2337"/>
      <c r="M24" s="804"/>
      <c r="N24" s="804"/>
      <c r="O24" s="804"/>
      <c r="P24" s="335"/>
      <c r="Q24" s="2338"/>
      <c r="R24" s="2338" t="e">
        <f t="shared" si="7"/>
        <v>#DIV/0!</v>
      </c>
      <c r="S24" s="2055"/>
      <c r="T24" s="2055"/>
      <c r="U24" s="2055"/>
      <c r="V24" s="2055"/>
      <c r="W24" s="804">
        <f t="shared" si="0"/>
        <v>0</v>
      </c>
      <c r="X24" s="804">
        <f t="shared" si="1"/>
        <v>0</v>
      </c>
      <c r="Y24" s="2078" t="s">
        <v>3</v>
      </c>
      <c r="Z24" s="2368" t="s">
        <v>3</v>
      </c>
    </row>
    <row r="25" spans="2:27" s="2060" customFormat="1" ht="15.75" hidden="1" customHeight="1" x14ac:dyDescent="0.2">
      <c r="B25" s="2202" t="s">
        <v>143</v>
      </c>
      <c r="C25" s="2052"/>
      <c r="D25" s="2052"/>
      <c r="E25" s="2052"/>
      <c r="F25" s="2052"/>
      <c r="G25" s="2052"/>
      <c r="H25" s="2053" t="e">
        <f>SUM(C25/$C$75)</f>
        <v>#REF!</v>
      </c>
      <c r="I25" s="2054" t="e">
        <f>F25/C25</f>
        <v>#DIV/0!</v>
      </c>
      <c r="J25" s="2054" t="e">
        <f>G25/E25</f>
        <v>#DIV/0!</v>
      </c>
      <c r="K25" s="2055"/>
      <c r="L25" s="2328" t="s">
        <v>242</v>
      </c>
      <c r="M25" s="2055"/>
      <c r="N25" s="2055"/>
      <c r="O25" s="2055"/>
      <c r="P25" s="2057" t="e">
        <f>C25/M25</f>
        <v>#DIV/0!</v>
      </c>
      <c r="Q25" s="2329" t="e">
        <f>C25/N25</f>
        <v>#DIV/0!</v>
      </c>
      <c r="R25" s="2329" t="e">
        <f t="shared" si="7"/>
        <v>#DIV/0!</v>
      </c>
      <c r="S25" s="2077"/>
      <c r="T25" s="2077"/>
      <c r="U25" s="2077"/>
      <c r="V25" s="2077"/>
      <c r="W25" s="2055">
        <f t="shared" si="0"/>
        <v>0</v>
      </c>
      <c r="X25" s="2055">
        <f t="shared" si="1"/>
        <v>0</v>
      </c>
      <c r="Y25" s="2078" t="e">
        <f t="shared" si="8"/>
        <v>#DIV/0!</v>
      </c>
      <c r="Z25" s="2368" t="e">
        <f t="shared" si="9"/>
        <v>#DIV/0!</v>
      </c>
    </row>
    <row r="26" spans="2:27" s="2060" customFormat="1" ht="15.75" hidden="1" customHeight="1" thickBot="1" x14ac:dyDescent="0.25">
      <c r="B26" s="2202" t="s">
        <v>144</v>
      </c>
      <c r="C26" s="2052" t="e">
        <f>'SCG Table A'!#REF!</f>
        <v>#REF!</v>
      </c>
      <c r="D26" s="2052" t="e">
        <f>E26-C26</f>
        <v>#REF!</v>
      </c>
      <c r="E26" s="2052"/>
      <c r="F26" s="2052"/>
      <c r="G26" s="2052"/>
      <c r="H26" s="2053" t="e">
        <f>SUM(C26/$C$76)</f>
        <v>#REF!</v>
      </c>
      <c r="I26" s="2054" t="e">
        <f>F26/C26</f>
        <v>#REF!</v>
      </c>
      <c r="J26" s="2054" t="e">
        <f>G26/E26</f>
        <v>#DIV/0!</v>
      </c>
      <c r="K26" s="2055"/>
      <c r="L26" s="2328" t="s">
        <v>242</v>
      </c>
      <c r="M26" s="2055"/>
      <c r="N26" s="2055"/>
      <c r="O26" s="2055"/>
      <c r="P26" s="2057" t="e">
        <f>C26/M26</f>
        <v>#REF!</v>
      </c>
      <c r="Q26" s="2329" t="e">
        <f>C26/N26</f>
        <v>#REF!</v>
      </c>
      <c r="R26" s="2329" t="e">
        <f t="shared" si="7"/>
        <v>#REF!</v>
      </c>
      <c r="S26" s="2077"/>
      <c r="T26" s="2077"/>
      <c r="U26" s="2077"/>
      <c r="V26" s="2077"/>
      <c r="W26" s="2055">
        <f t="shared" si="0"/>
        <v>0</v>
      </c>
      <c r="X26" s="2055">
        <f t="shared" si="1"/>
        <v>0</v>
      </c>
      <c r="Y26" s="2078" t="e">
        <f t="shared" si="8"/>
        <v>#REF!</v>
      </c>
      <c r="Z26" s="2368" t="e">
        <f t="shared" si="9"/>
        <v>#REF!</v>
      </c>
    </row>
    <row r="27" spans="2:27" ht="17.25" hidden="1" customHeight="1" thickBot="1" x14ac:dyDescent="0.3">
      <c r="B27" s="2363" t="s">
        <v>145</v>
      </c>
      <c r="C27" s="2330" t="e">
        <f>SUM(C24:C26)</f>
        <v>#REF!</v>
      </c>
      <c r="D27" s="2330" t="e">
        <f>SUM(D24:D26)</f>
        <v>#REF!</v>
      </c>
      <c r="E27" s="2330">
        <f>SUM(E24:E26)</f>
        <v>0</v>
      </c>
      <c r="F27" s="2330">
        <f>SUM(F24:F26)</f>
        <v>0</v>
      </c>
      <c r="G27" s="2330">
        <f>SUM(G24:G26)</f>
        <v>0</v>
      </c>
      <c r="H27" s="2331" t="e">
        <f>SUM(C27/$C$77)</f>
        <v>#REF!</v>
      </c>
      <c r="I27" s="2332" t="e">
        <f>F27/C27</f>
        <v>#REF!</v>
      </c>
      <c r="J27" s="2332" t="e">
        <f>G27/E27</f>
        <v>#DIV/0!</v>
      </c>
      <c r="K27" s="2333">
        <f>SUM(K24:K26)</f>
        <v>0</v>
      </c>
      <c r="L27" s="2346" t="s">
        <v>242</v>
      </c>
      <c r="M27" s="2335">
        <f>SUM(M24:M26)</f>
        <v>0</v>
      </c>
      <c r="N27" s="2335">
        <f>SUM(N24:N26)</f>
        <v>0</v>
      </c>
      <c r="O27" s="2335">
        <f>SUM(O24:O26)</f>
        <v>0</v>
      </c>
      <c r="P27" s="2336" t="e">
        <f>C27/M27</f>
        <v>#REF!</v>
      </c>
      <c r="Q27" s="2339" t="e">
        <f>C27/N27</f>
        <v>#REF!</v>
      </c>
      <c r="R27" s="2339" t="e">
        <f t="shared" si="7"/>
        <v>#REF!</v>
      </c>
      <c r="S27" s="2335">
        <f>SUM(S24:S26)</f>
        <v>0</v>
      </c>
      <c r="T27" s="2335">
        <f>SUM(T24:T26)</f>
        <v>0</v>
      </c>
      <c r="U27" s="2335">
        <f>SUM(U24:U26)</f>
        <v>0</v>
      </c>
      <c r="V27" s="2335">
        <f>SUM(V24:V26)</f>
        <v>0</v>
      </c>
      <c r="W27" s="2333">
        <f t="shared" si="0"/>
        <v>0</v>
      </c>
      <c r="X27" s="2333">
        <f t="shared" si="1"/>
        <v>0</v>
      </c>
      <c r="Y27" s="2336" t="e">
        <f t="shared" si="8"/>
        <v>#REF!</v>
      </c>
      <c r="Z27" s="2365" t="e">
        <f t="shared" si="9"/>
        <v>#REF!</v>
      </c>
    </row>
    <row r="28" spans="2:27" ht="32.25" thickBot="1" x14ac:dyDescent="0.3">
      <c r="B28" s="2369" t="s">
        <v>88</v>
      </c>
      <c r="C28" s="2370" t="e">
        <f>C9+C13+C17+C20+C23</f>
        <v>#REF!</v>
      </c>
      <c r="D28" s="2370" t="e">
        <f>D9+D13+D17+D20+D23</f>
        <v>#REF!</v>
      </c>
      <c r="E28" s="2370" t="e">
        <f>E9+E13+E17+E20+E23</f>
        <v>#REF!</v>
      </c>
      <c r="F28" s="2370">
        <f>F9+F13+F17+F20+F23</f>
        <v>25033882.229700774</v>
      </c>
      <c r="G28" s="2370">
        <f>G9+G13+G17+G20+G23</f>
        <v>25742073.912136037</v>
      </c>
      <c r="H28" s="2371" t="e">
        <f>SUM(C28/C77)</f>
        <v>#REF!</v>
      </c>
      <c r="I28" s="2372" t="e">
        <f>F28/C28</f>
        <v>#REF!</v>
      </c>
      <c r="J28" s="2372" t="e">
        <f>G28/E28</f>
        <v>#REF!</v>
      </c>
      <c r="K28" s="2373">
        <f>K9+K13+K17+K20+K23</f>
        <v>45802.694696911472</v>
      </c>
      <c r="L28" s="2374" t="s">
        <v>462</v>
      </c>
      <c r="M28" s="2375">
        <f>M9+M13+M17+M20+M23</f>
        <v>1979076.170400202</v>
      </c>
      <c r="N28" s="2375">
        <f>N9+N13+N17+N20+N23</f>
        <v>38055406.644979618</v>
      </c>
      <c r="O28" s="2375">
        <f>O9+O13+O17+O20+O23</f>
        <v>26222.744623799481</v>
      </c>
      <c r="P28" s="2376" t="e">
        <f>C28/M28</f>
        <v>#REF!</v>
      </c>
      <c r="Q28" s="2376" t="e">
        <f>C28/N28</f>
        <v>#REF!</v>
      </c>
      <c r="R28" s="2376" t="e">
        <f t="shared" si="7"/>
        <v>#REF!</v>
      </c>
      <c r="S28" s="2375" t="e">
        <f t="shared" ref="S28:X28" si="10">S9+S13+S17+S20+S23</f>
        <v>#REF!</v>
      </c>
      <c r="T28" s="2375" t="e">
        <f t="shared" si="10"/>
        <v>#REF!</v>
      </c>
      <c r="U28" s="2375">
        <f t="shared" si="10"/>
        <v>0</v>
      </c>
      <c r="V28" s="2375">
        <f t="shared" si="10"/>
        <v>0</v>
      </c>
      <c r="W28" s="2375" t="e">
        <f t="shared" si="10"/>
        <v>#REF!</v>
      </c>
      <c r="X28" s="2375" t="e">
        <f t="shared" si="10"/>
        <v>#REF!</v>
      </c>
      <c r="Y28" s="2376" t="e">
        <f t="shared" si="8"/>
        <v>#REF!</v>
      </c>
      <c r="Z28" s="2377" t="e">
        <f t="shared" si="9"/>
        <v>#REF!</v>
      </c>
    </row>
    <row r="29" spans="2:27" ht="15.75" customHeight="1" x14ac:dyDescent="0.25">
      <c r="B29" s="2322"/>
      <c r="C29" s="2323"/>
      <c r="D29" s="2323"/>
      <c r="E29" s="2323"/>
      <c r="F29" s="2323"/>
      <c r="G29" s="2323"/>
      <c r="H29" s="2324"/>
      <c r="I29" s="2325"/>
      <c r="J29" s="2325"/>
      <c r="K29" s="806"/>
      <c r="L29" s="2326"/>
      <c r="M29" s="2327"/>
      <c r="N29" s="2327"/>
      <c r="O29" s="2327"/>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336"/>
      <c r="W31" s="2146" t="s">
        <v>3</v>
      </c>
      <c r="X31" s="2146" t="s">
        <v>3</v>
      </c>
      <c r="Y31" s="341" t="s">
        <v>3</v>
      </c>
      <c r="Z31" s="336" t="s">
        <v>3</v>
      </c>
    </row>
    <row r="32" spans="2:27" s="284" customFormat="1" ht="15" x14ac:dyDescent="0.2">
      <c r="B32" s="399" t="s">
        <v>125</v>
      </c>
      <c r="C32" s="351" t="e">
        <f>'CNG Table A'!#REF!</f>
        <v>#REF!</v>
      </c>
      <c r="D32" s="1108" t="e">
        <f>E32-C32</f>
        <v>#REF!</v>
      </c>
      <c r="E32" s="351">
        <f>'10.1.15 2016 Summary Table B'!E32*('CNG Table C 2016'!$F$21/'10.1.15 CNG Table C 2016'!$F$21)</f>
        <v>8386667.0246678181</v>
      </c>
      <c r="F32" s="1108">
        <f>'10.1.15 2016 Summary Table B'!F32*('CNG Table C 2016'!$F$21/'10.1.15 CNG Table C 2016'!$F$21)</f>
        <v>5182366.8514234871</v>
      </c>
      <c r="G32" s="351">
        <f>'10.1.15 2016 Summary Table B'!G32*('CNG Table C 2016'!$F$21/'10.1.15 CNG Table C 2016'!$F$21)</f>
        <v>5182366.8514234871</v>
      </c>
      <c r="H32" s="401" t="e">
        <f>SUM(C32/$C$75)</f>
        <v>#REF!</v>
      </c>
      <c r="I32" s="2137" t="e">
        <f>F32/C32</f>
        <v>#REF!</v>
      </c>
      <c r="J32" s="2137">
        <f>G32/E32</f>
        <v>0.61792924843451169</v>
      </c>
      <c r="K32" s="2121">
        <f>'10.1.15 2016 Summary Table B'!K32*('CNG Table C 2016'!$F$21/'10.1.15 CNG Table C 2016'!$F$21)</f>
        <v>266.72823723636435</v>
      </c>
      <c r="L32" s="354" t="s">
        <v>244</v>
      </c>
      <c r="M32" s="2121">
        <f>'10.1.15 2016 Summary Table B'!M32*('CNG Table C 2016'!$F$21/'10.1.15 CNG Table C 2016'!$F$21)</f>
        <v>466061.33248177893</v>
      </c>
      <c r="N32" s="2121">
        <f>'10.1.15 2016 Summary Table B'!N32*('CNG Table C 2016'!$F$21/'10.1.15 CNG Table C 2016'!$F$21)</f>
        <v>7508165.4789902028</v>
      </c>
      <c r="O32" s="2121">
        <f>'10.1.15 2016 Summary Table B'!O32*('CNG Table C 2016'!$F$21/'10.1.15 CNG Table C 2016'!$F$21)</f>
        <v>4569.4114748600714</v>
      </c>
      <c r="P32" s="2120" t="e">
        <f>C32/M32</f>
        <v>#REF!</v>
      </c>
      <c r="Q32" s="2378" t="e">
        <f>C32/N32</f>
        <v>#REF!</v>
      </c>
      <c r="R32" s="2378" t="e">
        <f>C32/O32</f>
        <v>#REF!</v>
      </c>
      <c r="S32" s="2121"/>
      <c r="T32" s="2121"/>
      <c r="U32" s="2121"/>
      <c r="V32" s="2121"/>
      <c r="W32" s="2121">
        <f t="shared" ref="W32:X34" si="11">+(M32*102900+S32*138690+U32*91330)/10^6</f>
        <v>47957.711112375051</v>
      </c>
      <c r="X32" s="2121">
        <f t="shared" si="11"/>
        <v>772590.22778809187</v>
      </c>
      <c r="Y32" s="2120" t="e">
        <f>+C32/W32</f>
        <v>#REF!</v>
      </c>
      <c r="Z32" s="356" t="e">
        <f>+C32/X32</f>
        <v>#REF!</v>
      </c>
    </row>
    <row r="33" spans="2:30" s="284" customFormat="1" ht="15" x14ac:dyDescent="0.2">
      <c r="B33" s="381" t="s">
        <v>126</v>
      </c>
      <c r="C33" s="331" t="e">
        <f>'SCG Table A'!#REF!</f>
        <v>#REF!</v>
      </c>
      <c r="D33" s="874" t="e">
        <f>E33-C33</f>
        <v>#REF!</v>
      </c>
      <c r="E33" s="331">
        <f>'10.1.15 2016 Summary Table B'!E33*('SCG Table C 2016'!$F$21/'10.1.15 SCG Table C 2016'!$F$21)</f>
        <v>3483984.3692066618</v>
      </c>
      <c r="F33" s="874">
        <f>'10.1.15 2016 Summary Table B'!F33*('SCG Table C 2016'!$F$21/'10.1.15 SCG Table C 2016'!$F$21)</f>
        <v>2012950.2013244631</v>
      </c>
      <c r="G33" s="331">
        <f>'10.1.15 2016 Summary Table B'!G33*('SCG Table C 2016'!$F$21/'10.1.15 SCG Table C 2016'!$F$21)</f>
        <v>2012950.2013244627</v>
      </c>
      <c r="H33" s="332" t="e">
        <f>SUM(C33/$C$76)</f>
        <v>#REF!</v>
      </c>
      <c r="I33" s="333" t="e">
        <f>F33/C33</f>
        <v>#REF!</v>
      </c>
      <c r="J33" s="333">
        <f>G33/E33</f>
        <v>0.57777245475496541</v>
      </c>
      <c r="K33" s="804">
        <f>'10.1.15 2016 Summary Table B'!K33*('SCG Table C 2016'!$F$21/'10.1.15 SCG Table C 2016'!$F$21)</f>
        <v>84.816200340729267</v>
      </c>
      <c r="L33" s="2337" t="s">
        <v>244</v>
      </c>
      <c r="M33" s="804">
        <f>'10.1.15 2016 Summary Table B'!M33*('SCG Table C 2016'!$F$21/'10.1.15 SCG Table C 2016'!$F$21)</f>
        <v>181028.91592690937</v>
      </c>
      <c r="N33" s="804">
        <f>'10.1.15 2016 Summary Table B'!N33*('SCG Table C 2016'!$F$21/'10.1.15 SCG Table C 2016'!$F$21)</f>
        <v>2916343.7567835124</v>
      </c>
      <c r="O33" s="804">
        <f>'10.1.15 2016 Summary Table B'!O33*('SCG Table C 2016'!$F$21/'10.1.15 SCG Table C 2016'!$F$21)</f>
        <v>1936.2155650897892</v>
      </c>
      <c r="P33" s="335" t="e">
        <f>C33/M33</f>
        <v>#REF!</v>
      </c>
      <c r="Q33" s="2338" t="e">
        <f>C33/N33</f>
        <v>#REF!</v>
      </c>
      <c r="R33" s="2338" t="e">
        <f>C33/O33</f>
        <v>#REF!</v>
      </c>
      <c r="S33" s="804"/>
      <c r="T33" s="804"/>
      <c r="U33" s="804"/>
      <c r="V33" s="804"/>
      <c r="W33" s="804">
        <f t="shared" si="11"/>
        <v>18627.875448878975</v>
      </c>
      <c r="X33" s="804">
        <f t="shared" si="11"/>
        <v>300091.77257302345</v>
      </c>
      <c r="Y33" s="335" t="e">
        <f>+C33/W33</f>
        <v>#REF!</v>
      </c>
      <c r="Z33" s="358" t="e">
        <f>+C33/X33</f>
        <v>#REF!</v>
      </c>
    </row>
    <row r="34" spans="2:30" ht="17.25" customHeight="1" thickBot="1" x14ac:dyDescent="0.3">
      <c r="B34" s="2369" t="s">
        <v>137</v>
      </c>
      <c r="C34" s="2379" t="e">
        <f>SUM(C31:C33)</f>
        <v>#REF!</v>
      </c>
      <c r="D34" s="2379" t="e">
        <f>SUM(D31:D33)</f>
        <v>#REF!</v>
      </c>
      <c r="E34" s="2379">
        <f>SUM(E31:E33)</f>
        <v>11870651.393874479</v>
      </c>
      <c r="F34" s="2379">
        <f>SUM(F31:F33)</f>
        <v>7195317.05274795</v>
      </c>
      <c r="G34" s="2379">
        <f>SUM(G31:G33)</f>
        <v>7195317.05274795</v>
      </c>
      <c r="H34" s="2380" t="e">
        <f>SUM(C34/$C$77)</f>
        <v>#REF!</v>
      </c>
      <c r="I34" s="2372" t="e">
        <f>F34/C34</f>
        <v>#REF!</v>
      </c>
      <c r="J34" s="2372">
        <f>G34/E34</f>
        <v>0.60614340477228523</v>
      </c>
      <c r="K34" s="2381">
        <f>+K31+K32+K33</f>
        <v>351.54443757709362</v>
      </c>
      <c r="L34" s="2379" t="s">
        <v>244</v>
      </c>
      <c r="M34" s="2375">
        <f>SUM(M31:M33)</f>
        <v>647090.24840868823</v>
      </c>
      <c r="N34" s="2375">
        <f>SUM(N31:N33)</f>
        <v>10424509.235773716</v>
      </c>
      <c r="O34" s="2375">
        <f>SUM(O31:O33)</f>
        <v>6505.6270399498608</v>
      </c>
      <c r="P34" s="2382" t="e">
        <f>C34/M34</f>
        <v>#REF!</v>
      </c>
      <c r="Q34" s="2376" t="e">
        <f>C34/N34</f>
        <v>#REF!</v>
      </c>
      <c r="R34" s="2376" t="e">
        <f>C34/O34</f>
        <v>#REF!</v>
      </c>
      <c r="S34" s="2375">
        <f>SUM(S31:S33)</f>
        <v>0</v>
      </c>
      <c r="T34" s="2375">
        <f>SUM(T31:T33)</f>
        <v>0</v>
      </c>
      <c r="U34" s="2375">
        <f>SUM(U31:U33)</f>
        <v>0</v>
      </c>
      <c r="V34" s="2375">
        <f>SUM(V31:V33)</f>
        <v>0</v>
      </c>
      <c r="W34" s="2381">
        <f t="shared" si="11"/>
        <v>66585.586561254022</v>
      </c>
      <c r="X34" s="2381">
        <f t="shared" si="11"/>
        <v>1072682.0003611154</v>
      </c>
      <c r="Y34" s="2382" t="e">
        <f>+C34/W34</f>
        <v>#REF!</v>
      </c>
      <c r="Z34" s="2377" t="e">
        <f>+C34/X34</f>
        <v>#REF!</v>
      </c>
    </row>
    <row r="35" spans="2:30" ht="15.75" customHeight="1" thickBot="1" x14ac:dyDescent="0.3">
      <c r="B35" s="2158" t="s">
        <v>132</v>
      </c>
      <c r="C35" s="2159"/>
      <c r="D35" s="2159"/>
      <c r="E35" s="2159"/>
      <c r="F35" s="2159"/>
      <c r="G35" s="2159"/>
      <c r="H35" s="2159"/>
      <c r="I35" s="2159"/>
      <c r="J35" s="2159"/>
      <c r="K35" s="2159"/>
      <c r="L35" s="2159"/>
      <c r="M35" s="2159"/>
      <c r="N35" s="2159"/>
      <c r="O35" s="2159"/>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t="e">
        <f>'CNG Table A'!#REF!</f>
        <v>#REF!</v>
      </c>
      <c r="D37" s="1108" t="e">
        <f>E37-C37</f>
        <v>#REF!</v>
      </c>
      <c r="E37" s="351">
        <f>'10.1.15 2016 Summary Table B'!E37*('CNG Table C 2016'!$F$25/'10.1.15 CNG Table C 2016'!$F$25)</f>
        <v>4788066.4240841027</v>
      </c>
      <c r="F37" s="351">
        <f>'10.1.15 2016 Summary Table B'!F37*('CNG Table C 2016'!$F$25/'10.1.15 CNG Table C 2016'!$F$25)</f>
        <v>4856607.4929287061</v>
      </c>
      <c r="G37" s="351">
        <f>'10.1.15 2016 Summary Table B'!G37*('CNG Table C 2016'!$F$25/'10.1.15 CNG Table C 2016'!$F$25)</f>
        <v>4856607.4929287061</v>
      </c>
      <c r="H37" s="401" t="e">
        <f>SUM(C37/$C$75)</f>
        <v>#REF!</v>
      </c>
      <c r="I37" s="2137" t="e">
        <f>F37/C37</f>
        <v>#REF!</v>
      </c>
      <c r="J37" s="2137">
        <f>G37/E37</f>
        <v>1.0143149786936623</v>
      </c>
      <c r="K37" s="2121">
        <f>'10.1.15 2016 Summary Table B'!K37*('CNG Table C 2016'!$F$25/'10.1.15 CNG Table C 2016'!$F$25)</f>
        <v>61.544399201296244</v>
      </c>
      <c r="L37" s="354" t="s">
        <v>244</v>
      </c>
      <c r="M37" s="2121">
        <f>'10.1.15 2016 Summary Table B'!M37*('CNG Table C 2016'!$F$25/'10.1.15 CNG Table C 2016'!$F$25)</f>
        <v>594224.70237599814</v>
      </c>
      <c r="N37" s="2121">
        <f>'10.1.15 2016 Summary Table B'!N37*('CNG Table C 2016'!$F$25/'10.1.15 CNG Table C 2016'!$F$25)</f>
        <v>6514177.144002378</v>
      </c>
      <c r="O37" s="2121">
        <f>'10.1.15 2016 Summary Table B'!O37*('CNG Table C 2016'!$F$25/'10.1.15 CNG Table C 2016'!$F$25)</f>
        <v>3618.0268985651142</v>
      </c>
      <c r="P37" s="2120" t="e">
        <f>C37/M37</f>
        <v>#REF!</v>
      </c>
      <c r="Q37" s="2378" t="e">
        <f>C37/N37</f>
        <v>#REF!</v>
      </c>
      <c r="R37" s="2378" t="e">
        <f t="shared" ref="R37:R48" si="12">C37/O37</f>
        <v>#REF!</v>
      </c>
      <c r="S37" s="2121"/>
      <c r="T37" s="2121"/>
      <c r="U37" s="2121"/>
      <c r="V37" s="2121"/>
      <c r="W37" s="2121">
        <f t="shared" ref="W37:W47" si="13">+(M37*102900+S37*138690+U37*91330)/10^6</f>
        <v>61145.721874490213</v>
      </c>
      <c r="X37" s="2121">
        <f t="shared" ref="X37:X47" si="14">+(N37*102900+T37*138690+V37*91330)/10^6</f>
        <v>670308.82811784477</v>
      </c>
      <c r="Y37" s="2120" t="e">
        <f>+C37/W37</f>
        <v>#REF!</v>
      </c>
      <c r="Z37" s="356" t="e">
        <f>+C37/X37</f>
        <v>#REF!</v>
      </c>
      <c r="AA37" s="295"/>
    </row>
    <row r="38" spans="2:30" s="284" customFormat="1" ht="15.75" customHeight="1" x14ac:dyDescent="0.2">
      <c r="B38" s="330" t="s">
        <v>130</v>
      </c>
      <c r="C38" s="331" t="e">
        <f>'SCG Table A'!#REF!</f>
        <v>#REF!</v>
      </c>
      <c r="D38" s="874" t="e">
        <f>E38-C38</f>
        <v>#REF!</v>
      </c>
      <c r="E38" s="331">
        <f>'10.1.15 2016 Summary Table B'!E38*('SCG Table C 2016'!$F$25/'10.1.15 SCG Table C 2016'!$F$25)</f>
        <v>1708539.7113491383</v>
      </c>
      <c r="F38" s="331">
        <f>'10.1.15 2016 Summary Table B'!F38*('SCG Table C 2016'!$F$25/'10.1.15 SCG Table C 2016'!$F$25)</f>
        <v>1745767.774229602</v>
      </c>
      <c r="G38" s="331">
        <f>'10.1.15 2016 Summary Table B'!G38*('SCG Table C 2016'!$F$25/'10.1.15 SCG Table C 2016'!$F$25)</f>
        <v>1745767.774229602</v>
      </c>
      <c r="H38" s="332" t="e">
        <f>SUM(C38/$C$76)</f>
        <v>#REF!</v>
      </c>
      <c r="I38" s="333" t="e">
        <f>F38/C38</f>
        <v>#REF!</v>
      </c>
      <c r="J38" s="333">
        <f>G38/E38</f>
        <v>1.0217894045032565</v>
      </c>
      <c r="K38" s="804">
        <f>'10.1.15 2016 Summary Table B'!K38*('SCG Table C 2016'!$F$25/'10.1.15 SCG Table C 2016'!$F$25)</f>
        <v>22.122897303597739</v>
      </c>
      <c r="L38" s="2337" t="s">
        <v>244</v>
      </c>
      <c r="M38" s="804">
        <f>'10.1.15 2016 Summary Table B'!M38*('SCG Table C 2016'!$F$25/'10.1.15 SCG Table C 2016'!$F$25)</f>
        <v>213601.43630499949</v>
      </c>
      <c r="N38" s="804">
        <f>'10.1.15 2016 Summary Table B'!N38*('SCG Table C 2016'!$F$25/'10.1.15 SCG Table C 2016'!$F$25)</f>
        <v>2341601.7354049161</v>
      </c>
      <c r="O38" s="804">
        <f>'10.1.15 2016 Summary Table B'!O38*('SCG Table C 2016'!$F$25/'10.1.15 SCG Table C 2016'!$F$25)</f>
        <v>1300.545419944877</v>
      </c>
      <c r="P38" s="335" t="e">
        <f>C38/M38</f>
        <v>#REF!</v>
      </c>
      <c r="Q38" s="2338" t="e">
        <f>C38/N38</f>
        <v>#REF!</v>
      </c>
      <c r="R38" s="2338" t="e">
        <f t="shared" si="12"/>
        <v>#REF!</v>
      </c>
      <c r="S38" s="804"/>
      <c r="T38" s="804"/>
      <c r="U38" s="804"/>
      <c r="V38" s="804"/>
      <c r="W38" s="804">
        <f t="shared" si="13"/>
        <v>21979.587795784446</v>
      </c>
      <c r="X38" s="804">
        <f t="shared" si="14"/>
        <v>240950.81857316586</v>
      </c>
      <c r="Y38" s="335" t="e">
        <f>+C38/W38</f>
        <v>#REF!</v>
      </c>
      <c r="Z38" s="358" t="e">
        <f>+C38/X38</f>
        <v>#REF!</v>
      </c>
      <c r="AA38" s="295"/>
    </row>
    <row r="39" spans="2:30" ht="18" customHeight="1" x14ac:dyDescent="0.25">
      <c r="B39" s="2366" t="s">
        <v>617</v>
      </c>
      <c r="C39" s="2330" t="e">
        <f>SUM(C36:C38)</f>
        <v>#REF!</v>
      </c>
      <c r="D39" s="2330" t="e">
        <f>SUM(D36:D38)</f>
        <v>#REF!</v>
      </c>
      <c r="E39" s="2330">
        <f>SUM(E36:E38)</f>
        <v>6496606.1354332408</v>
      </c>
      <c r="F39" s="2330">
        <f>SUM(F36:F38)</f>
        <v>6602375.2671583081</v>
      </c>
      <c r="G39" s="2330">
        <f>SUM(G36:G38)</f>
        <v>6602375.2671583081</v>
      </c>
      <c r="H39" s="2331" t="e">
        <f>SUM(C39/$C$77)</f>
        <v>#REF!</v>
      </c>
      <c r="I39" s="2332" t="e">
        <f>F39/C39</f>
        <v>#REF!</v>
      </c>
      <c r="J39" s="2332">
        <f>G39/E39</f>
        <v>1.0162806747892859</v>
      </c>
      <c r="K39" s="2333">
        <f>+K36+K37+K38</f>
        <v>83.667296504893983</v>
      </c>
      <c r="L39" s="2330" t="s">
        <v>244</v>
      </c>
      <c r="M39" s="2335">
        <f>SUM(M36:M38)</f>
        <v>807826.13868099765</v>
      </c>
      <c r="N39" s="2335">
        <f>SUM(N36:N38)</f>
        <v>8855778.8794072941</v>
      </c>
      <c r="O39" s="2335">
        <f>SUM(O36:O38)</f>
        <v>4918.5723185099914</v>
      </c>
      <c r="P39" s="2336" t="e">
        <f>C39/M39</f>
        <v>#REF!</v>
      </c>
      <c r="Q39" s="2339" t="e">
        <f>C39/N39</f>
        <v>#REF!</v>
      </c>
      <c r="R39" s="2339" t="e">
        <f t="shared" si="12"/>
        <v>#REF!</v>
      </c>
      <c r="S39" s="2335">
        <f>SUM(S36:S38)</f>
        <v>0</v>
      </c>
      <c r="T39" s="2335">
        <f>SUM(T36:T38)</f>
        <v>0</v>
      </c>
      <c r="U39" s="2335">
        <f>SUM(U36:U38)</f>
        <v>0</v>
      </c>
      <c r="V39" s="2335">
        <f>SUM(V36:V38)</f>
        <v>0</v>
      </c>
      <c r="W39" s="2333">
        <f t="shared" si="13"/>
        <v>83125.309670274655</v>
      </c>
      <c r="X39" s="2333">
        <f t="shared" si="14"/>
        <v>911259.64669101057</v>
      </c>
      <c r="Y39" s="2336" t="e">
        <f>+C39/W39</f>
        <v>#REF!</v>
      </c>
      <c r="Z39" s="2365" t="e">
        <f>+C39/X39</f>
        <v>#REF!</v>
      </c>
    </row>
    <row r="40" spans="2:30" s="284" customFormat="1" ht="15.75" hidden="1" customHeight="1" x14ac:dyDescent="0.2">
      <c r="B40" s="330" t="s">
        <v>133</v>
      </c>
      <c r="C40" s="331"/>
      <c r="D40" s="331"/>
      <c r="E40" s="331"/>
      <c r="F40" s="331"/>
      <c r="G40" s="331"/>
      <c r="H40" s="332"/>
      <c r="I40" s="333"/>
      <c r="J40" s="333"/>
      <c r="K40" s="804"/>
      <c r="L40" s="2337"/>
      <c r="M40" s="804"/>
      <c r="N40" s="804"/>
      <c r="O40" s="804"/>
      <c r="P40" s="335"/>
      <c r="Q40" s="2338"/>
      <c r="R40" s="2338" t="e">
        <f t="shared" si="12"/>
        <v>#DIV/0!</v>
      </c>
      <c r="S40" s="2337"/>
      <c r="T40" s="2337"/>
      <c r="U40" s="2337"/>
      <c r="V40" s="2337"/>
      <c r="W40" s="804">
        <f t="shared" si="13"/>
        <v>0</v>
      </c>
      <c r="X40" s="804">
        <f t="shared" si="14"/>
        <v>0</v>
      </c>
      <c r="Y40" s="335" t="s">
        <v>3</v>
      </c>
      <c r="Z40" s="358" t="s">
        <v>3</v>
      </c>
    </row>
    <row r="41" spans="2:30" s="284" customFormat="1" ht="15.75" customHeight="1" x14ac:dyDescent="0.2">
      <c r="B41" s="615" t="s">
        <v>582</v>
      </c>
      <c r="C41" s="331" t="e">
        <f>'CNG Table A'!#REF!</f>
        <v>#REF!</v>
      </c>
      <c r="D41" s="874" t="e">
        <f>E41-C41</f>
        <v>#REF!</v>
      </c>
      <c r="E41" s="331">
        <f>'10.1.15 2016 Summary Table B'!E41*('CNG Table C 2016'!$F$26/'10.1.15 CNG Table C 2016'!$F$26)</f>
        <v>1900326.069450265</v>
      </c>
      <c r="F41" s="331">
        <f>'10.1.15 2016 Summary Table B'!F41*('CNG Table C 2016'!$F$26/'10.1.15 CNG Table C 2016'!$F$26)</f>
        <v>2661794.5373020591</v>
      </c>
      <c r="G41" s="331">
        <f>'10.1.15 2016 Summary Table B'!G41*('CNG Table C 2016'!$F$26/'10.1.15 CNG Table C 2016'!$F$26)</f>
        <v>2661794.5373020591</v>
      </c>
      <c r="H41" s="332" t="e">
        <f>SUM(C41/$C$75)</f>
        <v>#REF!</v>
      </c>
      <c r="I41" s="333" t="e">
        <f>F41/C41</f>
        <v>#REF!</v>
      </c>
      <c r="J41" s="333">
        <f>G41/E41</f>
        <v>1.4007041107803542</v>
      </c>
      <c r="K41" s="804">
        <f>'10.1.15 2016 Summary Table B'!K41*('CNG Table C 2016'!$F$26/'10.1.15 CNG Table C 2016'!$F$26)</f>
        <v>105.01736251596401</v>
      </c>
      <c r="L41" s="804" t="s">
        <v>244</v>
      </c>
      <c r="M41" s="804">
        <f>'10.1.15 2016 Summary Table B'!M41*('CNG Table C 2016'!$F$26/'10.1.15 CNG Table C 2016'!$F$26)</f>
        <v>529325.86992298567</v>
      </c>
      <c r="N41" s="804">
        <f>'10.1.15 2016 Summary Table B'!N41*('CNG Table C 2016'!$F$26/'10.1.15 CNG Table C 2016'!$F$26)</f>
        <v>2708622.0963730463</v>
      </c>
      <c r="O41" s="804">
        <f>'10.1.15 2016 Summary Table B'!O41*('CNG Table C 2016'!$F$26/'10.1.15 CNG Table C 2016'!$F$26)</f>
        <v>3778.6297206869012</v>
      </c>
      <c r="P41" s="335" t="e">
        <f>C41/M41</f>
        <v>#REF!</v>
      </c>
      <c r="Q41" s="2338" t="e">
        <f>C41/N41</f>
        <v>#REF!</v>
      </c>
      <c r="R41" s="2338" t="e">
        <f t="shared" si="12"/>
        <v>#REF!</v>
      </c>
      <c r="S41" s="804"/>
      <c r="T41" s="804"/>
      <c r="U41" s="804"/>
      <c r="V41" s="804"/>
      <c r="W41" s="804">
        <f t="shared" si="13"/>
        <v>54467.632015075229</v>
      </c>
      <c r="X41" s="804">
        <f t="shared" si="14"/>
        <v>278717.21371678641</v>
      </c>
      <c r="Y41" s="335" t="e">
        <f>+C41/W41</f>
        <v>#REF!</v>
      </c>
      <c r="Z41" s="358" t="e">
        <f>+C41/X41</f>
        <v>#REF!</v>
      </c>
    </row>
    <row r="42" spans="2:30" s="284" customFormat="1" ht="16.5" customHeight="1" x14ac:dyDescent="0.2">
      <c r="B42" s="615" t="s">
        <v>583</v>
      </c>
      <c r="C42" s="331" t="e">
        <f>'SCG Table A'!#REF!</f>
        <v>#REF!</v>
      </c>
      <c r="D42" s="874" t="e">
        <f>E42-C42</f>
        <v>#REF!</v>
      </c>
      <c r="E42" s="331">
        <v>565363.28615708137</v>
      </c>
      <c r="F42" s="331">
        <v>784222.85452167387</v>
      </c>
      <c r="G42" s="331">
        <v>784222.85452167387</v>
      </c>
      <c r="H42" s="332" t="e">
        <f>SUM(C42/$C$76)</f>
        <v>#REF!</v>
      </c>
      <c r="I42" s="333" t="e">
        <f>F42/C42</f>
        <v>#REF!</v>
      </c>
      <c r="J42" s="333">
        <f>G42/E42</f>
        <v>1.387113160198705</v>
      </c>
      <c r="K42" s="804">
        <v>30.940410558540755</v>
      </c>
      <c r="L42" s="804" t="s">
        <v>244</v>
      </c>
      <c r="M42" s="804">
        <v>155950.97174702244</v>
      </c>
      <c r="N42" s="804">
        <v>798019.27702171914</v>
      </c>
      <c r="O42" s="804">
        <v>1113.2669123068551</v>
      </c>
      <c r="P42" s="335" t="e">
        <f>C42/M42</f>
        <v>#REF!</v>
      </c>
      <c r="Q42" s="2338" t="e">
        <f>C42/N42</f>
        <v>#REF!</v>
      </c>
      <c r="R42" s="2338" t="e">
        <f t="shared" si="12"/>
        <v>#REF!</v>
      </c>
      <c r="S42" s="804"/>
      <c r="T42" s="804"/>
      <c r="U42" s="804"/>
      <c r="V42" s="804"/>
      <c r="W42" s="804">
        <f t="shared" si="13"/>
        <v>16047.354992768611</v>
      </c>
      <c r="X42" s="804">
        <f t="shared" si="14"/>
        <v>82116.183605534898</v>
      </c>
      <c r="Y42" s="335" t="e">
        <f>+C42/W42</f>
        <v>#REF!</v>
      </c>
      <c r="Z42" s="358" t="e">
        <f>+C42/X42</f>
        <v>#REF!</v>
      </c>
    </row>
    <row r="43" spans="2:30" ht="19.5" customHeight="1" x14ac:dyDescent="0.25">
      <c r="B43" s="2363" t="s">
        <v>136</v>
      </c>
      <c r="C43" s="2330" t="e">
        <f>SUM(C40:C42)</f>
        <v>#REF!</v>
      </c>
      <c r="D43" s="2330" t="e">
        <f>SUM(D40:D42)</f>
        <v>#REF!</v>
      </c>
      <c r="E43" s="2330">
        <f>SUM(E40:E42)</f>
        <v>2465689.3556073466</v>
      </c>
      <c r="F43" s="2330">
        <f>SUM(F40:F42)</f>
        <v>3446017.3918237332</v>
      </c>
      <c r="G43" s="2330">
        <f>SUM(G40:G42)</f>
        <v>3446017.3918237332</v>
      </c>
      <c r="H43" s="2331" t="e">
        <f>SUM(C43/$C$77)</f>
        <v>#REF!</v>
      </c>
      <c r="I43" s="2332" t="e">
        <f>F43/C43</f>
        <v>#REF!</v>
      </c>
      <c r="J43" s="2332">
        <f>G43/E43</f>
        <v>1.3975878121008933</v>
      </c>
      <c r="K43" s="2333">
        <f>SUM(K40:K42)</f>
        <v>135.95777307450476</v>
      </c>
      <c r="L43" s="2330" t="s">
        <v>244</v>
      </c>
      <c r="M43" s="2335">
        <f>SUM(M40:M42)</f>
        <v>685276.84167000814</v>
      </c>
      <c r="N43" s="2335">
        <f>SUM(N40:N42)</f>
        <v>3506641.3733947654</v>
      </c>
      <c r="O43" s="2335">
        <f>SUM(O40:O42)</f>
        <v>4891.8966329937566</v>
      </c>
      <c r="P43" s="2336" t="e">
        <f>C43/M43</f>
        <v>#REF!</v>
      </c>
      <c r="Q43" s="2339" t="e">
        <f>C43/N43</f>
        <v>#REF!</v>
      </c>
      <c r="R43" s="2339" t="e">
        <f t="shared" si="12"/>
        <v>#REF!</v>
      </c>
      <c r="S43" s="2335">
        <f>SUM(S40:S42)</f>
        <v>0</v>
      </c>
      <c r="T43" s="2335">
        <f>SUM(T40:T42)</f>
        <v>0</v>
      </c>
      <c r="U43" s="2335"/>
      <c r="V43" s="2335"/>
      <c r="W43" s="2333">
        <f t="shared" si="13"/>
        <v>70514.98700784384</v>
      </c>
      <c r="X43" s="2333">
        <f t="shared" si="14"/>
        <v>360833.39732232137</v>
      </c>
      <c r="Y43" s="2336" t="e">
        <f>+C43/W43</f>
        <v>#REF!</v>
      </c>
      <c r="Z43" s="2365" t="e">
        <f>+C43/X43</f>
        <v>#REF!</v>
      </c>
    </row>
    <row r="44" spans="2:30" ht="15.75" hidden="1" customHeight="1" x14ac:dyDescent="0.2">
      <c r="B44" s="330" t="s">
        <v>251</v>
      </c>
      <c r="C44" s="331"/>
      <c r="D44" s="331"/>
      <c r="E44" s="331"/>
      <c r="F44" s="331"/>
      <c r="G44" s="331"/>
      <c r="H44" s="332"/>
      <c r="I44" s="333"/>
      <c r="J44" s="333"/>
      <c r="K44" s="804"/>
      <c r="L44" s="2337"/>
      <c r="M44" s="804"/>
      <c r="N44" s="804"/>
      <c r="O44" s="804"/>
      <c r="P44" s="335"/>
      <c r="Q44" s="2338"/>
      <c r="R44" s="2338" t="e">
        <f t="shared" si="12"/>
        <v>#DIV/0!</v>
      </c>
      <c r="S44" s="2337"/>
      <c r="T44" s="2337"/>
      <c r="U44" s="2337"/>
      <c r="V44" s="2337"/>
      <c r="W44" s="804">
        <f t="shared" si="13"/>
        <v>0</v>
      </c>
      <c r="X44" s="804">
        <f t="shared" si="14"/>
        <v>0</v>
      </c>
      <c r="Y44" s="335" t="s">
        <v>3</v>
      </c>
      <c r="Z44" s="358" t="s">
        <v>3</v>
      </c>
    </row>
    <row r="45" spans="2:30" ht="15.75" customHeight="1" x14ac:dyDescent="0.2">
      <c r="B45" s="330" t="s">
        <v>252</v>
      </c>
      <c r="C45" s="331" t="e">
        <f>'CNG Table A'!#REF!</f>
        <v>#REF!</v>
      </c>
      <c r="D45" s="874" t="e">
        <f>E45-C45</f>
        <v>#REF!</v>
      </c>
      <c r="E45" s="331">
        <v>1112792.7397064662</v>
      </c>
      <c r="F45" s="331">
        <v>649193.13349480811</v>
      </c>
      <c r="G45" s="331">
        <v>649193.13349480811</v>
      </c>
      <c r="H45" s="332" t="e">
        <f>SUM(C45/$C$75)</f>
        <v>#REF!</v>
      </c>
      <c r="I45" s="333" t="e">
        <f>F45/C45</f>
        <v>#REF!</v>
      </c>
      <c r="J45" s="333">
        <f>G45/E45</f>
        <v>0.58339087804082279</v>
      </c>
      <c r="K45" s="804">
        <v>65.740349640338096</v>
      </c>
      <c r="L45" s="804" t="s">
        <v>244</v>
      </c>
      <c r="M45" s="804">
        <v>57456.795886546759</v>
      </c>
      <c r="N45" s="804">
        <v>859932.15944450011</v>
      </c>
      <c r="O45" s="804">
        <v>554.67250704131118</v>
      </c>
      <c r="P45" s="335" t="e">
        <f>C45/M45</f>
        <v>#REF!</v>
      </c>
      <c r="Q45" s="2338" t="e">
        <f>C45/N45</f>
        <v>#REF!</v>
      </c>
      <c r="R45" s="2338" t="e">
        <f t="shared" si="12"/>
        <v>#REF!</v>
      </c>
      <c r="S45" s="804"/>
      <c r="T45" s="804"/>
      <c r="U45" s="804"/>
      <c r="V45" s="804"/>
      <c r="W45" s="804">
        <f t="shared" si="13"/>
        <v>5912.3042967256615</v>
      </c>
      <c r="X45" s="804">
        <f t="shared" si="14"/>
        <v>88487.019206839061</v>
      </c>
      <c r="Y45" s="335" t="e">
        <f>+C45/W45</f>
        <v>#REF!</v>
      </c>
      <c r="Z45" s="358" t="e">
        <f>+C45/X45</f>
        <v>#REF!</v>
      </c>
    </row>
    <row r="46" spans="2:30" ht="15.75" customHeight="1" x14ac:dyDescent="0.2">
      <c r="B46" s="330" t="s">
        <v>253</v>
      </c>
      <c r="C46" s="331" t="e">
        <f>'SCG Table A'!#REF!</f>
        <v>#REF!</v>
      </c>
      <c r="D46" s="874" t="e">
        <f>E46-C46</f>
        <v>#REF!</v>
      </c>
      <c r="E46" s="331">
        <v>1051654.5980022699</v>
      </c>
      <c r="F46" s="331">
        <v>607955.54672029824</v>
      </c>
      <c r="G46" s="331">
        <v>607955.54672029824</v>
      </c>
      <c r="H46" s="332" t="e">
        <f>SUM(C46/$C$76)</f>
        <v>#REF!</v>
      </c>
      <c r="I46" s="333" t="e">
        <f>F46/C46</f>
        <v>#REF!</v>
      </c>
      <c r="J46" s="333">
        <f>G46/E46</f>
        <v>0.5780943171600017</v>
      </c>
      <c r="K46" s="804">
        <v>62.578556233846037</v>
      </c>
      <c r="L46" s="804" t="s">
        <v>244</v>
      </c>
      <c r="M46" s="804">
        <v>57133.539187114569</v>
      </c>
      <c r="N46" s="804">
        <v>806758.52543161903</v>
      </c>
      <c r="O46" s="804">
        <v>486.58810729802389</v>
      </c>
      <c r="P46" s="335" t="e">
        <f>C46/M46</f>
        <v>#REF!</v>
      </c>
      <c r="Q46" s="2338" t="e">
        <f>C46/N46</f>
        <v>#REF!</v>
      </c>
      <c r="R46" s="2338" t="e">
        <f t="shared" si="12"/>
        <v>#REF!</v>
      </c>
      <c r="S46" s="804"/>
      <c r="T46" s="804"/>
      <c r="U46" s="804"/>
      <c r="V46" s="804"/>
      <c r="W46" s="804">
        <f t="shared" si="13"/>
        <v>5879.041182354089</v>
      </c>
      <c r="X46" s="804">
        <f t="shared" si="14"/>
        <v>83015.452266913606</v>
      </c>
      <c r="Y46" s="335" t="e">
        <f>+C46/W46</f>
        <v>#REF!</v>
      </c>
      <c r="Z46" s="358" t="e">
        <f>+C46/X46</f>
        <v>#REF!</v>
      </c>
    </row>
    <row r="47" spans="2:30" ht="19.5" customHeight="1" x14ac:dyDescent="0.25">
      <c r="B47" s="2363" t="s">
        <v>302</v>
      </c>
      <c r="C47" s="2330" t="e">
        <f>SUM(C44:C46)</f>
        <v>#REF!</v>
      </c>
      <c r="D47" s="2330" t="e">
        <f>SUM(D44:D46)</f>
        <v>#REF!</v>
      </c>
      <c r="E47" s="2330">
        <f>SUM(E44:E46)</f>
        <v>2164447.3377087358</v>
      </c>
      <c r="F47" s="2330">
        <f>SUM(F44:F46)</f>
        <v>1257148.6802151063</v>
      </c>
      <c r="G47" s="2330">
        <f>SUM(G44:G46)</f>
        <v>1257148.6802151063</v>
      </c>
      <c r="H47" s="2331" t="e">
        <f>SUM(C47/$C$77)</f>
        <v>#REF!</v>
      </c>
      <c r="I47" s="2332" t="e">
        <f>F47/C47</f>
        <v>#REF!</v>
      </c>
      <c r="J47" s="2332">
        <f>G47/E47</f>
        <v>0.58081740235173029</v>
      </c>
      <c r="K47" s="2333">
        <f>SUM(K44:K46)</f>
        <v>128.31890587418414</v>
      </c>
      <c r="L47" s="2330" t="s">
        <v>244</v>
      </c>
      <c r="M47" s="2335">
        <f>SUM(M44:M46)</f>
        <v>114590.33507366132</v>
      </c>
      <c r="N47" s="2335">
        <f>SUM(N44:N46)</f>
        <v>1666690.6848761193</v>
      </c>
      <c r="O47" s="2335">
        <f>SUM(O44:O46)</f>
        <v>1041.260614339335</v>
      </c>
      <c r="P47" s="2336" t="e">
        <f>C47/M47</f>
        <v>#REF!</v>
      </c>
      <c r="Q47" s="2339" t="e">
        <f>C47/N47</f>
        <v>#REF!</v>
      </c>
      <c r="R47" s="2339" t="e">
        <f t="shared" si="12"/>
        <v>#REF!</v>
      </c>
      <c r="S47" s="2335">
        <f>SUM(S44:S46)</f>
        <v>0</v>
      </c>
      <c r="T47" s="2335">
        <f>SUM(T44:T46)</f>
        <v>0</v>
      </c>
      <c r="U47" s="2335">
        <f>SUM(U44:U46)</f>
        <v>0</v>
      </c>
      <c r="V47" s="2335">
        <f>SUM(V44:V46)</f>
        <v>0</v>
      </c>
      <c r="W47" s="2333">
        <f t="shared" si="13"/>
        <v>11791.34547907975</v>
      </c>
      <c r="X47" s="2333">
        <f t="shared" si="14"/>
        <v>171502.4714737527</v>
      </c>
      <c r="Y47" s="2336" t="e">
        <f>+C47/W47</f>
        <v>#REF!</v>
      </c>
      <c r="Z47" s="2365" t="e">
        <f>+C47/X47</f>
        <v>#REF!</v>
      </c>
    </row>
    <row r="48" spans="2:30" ht="15.75" customHeight="1" thickBot="1" x14ac:dyDescent="0.3">
      <c r="B48" s="2369" t="s">
        <v>127</v>
      </c>
      <c r="C48" s="2370" t="e">
        <f>C47+C43+C39+C34</f>
        <v>#REF!</v>
      </c>
      <c r="D48" s="2370" t="e">
        <f>D47+D43+D39+D34</f>
        <v>#REF!</v>
      </c>
      <c r="E48" s="2370">
        <f>E47+E43+E39+E34</f>
        <v>22997394.222623803</v>
      </c>
      <c r="F48" s="2370">
        <f>F47+F43+F39+F34</f>
        <v>18500858.391945098</v>
      </c>
      <c r="G48" s="2370">
        <f>G47+G43+G39+G34</f>
        <v>18500858.391945098</v>
      </c>
      <c r="H48" s="2371" t="e">
        <f>SUM(C48/C77)</f>
        <v>#REF!</v>
      </c>
      <c r="I48" s="2372" t="e">
        <f>F48/C48</f>
        <v>#REF!</v>
      </c>
      <c r="J48" s="2372">
        <f>G48/E48</f>
        <v>0.80447629035052959</v>
      </c>
      <c r="K48" s="2381">
        <f>K47+K43+K39+K34</f>
        <v>699.4884130306765</v>
      </c>
      <c r="L48" s="2379" t="s">
        <v>244</v>
      </c>
      <c r="M48" s="2383">
        <f>M47+M43+M39+M34</f>
        <v>2254783.5638333554</v>
      </c>
      <c r="N48" s="2384">
        <f>N47+N43+N39+N34</f>
        <v>24453620.173451893</v>
      </c>
      <c r="O48" s="2384">
        <f>O47+O43+O39+O34</f>
        <v>17357.356605792942</v>
      </c>
      <c r="P48" s="2376" t="e">
        <f>C48/M48</f>
        <v>#REF!</v>
      </c>
      <c r="Q48" s="2376" t="e">
        <f>C48/N48</f>
        <v>#REF!</v>
      </c>
      <c r="R48" s="2376" t="e">
        <f t="shared" si="12"/>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t="e">
        <f>'CNG Table A'!#REF!+'CNG Table A'!#REF!</f>
        <v>#REF!</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t="e">
        <f>+'SCG Table A'!#REF!+'SCG Table A'!#REF!</f>
        <v>#REF!</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t="e">
        <f>SUM(C51:C53)</f>
        <v>#REF!</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t="e">
        <f>'CNG Table A'!#REF!+'CNG Table A'!#REF!+'CNG Table A'!#REF!</f>
        <v>#REF!</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t="e">
        <f>'SCG Table A'!#REF!+'SCG Table A'!#REF!+'SCG Table A'!#REF!</f>
        <v>#REF!</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t="e">
        <f>SUM(C55:C57)</f>
        <v>#REF!</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t="e">
        <f>C54+C58</f>
        <v>#REF!</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7"/>
      <c r="AA60" s="285"/>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0"/>
      <c r="AA61" s="285"/>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5">SUM(C62/M62)</f>
        <v>#DIV/0!</v>
      </c>
      <c r="Q62" s="329" t="e">
        <f t="shared" ref="Q62:R69" si="16">SUM(C62/N62)</f>
        <v>#DIV/0!</v>
      </c>
      <c r="R62" s="329" t="e">
        <f t="shared" si="16"/>
        <v>#DIV/0!</v>
      </c>
      <c r="S62" s="2117"/>
      <c r="T62" s="2117"/>
      <c r="U62" s="2117"/>
      <c r="V62" s="2117"/>
      <c r="W62" s="2119">
        <f t="shared" ref="W62:W77" si="17">+(M62*102900+S62*138690+U62*91330)/10^6</f>
        <v>0</v>
      </c>
      <c r="X62" s="2119">
        <f t="shared" ref="X62:X77" si="18">+(N62*102900+T62*138690+V62*91330)/10^6</f>
        <v>0</v>
      </c>
      <c r="Y62" s="2118" t="s">
        <v>3</v>
      </c>
      <c r="Z62" s="1997" t="s">
        <v>3</v>
      </c>
    </row>
    <row r="63" spans="2:27" s="284" customFormat="1" ht="15.75" x14ac:dyDescent="0.25">
      <c r="B63" s="434" t="s">
        <v>92</v>
      </c>
      <c r="C63" s="351" t="e">
        <f t="shared" ref="C63:G64" si="19">C7+C11+C15+C18+C21+C25</f>
        <v>#REF!</v>
      </c>
      <c r="D63" s="351" t="e">
        <f t="shared" si="19"/>
        <v>#REF!</v>
      </c>
      <c r="E63" s="351" t="e">
        <f t="shared" si="19"/>
        <v>#REF!</v>
      </c>
      <c r="F63" s="351">
        <f t="shared" si="19"/>
        <v>16103914.312793145</v>
      </c>
      <c r="G63" s="351">
        <f t="shared" si="19"/>
        <v>16544570.0849577</v>
      </c>
      <c r="H63" s="497" t="e">
        <f>SUM(C63/$C$75)</f>
        <v>#REF!</v>
      </c>
      <c r="I63" s="400"/>
      <c r="J63" s="400"/>
      <c r="K63" s="353"/>
      <c r="L63" s="400"/>
      <c r="M63" s="424">
        <f t="shared" ref="M63:O64" si="20">M7+M11+M15+M18+M21+M25</f>
        <v>1264761.265230448</v>
      </c>
      <c r="N63" s="424">
        <f t="shared" si="20"/>
        <v>24429927.584314145</v>
      </c>
      <c r="O63" s="424">
        <f t="shared" si="20"/>
        <v>15389.691045228185</v>
      </c>
      <c r="P63" s="2120" t="e">
        <f t="shared" si="15"/>
        <v>#REF!</v>
      </c>
      <c r="Q63" s="2378" t="e">
        <f t="shared" si="16"/>
        <v>#REF!</v>
      </c>
      <c r="R63" s="2378" t="e">
        <f t="shared" ref="R63:R69" si="21">C63/O63</f>
        <v>#REF!</v>
      </c>
      <c r="S63" s="424">
        <f t="shared" ref="S63:V64" si="22">S7+S11+S15+S18+S21+S25</f>
        <v>0</v>
      </c>
      <c r="T63" s="424">
        <f t="shared" si="22"/>
        <v>0</v>
      </c>
      <c r="U63" s="424">
        <f t="shared" si="22"/>
        <v>0</v>
      </c>
      <c r="V63" s="424">
        <f t="shared" si="22"/>
        <v>0</v>
      </c>
      <c r="W63" s="2121">
        <f t="shared" si="17"/>
        <v>130143.9341922131</v>
      </c>
      <c r="X63" s="2121">
        <f t="shared" si="18"/>
        <v>2513839.5484259254</v>
      </c>
      <c r="Y63" s="2120" t="e">
        <f>+C63/W63</f>
        <v>#REF!</v>
      </c>
      <c r="Z63" s="356" t="e">
        <f>+C63/X63</f>
        <v>#REF!</v>
      </c>
    </row>
    <row r="64" spans="2:27" s="284" customFormat="1" ht="19.5" customHeight="1" x14ac:dyDescent="0.25">
      <c r="B64" s="437" t="s">
        <v>93</v>
      </c>
      <c r="C64" s="331" t="e">
        <f t="shared" si="19"/>
        <v>#REF!</v>
      </c>
      <c r="D64" s="331" t="e">
        <f t="shared" si="19"/>
        <v>#REF!</v>
      </c>
      <c r="E64" s="331" t="e">
        <f t="shared" si="19"/>
        <v>#REF!</v>
      </c>
      <c r="F64" s="331">
        <f t="shared" si="19"/>
        <v>8929967.9169076327</v>
      </c>
      <c r="G64" s="331">
        <f t="shared" si="19"/>
        <v>9197503.8271783348</v>
      </c>
      <c r="H64" s="494" t="e">
        <f>SUM(C64/$C$76)</f>
        <v>#REF!</v>
      </c>
      <c r="I64" s="402"/>
      <c r="J64" s="402"/>
      <c r="K64" s="811"/>
      <c r="L64" s="402"/>
      <c r="M64" s="2350">
        <f t="shared" si="20"/>
        <v>714314.90516975429</v>
      </c>
      <c r="N64" s="2350">
        <f t="shared" si="20"/>
        <v>13625479.06066547</v>
      </c>
      <c r="O64" s="2350">
        <f t="shared" si="20"/>
        <v>10833.053578571302</v>
      </c>
      <c r="P64" s="335" t="e">
        <f t="shared" si="15"/>
        <v>#REF!</v>
      </c>
      <c r="Q64" s="2338" t="e">
        <f t="shared" si="16"/>
        <v>#REF!</v>
      </c>
      <c r="R64" s="2338" t="e">
        <f t="shared" si="21"/>
        <v>#REF!</v>
      </c>
      <c r="S64" s="2350" t="e">
        <f t="shared" si="22"/>
        <v>#REF!</v>
      </c>
      <c r="T64" s="2350" t="e">
        <f t="shared" si="22"/>
        <v>#REF!</v>
      </c>
      <c r="U64" s="2350">
        <f t="shared" si="22"/>
        <v>0</v>
      </c>
      <c r="V64" s="2350">
        <f t="shared" si="22"/>
        <v>0</v>
      </c>
      <c r="W64" s="804" t="e">
        <f t="shared" si="17"/>
        <v>#REF!</v>
      </c>
      <c r="X64" s="804" t="e">
        <f t="shared" si="18"/>
        <v>#REF!</v>
      </c>
      <c r="Y64" s="335" t="e">
        <f>+C64/W64</f>
        <v>#REF!</v>
      </c>
      <c r="Z64" s="358" t="e">
        <f>+C64/X64</f>
        <v>#REF!</v>
      </c>
    </row>
    <row r="65" spans="2:26" ht="15.75" x14ac:dyDescent="0.25">
      <c r="B65" s="2363" t="s">
        <v>94</v>
      </c>
      <c r="C65" s="2347" t="e">
        <f>SUM(C62:C64)</f>
        <v>#REF!</v>
      </c>
      <c r="D65" s="2347" t="e">
        <f>SUM(D62:D64)</f>
        <v>#REF!</v>
      </c>
      <c r="E65" s="2347" t="e">
        <f>SUM(E62:E64)</f>
        <v>#REF!</v>
      </c>
      <c r="F65" s="2347">
        <f>SUM(F62:F64)</f>
        <v>25033882.229700778</v>
      </c>
      <c r="G65" s="2347">
        <f>SUM(G62:G64)</f>
        <v>25742073.912136033</v>
      </c>
      <c r="H65" s="2351" t="e">
        <f>SUM(C65/$C$77)</f>
        <v>#REF!</v>
      </c>
      <c r="I65" s="402"/>
      <c r="J65" s="402"/>
      <c r="K65" s="2333"/>
      <c r="L65" s="402"/>
      <c r="M65" s="2352">
        <f>SUM(M62:M64)</f>
        <v>1979076.1704002023</v>
      </c>
      <c r="N65" s="2352">
        <f>SUM(N62:N64)</f>
        <v>38055406.644979611</v>
      </c>
      <c r="O65" s="2352">
        <f>SUM(O62:O64)</f>
        <v>26222.744623799488</v>
      </c>
      <c r="P65" s="2336" t="e">
        <f t="shared" si="15"/>
        <v>#REF!</v>
      </c>
      <c r="Q65" s="2339" t="e">
        <f t="shared" si="16"/>
        <v>#REF!</v>
      </c>
      <c r="R65" s="2339" t="e">
        <f t="shared" si="21"/>
        <v>#REF!</v>
      </c>
      <c r="S65" s="2352" t="e">
        <f>SUM(S62:S64)</f>
        <v>#REF!</v>
      </c>
      <c r="T65" s="2352" t="e">
        <f>SUM(T62:T64)</f>
        <v>#REF!</v>
      </c>
      <c r="U65" s="2352">
        <f>SUM(U62:U64)</f>
        <v>0</v>
      </c>
      <c r="V65" s="2352">
        <f>SUM(V62:V64)</f>
        <v>0</v>
      </c>
      <c r="W65" s="2333" t="e">
        <f t="shared" si="17"/>
        <v>#REF!</v>
      </c>
      <c r="X65" s="2333" t="e">
        <f t="shared" si="18"/>
        <v>#REF!</v>
      </c>
      <c r="Y65" s="2336" t="e">
        <f>+C65/W65</f>
        <v>#REF!</v>
      </c>
      <c r="Z65" s="2365" t="e">
        <f>+C65/X65</f>
        <v>#REF!</v>
      </c>
    </row>
    <row r="66" spans="2:26" s="284" customFormat="1" ht="15.75" hidden="1" x14ac:dyDescent="0.25">
      <c r="B66" s="437" t="s">
        <v>95</v>
      </c>
      <c r="C66" s="331">
        <f t="shared" ref="C66:G68" si="23">C31+C36+C40+C44</f>
        <v>0</v>
      </c>
      <c r="D66" s="331">
        <f t="shared" si="23"/>
        <v>0</v>
      </c>
      <c r="E66" s="331">
        <f t="shared" si="23"/>
        <v>0</v>
      </c>
      <c r="F66" s="331">
        <f t="shared" si="23"/>
        <v>0</v>
      </c>
      <c r="G66" s="331">
        <f t="shared" si="23"/>
        <v>0</v>
      </c>
      <c r="H66" s="494" t="e">
        <f>SUM(C66/$C$74)</f>
        <v>#DIV/0!</v>
      </c>
      <c r="I66" s="402"/>
      <c r="J66" s="402"/>
      <c r="K66" s="811"/>
      <c r="L66" s="402"/>
      <c r="M66" s="2350">
        <f t="shared" ref="M66:O68" si="24">M31+M36+M40+M44</f>
        <v>0</v>
      </c>
      <c r="N66" s="2350">
        <f t="shared" si="24"/>
        <v>0</v>
      </c>
      <c r="O66" s="2350">
        <f t="shared" si="24"/>
        <v>0</v>
      </c>
      <c r="P66" s="438" t="e">
        <f t="shared" si="15"/>
        <v>#DIV/0!</v>
      </c>
      <c r="Q66" s="438" t="e">
        <f t="shared" si="16"/>
        <v>#DIV/0!</v>
      </c>
      <c r="R66" s="438" t="e">
        <f t="shared" si="21"/>
        <v>#DIV/0!</v>
      </c>
      <c r="S66" s="402"/>
      <c r="T66" s="402"/>
      <c r="U66" s="402"/>
      <c r="V66" s="402"/>
      <c r="W66" s="804">
        <f t="shared" si="17"/>
        <v>0</v>
      </c>
      <c r="X66" s="804">
        <f t="shared" si="18"/>
        <v>0</v>
      </c>
      <c r="Y66" s="2008" t="s">
        <v>3</v>
      </c>
      <c r="Z66" s="2009" t="s">
        <v>3</v>
      </c>
    </row>
    <row r="67" spans="2:26" s="284" customFormat="1" ht="15.75" x14ac:dyDescent="0.25">
      <c r="B67" s="437" t="s">
        <v>96</v>
      </c>
      <c r="C67" s="331" t="e">
        <f t="shared" si="23"/>
        <v>#REF!</v>
      </c>
      <c r="D67" s="331" t="e">
        <f t="shared" si="23"/>
        <v>#REF!</v>
      </c>
      <c r="E67" s="331">
        <f t="shared" si="23"/>
        <v>16187852.257908652</v>
      </c>
      <c r="F67" s="331">
        <f t="shared" si="23"/>
        <v>13349962.015149059</v>
      </c>
      <c r="G67" s="331">
        <f t="shared" si="23"/>
        <v>13349962.015149059</v>
      </c>
      <c r="H67" s="494" t="e">
        <f>SUM(C67/$C$75)</f>
        <v>#REF!</v>
      </c>
      <c r="I67" s="402"/>
      <c r="J67" s="402"/>
      <c r="K67" s="811"/>
      <c r="L67" s="402"/>
      <c r="M67" s="2350">
        <f t="shared" si="24"/>
        <v>1647068.7006673096</v>
      </c>
      <c r="N67" s="2350">
        <f t="shared" si="24"/>
        <v>17590896.878810126</v>
      </c>
      <c r="O67" s="2350">
        <f t="shared" si="24"/>
        <v>12520.740601153399</v>
      </c>
      <c r="P67" s="438" t="e">
        <f t="shared" si="15"/>
        <v>#REF!</v>
      </c>
      <c r="Q67" s="438" t="e">
        <f t="shared" si="16"/>
        <v>#REF!</v>
      </c>
      <c r="R67" s="438" t="e">
        <f t="shared" si="21"/>
        <v>#REF!</v>
      </c>
      <c r="S67" s="2350">
        <f>S32+S37+S41+S45</f>
        <v>0</v>
      </c>
      <c r="T67" s="2350">
        <f>T32+T37+T41+T45</f>
        <v>0</v>
      </c>
      <c r="U67" s="2350"/>
      <c r="V67" s="2350"/>
      <c r="W67" s="804">
        <f t="shared" si="17"/>
        <v>169483.36929866616</v>
      </c>
      <c r="X67" s="804">
        <f t="shared" si="18"/>
        <v>1810103.288829562</v>
      </c>
      <c r="Y67" s="335" t="e">
        <f>+C67/W67</f>
        <v>#REF!</v>
      </c>
      <c r="Z67" s="358" t="e">
        <f>+C67/X67</f>
        <v>#REF!</v>
      </c>
    </row>
    <row r="68" spans="2:26" s="284" customFormat="1" ht="15.75" x14ac:dyDescent="0.25">
      <c r="B68" s="437" t="s">
        <v>97</v>
      </c>
      <c r="C68" s="331" t="e">
        <f t="shared" si="23"/>
        <v>#REF!</v>
      </c>
      <c r="D68" s="331" t="e">
        <f t="shared" si="23"/>
        <v>#REF!</v>
      </c>
      <c r="E68" s="331">
        <f t="shared" si="23"/>
        <v>6809541.9647151511</v>
      </c>
      <c r="F68" s="331">
        <f t="shared" si="23"/>
        <v>5150896.376796037</v>
      </c>
      <c r="G68" s="331">
        <f t="shared" si="23"/>
        <v>5150896.376796037</v>
      </c>
      <c r="H68" s="494" t="e">
        <f>SUM(C68/$C$76)</f>
        <v>#REF!</v>
      </c>
      <c r="I68" s="402"/>
      <c r="J68" s="402"/>
      <c r="K68" s="811"/>
      <c r="L68" s="402"/>
      <c r="M68" s="2350">
        <f t="shared" si="24"/>
        <v>607714.86316604586</v>
      </c>
      <c r="N68" s="2350">
        <f t="shared" si="24"/>
        <v>6862723.2946417667</v>
      </c>
      <c r="O68" s="2350">
        <f t="shared" si="24"/>
        <v>4836.6160046395453</v>
      </c>
      <c r="P68" s="438" t="e">
        <f t="shared" si="15"/>
        <v>#REF!</v>
      </c>
      <c r="Q68" s="438" t="e">
        <f t="shared" si="16"/>
        <v>#REF!</v>
      </c>
      <c r="R68" s="438" t="e">
        <f t="shared" si="21"/>
        <v>#REF!</v>
      </c>
      <c r="S68" s="2350">
        <f>S33+S38+S42+S46</f>
        <v>0</v>
      </c>
      <c r="T68" s="2350">
        <f>T33+T38+T42+T46</f>
        <v>0</v>
      </c>
      <c r="U68" s="2350"/>
      <c r="V68" s="2350"/>
      <c r="W68" s="804">
        <f t="shared" si="17"/>
        <v>62533.859419786117</v>
      </c>
      <c r="X68" s="804">
        <f t="shared" si="18"/>
        <v>706174.22701863782</v>
      </c>
      <c r="Y68" s="335" t="e">
        <f>+C68/W68</f>
        <v>#REF!</v>
      </c>
      <c r="Z68" s="358" t="e">
        <f>+C68/X68</f>
        <v>#REF!</v>
      </c>
    </row>
    <row r="69" spans="2:26" ht="15.75" x14ac:dyDescent="0.25">
      <c r="B69" s="2363" t="s">
        <v>98</v>
      </c>
      <c r="C69" s="2347" t="e">
        <f>SUM(C66:C68)</f>
        <v>#REF!</v>
      </c>
      <c r="D69" s="2347" t="e">
        <f>SUM(D66:D68)</f>
        <v>#REF!</v>
      </c>
      <c r="E69" s="2347">
        <f>SUM(E66:E68)</f>
        <v>22997394.222623803</v>
      </c>
      <c r="F69" s="2347">
        <f>SUM(F66:F68)</f>
        <v>18500858.391945094</v>
      </c>
      <c r="G69" s="2347">
        <f>SUM(G66:G68)</f>
        <v>18500858.391945094</v>
      </c>
      <c r="H69" s="2351" t="e">
        <f>SUM(C69/$C$77)</f>
        <v>#REF!</v>
      </c>
      <c r="I69" s="402"/>
      <c r="J69" s="402"/>
      <c r="K69" s="2333"/>
      <c r="L69" s="402"/>
      <c r="M69" s="2352">
        <f>SUM(M66:M68)</f>
        <v>2254783.5638333554</v>
      </c>
      <c r="N69" s="2352">
        <f>SUM(N66:N68)</f>
        <v>24453620.173451893</v>
      </c>
      <c r="O69" s="2352">
        <f>SUM(O66:O68)</f>
        <v>17357.356605792942</v>
      </c>
      <c r="P69" s="2353" t="e">
        <f t="shared" si="15"/>
        <v>#REF!</v>
      </c>
      <c r="Q69" s="2353" t="e">
        <f t="shared" si="16"/>
        <v>#REF!</v>
      </c>
      <c r="R69" s="2353" t="e">
        <f t="shared" si="21"/>
        <v>#REF!</v>
      </c>
      <c r="S69" s="2352">
        <f>SUM(S66:S68)</f>
        <v>0</v>
      </c>
      <c r="T69" s="2352">
        <f>SUM(T66:T68)</f>
        <v>0</v>
      </c>
      <c r="U69" s="2352"/>
      <c r="V69" s="2352"/>
      <c r="W69" s="2333">
        <f t="shared" si="17"/>
        <v>232017.22871845227</v>
      </c>
      <c r="X69" s="2333">
        <f t="shared" si="18"/>
        <v>2516277.5158481998</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17"/>
        <v>0</v>
      </c>
      <c r="X70" s="804">
        <f t="shared" si="18"/>
        <v>0</v>
      </c>
      <c r="Y70" s="2029"/>
      <c r="Z70" s="439"/>
    </row>
    <row r="71" spans="2:26" s="284" customFormat="1" ht="15.75" x14ac:dyDescent="0.25">
      <c r="B71" s="437" t="s">
        <v>100</v>
      </c>
      <c r="C71" s="331" t="e">
        <f>C52+C56</f>
        <v>#REF!</v>
      </c>
      <c r="D71" s="331"/>
      <c r="E71" s="331"/>
      <c r="F71" s="331"/>
      <c r="G71" s="331"/>
      <c r="H71" s="494" t="e">
        <f>SUM(C71/$C$75)</f>
        <v>#REF!</v>
      </c>
      <c r="I71" s="402"/>
      <c r="J71" s="402"/>
      <c r="K71" s="814"/>
      <c r="L71" s="402"/>
      <c r="M71" s="450"/>
      <c r="N71" s="450"/>
      <c r="O71" s="450"/>
      <c r="P71" s="450"/>
      <c r="Q71" s="438"/>
      <c r="R71" s="438"/>
      <c r="S71" s="402"/>
      <c r="T71" s="402"/>
      <c r="U71" s="402"/>
      <c r="V71" s="402"/>
      <c r="W71" s="804">
        <f t="shared" si="17"/>
        <v>0</v>
      </c>
      <c r="X71" s="804">
        <f t="shared" si="18"/>
        <v>0</v>
      </c>
      <c r="Y71" s="450"/>
      <c r="Z71" s="439"/>
    </row>
    <row r="72" spans="2:26" s="284" customFormat="1" ht="15.75" x14ac:dyDescent="0.25">
      <c r="B72" s="437" t="s">
        <v>101</v>
      </c>
      <c r="C72" s="331" t="e">
        <f>C53+C57</f>
        <v>#REF!</v>
      </c>
      <c r="D72" s="331"/>
      <c r="E72" s="331"/>
      <c r="F72" s="331"/>
      <c r="G72" s="331"/>
      <c r="H72" s="494" t="e">
        <f>SUM(C72/$C$76)</f>
        <v>#REF!</v>
      </c>
      <c r="I72" s="402"/>
      <c r="J72" s="402"/>
      <c r="K72" s="814"/>
      <c r="L72" s="402"/>
      <c r="M72" s="450"/>
      <c r="N72" s="450"/>
      <c r="O72" s="450"/>
      <c r="P72" s="450"/>
      <c r="Q72" s="438"/>
      <c r="R72" s="438"/>
      <c r="S72" s="402"/>
      <c r="T72" s="402"/>
      <c r="U72" s="402"/>
      <c r="V72" s="402"/>
      <c r="W72" s="804">
        <f t="shared" si="17"/>
        <v>0</v>
      </c>
      <c r="X72" s="804">
        <f t="shared" si="18"/>
        <v>0</v>
      </c>
      <c r="Y72" s="450"/>
      <c r="Z72" s="439"/>
    </row>
    <row r="73" spans="2:26" s="284" customFormat="1" ht="15.75" x14ac:dyDescent="0.25">
      <c r="B73" s="2363" t="s">
        <v>102</v>
      </c>
      <c r="C73" s="2347" t="e">
        <f>SUM(C70:C72)</f>
        <v>#REF!</v>
      </c>
      <c r="D73" s="2347">
        <f>SUM(D70:D72)</f>
        <v>0</v>
      </c>
      <c r="E73" s="2347">
        <f>SUM(E70:E72)</f>
        <v>0</v>
      </c>
      <c r="F73" s="2347">
        <f>SUM(F70:F72)</f>
        <v>0</v>
      </c>
      <c r="G73" s="2347">
        <f>SUM(G70:G72)</f>
        <v>0</v>
      </c>
      <c r="H73" s="2351" t="e">
        <f>SUM(C73/$C$77)</f>
        <v>#REF!</v>
      </c>
      <c r="I73" s="402"/>
      <c r="J73" s="402"/>
      <c r="K73" s="811"/>
      <c r="L73" s="402"/>
      <c r="M73" s="2350">
        <f>SUM(M70:M72)</f>
        <v>0</v>
      </c>
      <c r="N73" s="2350">
        <f>SUM(N70:N72)</f>
        <v>0</v>
      </c>
      <c r="O73" s="2350">
        <f>SUM(O70:O72)</f>
        <v>0</v>
      </c>
      <c r="P73" s="438"/>
      <c r="Q73" s="438"/>
      <c r="R73" s="438"/>
      <c r="S73" s="402"/>
      <c r="T73" s="402"/>
      <c r="U73" s="402"/>
      <c r="V73" s="402"/>
      <c r="W73" s="2333">
        <f t="shared" si="17"/>
        <v>0</v>
      </c>
      <c r="X73" s="2333">
        <f t="shared" si="18"/>
        <v>0</v>
      </c>
      <c r="Y73" s="438"/>
      <c r="Z73" s="439"/>
    </row>
    <row r="74" spans="2:26" s="284" customFormat="1" ht="15.75" hidden="1" x14ac:dyDescent="0.25">
      <c r="B74" s="2363" t="s">
        <v>103</v>
      </c>
      <c r="C74" s="331">
        <f t="shared" ref="C74:G76" si="25">SUM(C62,C66,C70)</f>
        <v>0</v>
      </c>
      <c r="D74" s="331">
        <f t="shared" si="25"/>
        <v>0</v>
      </c>
      <c r="E74" s="331">
        <f t="shared" si="25"/>
        <v>0</v>
      </c>
      <c r="F74" s="331">
        <f t="shared" si="25"/>
        <v>0</v>
      </c>
      <c r="G74" s="331">
        <f t="shared" si="25"/>
        <v>0</v>
      </c>
      <c r="H74" s="494" t="e">
        <f>SUM(C74/$C$77)</f>
        <v>#REF!</v>
      </c>
      <c r="I74" s="402"/>
      <c r="J74" s="402"/>
      <c r="K74" s="814"/>
      <c r="L74" s="402"/>
      <c r="M74" s="450">
        <f t="shared" ref="M74:N76" si="26">SUM(M62,M66,M70)</f>
        <v>0</v>
      </c>
      <c r="N74" s="450">
        <f t="shared" si="26"/>
        <v>0</v>
      </c>
      <c r="O74" s="450">
        <f>SUM(O62,O66,O70)</f>
        <v>0</v>
      </c>
      <c r="P74" s="438" t="e">
        <f>SUM(C74/M74)</f>
        <v>#DIV/0!</v>
      </c>
      <c r="Q74" s="438" t="e">
        <f>SUM(C74/N74)</f>
        <v>#DIV/0!</v>
      </c>
      <c r="R74" s="438" t="e">
        <f>SUM(D74/O74)</f>
        <v>#DIV/0!</v>
      </c>
      <c r="S74" s="402"/>
      <c r="T74" s="402"/>
      <c r="U74" s="402"/>
      <c r="V74" s="402"/>
      <c r="W74" s="804">
        <f t="shared" si="17"/>
        <v>0</v>
      </c>
      <c r="X74" s="804">
        <f t="shared" si="18"/>
        <v>0</v>
      </c>
      <c r="Y74" s="2008"/>
      <c r="Z74" s="2009"/>
    </row>
    <row r="75" spans="2:26" s="284" customFormat="1" ht="15.75" x14ac:dyDescent="0.25">
      <c r="B75" s="2363" t="s">
        <v>104</v>
      </c>
      <c r="C75" s="331" t="e">
        <f t="shared" si="25"/>
        <v>#REF!</v>
      </c>
      <c r="D75" s="331" t="e">
        <f t="shared" si="25"/>
        <v>#REF!</v>
      </c>
      <c r="E75" s="331" t="e">
        <f t="shared" si="25"/>
        <v>#REF!</v>
      </c>
      <c r="F75" s="331">
        <f t="shared" si="25"/>
        <v>29453876.327942204</v>
      </c>
      <c r="G75" s="331">
        <f t="shared" si="25"/>
        <v>29894532.100106761</v>
      </c>
      <c r="H75" s="494" t="e">
        <f>SUM(C75/$C$77)</f>
        <v>#REF!</v>
      </c>
      <c r="I75" s="402"/>
      <c r="J75" s="402"/>
      <c r="K75" s="814"/>
      <c r="L75" s="402"/>
      <c r="M75" s="450">
        <f t="shared" si="26"/>
        <v>2911829.9658977576</v>
      </c>
      <c r="N75" s="450">
        <f t="shared" si="26"/>
        <v>42020824.463124275</v>
      </c>
      <c r="O75" s="450">
        <f>SUM(O63,O67,O71)</f>
        <v>27910.431646381585</v>
      </c>
      <c r="P75" s="438" t="e">
        <f>SUM(C75/M75)</f>
        <v>#REF!</v>
      </c>
      <c r="Q75" s="438" t="e">
        <f>SUM(C75/N75)</f>
        <v>#REF!</v>
      </c>
      <c r="R75" s="438" t="e">
        <f>C75/O75</f>
        <v>#REF!</v>
      </c>
      <c r="S75" s="450">
        <f t="shared" ref="S75:V76" si="27">SUM(S63,S67,S71)</f>
        <v>0</v>
      </c>
      <c r="T75" s="450">
        <f t="shared" si="27"/>
        <v>0</v>
      </c>
      <c r="U75" s="450">
        <f t="shared" si="27"/>
        <v>0</v>
      </c>
      <c r="V75" s="450">
        <f t="shared" si="27"/>
        <v>0</v>
      </c>
      <c r="W75" s="804">
        <f t="shared" si="17"/>
        <v>299627.30349087925</v>
      </c>
      <c r="X75" s="804">
        <f t="shared" si="18"/>
        <v>4323942.8372554881</v>
      </c>
      <c r="Y75" s="335" t="e">
        <f>+C75/W75</f>
        <v>#REF!</v>
      </c>
      <c r="Z75" s="358" t="e">
        <f>+C75/X75</f>
        <v>#REF!</v>
      </c>
    </row>
    <row r="76" spans="2:26" s="284" customFormat="1" ht="15.75" x14ac:dyDescent="0.25">
      <c r="B76" s="2363" t="s">
        <v>105</v>
      </c>
      <c r="C76" s="331" t="e">
        <f t="shared" si="25"/>
        <v>#REF!</v>
      </c>
      <c r="D76" s="331" t="e">
        <f t="shared" si="25"/>
        <v>#REF!</v>
      </c>
      <c r="E76" s="331" t="e">
        <f t="shared" si="25"/>
        <v>#REF!</v>
      </c>
      <c r="F76" s="331">
        <f t="shared" si="25"/>
        <v>14080864.29370367</v>
      </c>
      <c r="G76" s="331">
        <f t="shared" si="25"/>
        <v>14348400.203974372</v>
      </c>
      <c r="H76" s="494" t="e">
        <f>SUM(C76/$C$77)</f>
        <v>#REF!</v>
      </c>
      <c r="I76" s="402"/>
      <c r="J76" s="402"/>
      <c r="K76" s="814"/>
      <c r="L76" s="402"/>
      <c r="M76" s="450">
        <f t="shared" si="26"/>
        <v>1322029.7683358002</v>
      </c>
      <c r="N76" s="450">
        <f t="shared" si="26"/>
        <v>20488202.355307236</v>
      </c>
      <c r="O76" s="450">
        <f>SUM(O64,O68,O72)</f>
        <v>15669.669583210847</v>
      </c>
      <c r="P76" s="438" t="e">
        <f>SUM(C76/M76)</f>
        <v>#REF!</v>
      </c>
      <c r="Q76" s="438" t="e">
        <f>SUM(C76/N76)</f>
        <v>#REF!</v>
      </c>
      <c r="R76" s="438" t="e">
        <f>C76/O76</f>
        <v>#REF!</v>
      </c>
      <c r="S76" s="450" t="e">
        <f t="shared" si="27"/>
        <v>#REF!</v>
      </c>
      <c r="T76" s="450" t="e">
        <f t="shared" si="27"/>
        <v>#REF!</v>
      </c>
      <c r="U76" s="450">
        <f t="shared" si="27"/>
        <v>0</v>
      </c>
      <c r="V76" s="450">
        <f t="shared" si="27"/>
        <v>0</v>
      </c>
      <c r="W76" s="804" t="e">
        <f t="shared" si="17"/>
        <v>#REF!</v>
      </c>
      <c r="X76" s="804" t="e">
        <f t="shared" si="18"/>
        <v>#REF!</v>
      </c>
      <c r="Y76" s="335" t="e">
        <f>+C76/W76</f>
        <v>#REF!</v>
      </c>
      <c r="Z76" s="358" t="e">
        <f>+C76/X76</f>
        <v>#REF!</v>
      </c>
    </row>
    <row r="77" spans="2:26" ht="16.5" thickBot="1" x14ac:dyDescent="0.3">
      <c r="B77" s="2369" t="s">
        <v>106</v>
      </c>
      <c r="C77" s="2370" t="e">
        <f>SUM(C74:C76)</f>
        <v>#REF!</v>
      </c>
      <c r="D77" s="2370" t="e">
        <f>SUM(D74:D76)</f>
        <v>#REF!</v>
      </c>
      <c r="E77" s="2370" t="e">
        <f>SUM(E74:E76)</f>
        <v>#REF!</v>
      </c>
      <c r="F77" s="2370">
        <f>SUM(F74:F76)</f>
        <v>43534740.621645875</v>
      </c>
      <c r="G77" s="2370">
        <f>SUM(G74:G76)</f>
        <v>44242932.304081134</v>
      </c>
      <c r="H77" s="2396" t="e">
        <f>SUM(C77/$C$77)</f>
        <v>#REF!</v>
      </c>
      <c r="I77" s="2372" t="e">
        <f>F77/C77</f>
        <v>#REF!</v>
      </c>
      <c r="J77" s="2372" t="e">
        <f>G77/E77</f>
        <v>#REF!</v>
      </c>
      <c r="K77" s="2397"/>
      <c r="L77" s="2398"/>
      <c r="M77" s="2384">
        <f>SUM(M74:M76)</f>
        <v>4233859.7342335582</v>
      </c>
      <c r="N77" s="2384">
        <f>SUM(N74:N76)</f>
        <v>62509026.818431512</v>
      </c>
      <c r="O77" s="2384">
        <f>SUM(O74:O76)</f>
        <v>43580.10122959243</v>
      </c>
      <c r="P77" s="2376" t="e">
        <f>SUM(C77/M77)</f>
        <v>#REF!</v>
      </c>
      <c r="Q77" s="2376" t="e">
        <f>SUM(C77/N77)</f>
        <v>#REF!</v>
      </c>
      <c r="R77" s="2376" t="e">
        <f>C77/O77</f>
        <v>#REF!</v>
      </c>
      <c r="S77" s="2384" t="e">
        <f>SUM(S74:S76)</f>
        <v>#REF!</v>
      </c>
      <c r="T77" s="2384" t="e">
        <f>SUM(T74:T76)</f>
        <v>#REF!</v>
      </c>
      <c r="U77" s="2384">
        <f>SUM(U74:U76)</f>
        <v>0</v>
      </c>
      <c r="V77" s="2384">
        <f>SUM(V74:V76)</f>
        <v>0</v>
      </c>
      <c r="W77" s="2381" t="e">
        <f t="shared" si="17"/>
        <v>#REF!</v>
      </c>
      <c r="X77" s="2381" t="e">
        <f t="shared" si="18"/>
        <v>#REF!</v>
      </c>
      <c r="Y77" s="2382" t="e">
        <f>+C77/W77</f>
        <v>#REF!</v>
      </c>
      <c r="Z77" s="2377" t="e">
        <f>+C77/X77</f>
        <v>#REF!</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S82" s="704"/>
      <c r="T82" s="704"/>
      <c r="U82" s="704"/>
      <c r="V82" s="704"/>
      <c r="W82" s="704"/>
      <c r="X82" s="704"/>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0">
    <tabColor indexed="11"/>
  </sheetPr>
  <dimension ref="A1:F43"/>
  <sheetViews>
    <sheetView workbookViewId="0">
      <selection activeCell="H14" sqref="H14"/>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59</v>
      </c>
      <c r="B1" s="2883"/>
      <c r="C1" s="2883"/>
      <c r="D1" s="2883"/>
      <c r="E1" s="2883"/>
      <c r="F1" s="23"/>
    </row>
    <row r="2" spans="1:6" ht="20.25" x14ac:dyDescent="0.3">
      <c r="A2" s="2883" t="s">
        <v>313</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t="e">
        <f>#REF!</f>
        <v>#REF!</v>
      </c>
      <c r="D34" s="236" t="e">
        <f t="shared" ref="D34:D39" si="0">SUM(B34/$B$41)</f>
        <v>#REF!</v>
      </c>
    </row>
    <row r="35" spans="1:4" x14ac:dyDescent="0.2">
      <c r="A35" t="s">
        <v>19</v>
      </c>
      <c r="B35" s="14" t="e">
        <f>#REF!</f>
        <v>#REF!</v>
      </c>
      <c r="D35" s="236" t="e">
        <f t="shared" si="0"/>
        <v>#REF!</v>
      </c>
    </row>
    <row r="36" spans="1:4" x14ac:dyDescent="0.2">
      <c r="A36" t="s">
        <v>4</v>
      </c>
      <c r="B36" s="14" t="e">
        <f>#REF!</f>
        <v>#REF!</v>
      </c>
      <c r="D36" s="236" t="e">
        <f t="shared" si="0"/>
        <v>#REF!</v>
      </c>
    </row>
    <row r="37" spans="1:4" x14ac:dyDescent="0.2">
      <c r="A37" t="s">
        <v>2</v>
      </c>
      <c r="B37" s="14" t="e">
        <f>#REF!</f>
        <v>#REF!</v>
      </c>
      <c r="D37" s="236" t="e">
        <f t="shared" si="0"/>
        <v>#REF!</v>
      </c>
    </row>
    <row r="38" spans="1:4" x14ac:dyDescent="0.2">
      <c r="A38" t="s">
        <v>14</v>
      </c>
      <c r="B38" s="14" t="e">
        <f>#REF!</f>
        <v>#REF!</v>
      </c>
      <c r="D38" s="236" t="e">
        <f t="shared" si="0"/>
        <v>#REF!</v>
      </c>
    </row>
    <row r="39" spans="1:4" x14ac:dyDescent="0.2">
      <c r="A39" t="s">
        <v>15</v>
      </c>
      <c r="B39" s="933" t="e">
        <f>#REF!</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honeticPr fontId="10" type="noConversion"/>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9">
    <tabColor indexed="11"/>
    <pageSetUpPr fitToPage="1"/>
  </sheetPr>
  <dimension ref="A1:AA53"/>
  <sheetViews>
    <sheetView zoomScale="75" workbookViewId="0">
      <pane ySplit="5" topLeftCell="A18" activePane="bottomLeft" state="frozen"/>
      <selection activeCell="C32" sqref="C32:E32"/>
      <selection pane="bottomLeft" activeCell="C32" sqref="C32:E32"/>
    </sheetView>
  </sheetViews>
  <sheetFormatPr defaultRowHeight="12.75" x14ac:dyDescent="0.2"/>
  <cols>
    <col min="1" max="1" width="7.140625" style="49" customWidth="1"/>
    <col min="2" max="2" width="54.5703125" style="49" customWidth="1"/>
    <col min="3" max="3" width="19.85546875" style="64" customWidth="1"/>
    <col min="4" max="4" width="18" style="63" customWidth="1"/>
    <col min="5" max="5" width="20.85546875" style="64" bestFit="1" customWidth="1"/>
    <col min="6" max="6" width="17.42578125" style="49" customWidth="1"/>
    <col min="7" max="7" width="16.5703125" style="49" customWidth="1"/>
    <col min="8" max="8" width="20.42578125" style="49" customWidth="1"/>
    <col min="9" max="9" width="21.140625" style="49" customWidth="1"/>
    <col min="10" max="10" width="12.85546875" style="50" customWidth="1"/>
    <col min="11" max="11" width="23.42578125" style="50" customWidth="1"/>
    <col min="12" max="12" width="16.28515625" style="50" customWidth="1"/>
    <col min="13" max="14" width="10.7109375" style="50" customWidth="1"/>
    <col min="15" max="15" width="10.7109375" style="49" customWidth="1"/>
    <col min="16" max="16" width="13.42578125" style="49" customWidth="1"/>
    <col min="17" max="20" width="10.7109375" style="49" customWidth="1"/>
    <col min="21" max="16384" width="9.140625" style="49"/>
  </cols>
  <sheetData>
    <row r="1" spans="1:27" ht="26.25" x14ac:dyDescent="0.4">
      <c r="B1" s="2884" t="s">
        <v>82</v>
      </c>
      <c r="C1" s="2884"/>
      <c r="D1" s="2884"/>
      <c r="E1" s="2884"/>
      <c r="F1" s="2884"/>
      <c r="G1" s="2884"/>
      <c r="H1" s="2884"/>
      <c r="I1" s="2884"/>
    </row>
    <row r="2" spans="1:27" ht="26.25" x14ac:dyDescent="0.4">
      <c r="B2" s="2884" t="s">
        <v>300</v>
      </c>
      <c r="C2" s="2884"/>
      <c r="D2" s="2884"/>
      <c r="E2" s="2884"/>
      <c r="F2" s="2884"/>
      <c r="G2" s="2884"/>
      <c r="H2" s="2884"/>
      <c r="I2" s="2884"/>
    </row>
    <row r="3" spans="1:27" ht="26.25" x14ac:dyDescent="0.4">
      <c r="B3" s="2884" t="s">
        <v>301</v>
      </c>
      <c r="C3" s="2884"/>
      <c r="D3" s="2884"/>
      <c r="E3" s="2884"/>
      <c r="F3" s="2884"/>
      <c r="G3" s="2884"/>
      <c r="H3" s="2884"/>
      <c r="I3" s="2884"/>
    </row>
    <row r="4" spans="1:27" ht="6.75" customHeight="1" thickBot="1" x14ac:dyDescent="0.3">
      <c r="B4" s="11"/>
      <c r="C4" s="10"/>
      <c r="D4" s="8"/>
      <c r="E4" s="876"/>
      <c r="F4" s="9"/>
      <c r="G4" s="9"/>
      <c r="H4" s="9"/>
      <c r="I4" s="9"/>
    </row>
    <row r="5" spans="1:27" ht="48.75" thickBot="1" x14ac:dyDescent="0.35">
      <c r="A5" s="21"/>
      <c r="B5" s="630" t="s">
        <v>42</v>
      </c>
      <c r="C5" s="631" t="s">
        <v>53</v>
      </c>
      <c r="D5" s="631" t="s">
        <v>13</v>
      </c>
      <c r="E5" s="631" t="s">
        <v>4</v>
      </c>
      <c r="F5" s="631" t="s">
        <v>2</v>
      </c>
      <c r="G5" s="631" t="s">
        <v>14</v>
      </c>
      <c r="H5" s="631" t="s">
        <v>15</v>
      </c>
      <c r="I5" s="631" t="s">
        <v>16</v>
      </c>
      <c r="J5" s="45"/>
      <c r="K5" s="45"/>
    </row>
    <row r="6" spans="1:27" ht="21" thickBot="1" x14ac:dyDescent="0.35">
      <c r="A6" s="21"/>
      <c r="B6" s="2888" t="s">
        <v>5</v>
      </c>
      <c r="C6" s="2889"/>
      <c r="D6" s="2889"/>
      <c r="E6" s="2889"/>
      <c r="F6" s="2889"/>
      <c r="G6" s="2889"/>
      <c r="H6" s="2889"/>
      <c r="I6" s="2890"/>
      <c r="J6" s="45"/>
      <c r="K6" s="82"/>
      <c r="L6" s="52"/>
      <c r="M6" s="52"/>
    </row>
    <row r="7" spans="1:27" ht="20.25" x14ac:dyDescent="0.3">
      <c r="A7" s="83"/>
      <c r="B7" s="156" t="s">
        <v>222</v>
      </c>
      <c r="C7" s="632">
        <f>1170000*0.15</f>
        <v>175500</v>
      </c>
      <c r="D7" s="633">
        <v>3500</v>
      </c>
      <c r="E7" s="633">
        <v>180000</v>
      </c>
      <c r="F7" s="633">
        <v>1800000</v>
      </c>
      <c r="G7" s="633">
        <v>20000</v>
      </c>
      <c r="H7" s="633">
        <v>2500</v>
      </c>
      <c r="I7" s="660">
        <f>SUM(C7:H7)</f>
        <v>2181500</v>
      </c>
      <c r="J7" s="85"/>
      <c r="K7" s="519"/>
      <c r="L7" s="583">
        <v>0.11555302314166244</v>
      </c>
      <c r="M7" s="583">
        <v>3.5248018053987027E-3</v>
      </c>
      <c r="N7" s="572">
        <v>6.6949853490573502E-2</v>
      </c>
      <c r="O7" s="584">
        <f>1-SUM(L7,M7,N7,P7,Q7)</f>
        <v>0.80869655634906357</v>
      </c>
      <c r="P7" s="584">
        <v>2.6378826066509064E-3</v>
      </c>
      <c r="Q7" s="584">
        <v>2.6378826066509064E-3</v>
      </c>
    </row>
    <row r="8" spans="1:27" ht="21" thickBot="1" x14ac:dyDescent="0.35">
      <c r="A8" s="83"/>
      <c r="B8" s="617" t="s">
        <v>223</v>
      </c>
      <c r="C8" s="641"/>
      <c r="D8" s="641"/>
      <c r="E8" s="641">
        <v>35000</v>
      </c>
      <c r="F8" s="641"/>
      <c r="G8" s="641"/>
      <c r="H8" s="641"/>
      <c r="I8" s="643">
        <f>C8+D8+E8+F8+G8+H8</f>
        <v>35000</v>
      </c>
      <c r="J8" s="85"/>
      <c r="K8" s="519"/>
      <c r="L8" s="167"/>
      <c r="M8" s="52"/>
      <c r="N8" s="141"/>
    </row>
    <row r="9" spans="1:27" ht="21" thickBot="1" x14ac:dyDescent="0.35">
      <c r="A9" s="83"/>
      <c r="B9" s="620" t="s">
        <v>236</v>
      </c>
      <c r="C9" s="678">
        <f t="shared" ref="C9:I9" si="0">SUM(C7:C8)</f>
        <v>175500</v>
      </c>
      <c r="D9" s="679">
        <f t="shared" si="0"/>
        <v>3500</v>
      </c>
      <c r="E9" s="679">
        <f t="shared" si="0"/>
        <v>215000</v>
      </c>
      <c r="F9" s="679">
        <f t="shared" si="0"/>
        <v>1800000</v>
      </c>
      <c r="G9" s="679">
        <f t="shared" si="0"/>
        <v>20000</v>
      </c>
      <c r="H9" s="679">
        <f t="shared" si="0"/>
        <v>2500</v>
      </c>
      <c r="I9" s="680">
        <f t="shared" si="0"/>
        <v>2216500</v>
      </c>
      <c r="J9" s="85"/>
      <c r="K9" s="516"/>
      <c r="L9" s="167"/>
      <c r="M9" s="52"/>
      <c r="N9" s="141"/>
    </row>
    <row r="10" spans="1:27" ht="20.25" x14ac:dyDescent="0.3">
      <c r="A10" s="83"/>
      <c r="B10" s="156" t="s">
        <v>149</v>
      </c>
      <c r="C10" s="632">
        <v>300000</v>
      </c>
      <c r="D10" s="633">
        <v>5000</v>
      </c>
      <c r="E10" s="633">
        <v>156874</v>
      </c>
      <c r="F10" s="633">
        <v>2611825</v>
      </c>
      <c r="G10" s="637">
        <v>20000</v>
      </c>
      <c r="H10" s="633">
        <v>8160</v>
      </c>
      <c r="I10" s="634">
        <f>SUM(C10:H10)</f>
        <v>3101859</v>
      </c>
      <c r="J10" s="825"/>
      <c r="K10" s="585"/>
      <c r="L10" s="583">
        <v>0.12147334143155611</v>
      </c>
      <c r="M10" s="583">
        <f>D10/$I$10</f>
        <v>1.6119365838356933E-3</v>
      </c>
      <c r="N10" s="583">
        <f>E10/$I$10</f>
        <v>5.0574187930528113E-2</v>
      </c>
      <c r="O10" s="583">
        <f>F10/$I$10</f>
        <v>0.84201925361533192</v>
      </c>
      <c r="P10" s="583">
        <f>G10/$I$10</f>
        <v>6.4477463353427734E-3</v>
      </c>
      <c r="Q10" s="583">
        <f>H10/$I$10</f>
        <v>2.6306805048198515E-3</v>
      </c>
      <c r="R10" s="586"/>
      <c r="S10" s="587"/>
    </row>
    <row r="11" spans="1:27" ht="20.25" x14ac:dyDescent="0.3">
      <c r="A11" s="83"/>
      <c r="B11" s="614" t="s">
        <v>227</v>
      </c>
      <c r="C11" s="646">
        <f>34580</f>
        <v>34580</v>
      </c>
      <c r="D11" s="638">
        <v>1624.8</v>
      </c>
      <c r="E11" s="638">
        <v>55000</v>
      </c>
      <c r="F11" s="661">
        <f>493295</f>
        <v>493295</v>
      </c>
      <c r="G11" s="639">
        <v>11500</v>
      </c>
      <c r="H11" s="638">
        <v>4000</v>
      </c>
      <c r="I11" s="640">
        <f>SUM(C11:H11)</f>
        <v>599999.80000000005</v>
      </c>
      <c r="J11" s="613"/>
      <c r="K11" s="585"/>
      <c r="L11" s="601">
        <v>9.1200000000000003E-2</v>
      </c>
      <c r="M11" s="826">
        <v>2.3999999999999998E-3</v>
      </c>
      <c r="N11" s="827">
        <v>0.15229999999999999</v>
      </c>
      <c r="O11" s="827">
        <f>1-SUM(L11,M11,N11,P11,Q11)</f>
        <v>0.72249999999999992</v>
      </c>
      <c r="P11" s="827">
        <v>2.3599999999999999E-2</v>
      </c>
      <c r="Q11" s="827">
        <v>8.0000000000000002E-3</v>
      </c>
    </row>
    <row r="12" spans="1:27" ht="21" thickBot="1" x14ac:dyDescent="0.35">
      <c r="A12" s="84"/>
      <c r="B12" s="616" t="s">
        <v>150</v>
      </c>
      <c r="C12" s="647">
        <v>3500</v>
      </c>
      <c r="D12" s="641">
        <v>256.13</v>
      </c>
      <c r="E12" s="641">
        <v>4099.585</v>
      </c>
      <c r="F12" s="635">
        <v>56917.455000000002</v>
      </c>
      <c r="G12" s="642">
        <v>4206.93</v>
      </c>
      <c r="H12" s="641">
        <v>1019.9</v>
      </c>
      <c r="I12" s="643">
        <f>SUM(C12:H12)</f>
        <v>70000</v>
      </c>
      <c r="J12" s="85"/>
      <c r="K12" s="588"/>
      <c r="L12" s="602">
        <v>0.17666034155597723</v>
      </c>
      <c r="M12" s="828">
        <v>4.7438330170777986E-3</v>
      </c>
      <c r="N12" s="829">
        <v>2.1869070208728653E-2</v>
      </c>
      <c r="O12" s="829">
        <f>1-0.28344402</f>
        <v>0.71655597999999998</v>
      </c>
      <c r="P12" s="829">
        <v>6.1195445920303605E-2</v>
      </c>
      <c r="Q12" s="830">
        <v>1.8975332068311195E-2</v>
      </c>
    </row>
    <row r="13" spans="1:27" ht="21" thickBot="1" x14ac:dyDescent="0.35">
      <c r="A13" s="84"/>
      <c r="B13" s="232" t="s">
        <v>30</v>
      </c>
      <c r="C13" s="662">
        <f t="shared" ref="C13:I13" si="1">SUM(C9:C12)</f>
        <v>513580</v>
      </c>
      <c r="D13" s="662">
        <f t="shared" si="1"/>
        <v>10380.929999999998</v>
      </c>
      <c r="E13" s="662">
        <f t="shared" si="1"/>
        <v>430973.58500000002</v>
      </c>
      <c r="F13" s="662">
        <f t="shared" si="1"/>
        <v>4962037.4550000001</v>
      </c>
      <c r="G13" s="662">
        <f t="shared" si="1"/>
        <v>55706.93</v>
      </c>
      <c r="H13" s="662">
        <f t="shared" si="1"/>
        <v>15679.9</v>
      </c>
      <c r="I13" s="662">
        <f t="shared" si="1"/>
        <v>5988358.7999999998</v>
      </c>
      <c r="J13" s="85"/>
      <c r="K13" s="520"/>
      <c r="L13" s="520"/>
      <c r="M13" s="52"/>
    </row>
    <row r="14" spans="1:27" s="51" customFormat="1" ht="15" x14ac:dyDescent="0.2">
      <c r="B14" s="663"/>
      <c r="C14" s="664"/>
      <c r="D14" s="622"/>
      <c r="E14" s="664"/>
      <c r="F14" s="665"/>
      <c r="G14" s="665"/>
      <c r="H14" s="665"/>
      <c r="I14" s="666"/>
      <c r="J14" s="52"/>
      <c r="K14" s="52"/>
      <c r="L14" s="52"/>
      <c r="M14" s="52"/>
      <c r="N14" s="52"/>
      <c r="T14" s="846"/>
      <c r="U14" s="49"/>
      <c r="V14" s="49"/>
      <c r="W14" s="49"/>
      <c r="X14" s="49"/>
      <c r="Y14" s="49"/>
      <c r="Z14" s="49"/>
      <c r="AA14" s="49"/>
    </row>
    <row r="15" spans="1:27" ht="21" thickBot="1" x14ac:dyDescent="0.35">
      <c r="A15" s="84"/>
      <c r="B15" s="2885" t="s">
        <v>151</v>
      </c>
      <c r="C15" s="2886"/>
      <c r="D15" s="2886"/>
      <c r="E15" s="2886"/>
      <c r="F15" s="2886"/>
      <c r="G15" s="2886"/>
      <c r="H15" s="2886"/>
      <c r="I15" s="2887"/>
      <c r="J15" s="142"/>
      <c r="K15" s="166"/>
      <c r="L15" s="141"/>
      <c r="T15" s="847"/>
      <c r="U15" s="51"/>
      <c r="V15" s="51"/>
      <c r="W15" s="51"/>
      <c r="X15" s="51"/>
      <c r="Y15" s="51"/>
      <c r="Z15" s="51"/>
      <c r="AA15" s="51"/>
    </row>
    <row r="16" spans="1:27" ht="21" thickBot="1" x14ac:dyDescent="0.35">
      <c r="A16" s="83"/>
      <c r="B16" s="100" t="s">
        <v>154</v>
      </c>
      <c r="C16" s="644">
        <f>285000</f>
        <v>285000</v>
      </c>
      <c r="D16" s="644">
        <v>6500</v>
      </c>
      <c r="E16" s="644">
        <f>200000</f>
        <v>200000</v>
      </c>
      <c r="F16" s="644">
        <v>2617612</v>
      </c>
      <c r="G16" s="644">
        <v>12500</v>
      </c>
      <c r="H16" s="644">
        <v>15000</v>
      </c>
      <c r="I16" s="634">
        <f>SUM(C16:H16)</f>
        <v>3136612</v>
      </c>
      <c r="J16" s="85"/>
      <c r="K16" s="519"/>
      <c r="L16" s="517"/>
      <c r="M16" s="581"/>
      <c r="N16" s="581"/>
      <c r="O16" s="581"/>
      <c r="P16" s="582"/>
      <c r="Q16" s="582"/>
      <c r="R16" s="582"/>
      <c r="S16" s="582"/>
      <c r="T16" s="65"/>
    </row>
    <row r="17" spans="1:27" ht="21" thickBot="1" x14ac:dyDescent="0.35">
      <c r="A17" s="84"/>
      <c r="B17" s="26" t="s">
        <v>152</v>
      </c>
      <c r="C17" s="645">
        <f>SUM(C16)</f>
        <v>285000</v>
      </c>
      <c r="D17" s="645">
        <f t="shared" ref="D17:I17" si="2">SUM(D16)</f>
        <v>6500</v>
      </c>
      <c r="E17" s="645">
        <f t="shared" si="2"/>
        <v>200000</v>
      </c>
      <c r="F17" s="645">
        <f t="shared" si="2"/>
        <v>2617612</v>
      </c>
      <c r="G17" s="645">
        <f t="shared" si="2"/>
        <v>12500</v>
      </c>
      <c r="H17" s="645">
        <f t="shared" si="2"/>
        <v>15000</v>
      </c>
      <c r="I17" s="645">
        <f t="shared" si="2"/>
        <v>3136612</v>
      </c>
      <c r="J17" s="85"/>
      <c r="K17" s="520"/>
      <c r="L17" s="848"/>
      <c r="M17" s="745"/>
      <c r="N17" s="745"/>
      <c r="O17" s="581"/>
      <c r="P17" s="582"/>
      <c r="Q17" s="582"/>
      <c r="R17" s="582"/>
    </row>
    <row r="18" spans="1:27" s="51" customFormat="1" ht="20.25" x14ac:dyDescent="0.3">
      <c r="A18" s="83"/>
      <c r="B18" s="2894"/>
      <c r="C18" s="2895"/>
      <c r="D18" s="2895"/>
      <c r="E18" s="2895"/>
      <c r="F18" s="2895"/>
      <c r="G18" s="2895"/>
      <c r="H18" s="2895"/>
      <c r="I18" s="2896"/>
      <c r="J18" s="142"/>
      <c r="K18" s="166"/>
      <c r="L18" s="849">
        <v>1240000</v>
      </c>
      <c r="M18" s="850">
        <v>1.9650000000000001</v>
      </c>
      <c r="N18" s="580"/>
      <c r="O18" s="580"/>
      <c r="P18" s="851">
        <f>I16</f>
        <v>3136612</v>
      </c>
      <c r="Q18" s="590"/>
      <c r="R18" s="590"/>
      <c r="U18" s="49"/>
      <c r="V18" s="49"/>
      <c r="W18" s="49"/>
      <c r="X18" s="49"/>
      <c r="Y18" s="49"/>
      <c r="Z18" s="49"/>
      <c r="AA18" s="49"/>
    </row>
    <row r="19" spans="1:27" ht="21" thickBot="1" x14ac:dyDescent="0.35">
      <c r="A19" s="84"/>
      <c r="B19" s="2885" t="s">
        <v>153</v>
      </c>
      <c r="C19" s="2886"/>
      <c r="D19" s="2886"/>
      <c r="E19" s="2886"/>
      <c r="F19" s="2886"/>
      <c r="G19" s="2886"/>
      <c r="H19" s="2886"/>
      <c r="I19" s="2887"/>
      <c r="J19" s="142"/>
      <c r="K19" s="166"/>
      <c r="L19" s="848"/>
      <c r="M19" s="581"/>
      <c r="N19" s="581"/>
      <c r="O19" s="581"/>
      <c r="P19" s="582"/>
      <c r="Q19" s="582"/>
      <c r="R19" s="582"/>
    </row>
    <row r="20" spans="1:27" ht="21" thickBot="1" x14ac:dyDescent="0.35">
      <c r="A20" s="83"/>
      <c r="B20" s="100" t="s">
        <v>155</v>
      </c>
      <c r="C20" s="644">
        <f>204800+16000-716</f>
        <v>220084</v>
      </c>
      <c r="D20" s="644">
        <v>1200</v>
      </c>
      <c r="E20" s="644">
        <v>200000</v>
      </c>
      <c r="F20" s="644">
        <v>2016050</v>
      </c>
      <c r="G20" s="644">
        <v>30000</v>
      </c>
      <c r="H20" s="644">
        <v>7500</v>
      </c>
      <c r="I20" s="634">
        <f>SUM(C20:H20)</f>
        <v>2474834</v>
      </c>
      <c r="J20" s="85"/>
      <c r="L20" s="852">
        <v>860000</v>
      </c>
      <c r="M20" s="850">
        <v>1.9650000000000001</v>
      </c>
      <c r="N20" s="582"/>
      <c r="O20" s="853" t="s">
        <v>3</v>
      </c>
      <c r="P20" s="851">
        <f>I20</f>
        <v>2474834</v>
      </c>
      <c r="Q20" s="582"/>
      <c r="R20" s="582"/>
      <c r="T20" s="65"/>
    </row>
    <row r="21" spans="1:27" ht="21" thickBot="1" x14ac:dyDescent="0.35">
      <c r="A21" s="83"/>
      <c r="B21" s="100" t="s">
        <v>156</v>
      </c>
      <c r="C21" s="644">
        <v>75170</v>
      </c>
      <c r="D21" s="644">
        <v>1500</v>
      </c>
      <c r="E21" s="644">
        <v>15000</v>
      </c>
      <c r="F21" s="644">
        <v>220378</v>
      </c>
      <c r="G21" s="644">
        <v>5000</v>
      </c>
      <c r="H21" s="644">
        <v>7500</v>
      </c>
      <c r="I21" s="634">
        <f>SUM(C21:H21)</f>
        <v>324548</v>
      </c>
      <c r="J21" s="85"/>
      <c r="K21" s="600"/>
      <c r="L21" s="852">
        <v>100000</v>
      </c>
      <c r="M21" s="850">
        <v>1.9650000000000001</v>
      </c>
      <c r="N21" s="581"/>
      <c r="O21" s="581"/>
      <c r="P21" s="851">
        <f>I21</f>
        <v>324548</v>
      </c>
      <c r="Q21" s="582"/>
      <c r="R21" s="582"/>
      <c r="T21" s="65"/>
    </row>
    <row r="22" spans="1:27" ht="21" thickBot="1" x14ac:dyDescent="0.35">
      <c r="A22" s="84"/>
      <c r="B22" s="26" t="s">
        <v>299</v>
      </c>
      <c r="C22" s="645">
        <f t="shared" ref="C22:I22" si="3">SUM(C20:C21)</f>
        <v>295254</v>
      </c>
      <c r="D22" s="645">
        <f t="shared" si="3"/>
        <v>2700</v>
      </c>
      <c r="E22" s="645">
        <f t="shared" si="3"/>
        <v>215000</v>
      </c>
      <c r="F22" s="645">
        <f t="shared" si="3"/>
        <v>2236428</v>
      </c>
      <c r="G22" s="645">
        <f t="shared" si="3"/>
        <v>35000</v>
      </c>
      <c r="H22" s="645">
        <f t="shared" si="3"/>
        <v>15000</v>
      </c>
      <c r="I22" s="645">
        <f t="shared" si="3"/>
        <v>2799382</v>
      </c>
      <c r="J22" s="85"/>
      <c r="K22" s="600"/>
      <c r="L22" s="852"/>
      <c r="M22" s="850" t="s">
        <v>3</v>
      </c>
      <c r="N22" s="581"/>
      <c r="O22" s="581"/>
      <c r="P22" s="854"/>
      <c r="R22" s="582"/>
      <c r="T22" s="65"/>
      <c r="V22" s="50"/>
      <c r="W22" s="50"/>
      <c r="X22" s="50"/>
      <c r="Y22" s="50"/>
      <c r="Z22" s="50"/>
      <c r="AA22" s="50"/>
    </row>
    <row r="23" spans="1:27" ht="21" thickBot="1" x14ac:dyDescent="0.35">
      <c r="A23" s="84"/>
      <c r="B23" s="690" t="s">
        <v>245</v>
      </c>
      <c r="C23" s="703">
        <v>25000</v>
      </c>
      <c r="D23" s="703">
        <v>1250</v>
      </c>
      <c r="E23" s="703">
        <v>5800</v>
      </c>
      <c r="F23" s="703">
        <v>179031</v>
      </c>
      <c r="G23" s="703">
        <v>10000</v>
      </c>
      <c r="H23" s="703">
        <v>25000</v>
      </c>
      <c r="I23" s="703">
        <f>SUM(C23:H23)</f>
        <v>246081</v>
      </c>
      <c r="J23" s="85"/>
      <c r="L23" s="852">
        <v>100000</v>
      </c>
      <c r="M23" s="850">
        <v>1.9650000000000001</v>
      </c>
      <c r="N23" s="581"/>
      <c r="O23" s="581"/>
      <c r="P23" s="851">
        <f>I23</f>
        <v>246081</v>
      </c>
      <c r="Q23" s="582"/>
      <c r="R23" s="582"/>
      <c r="T23" s="65"/>
    </row>
    <row r="24" spans="1:27" ht="21" thickBot="1" x14ac:dyDescent="0.35">
      <c r="A24" s="84"/>
      <c r="B24" s="26" t="s">
        <v>31</v>
      </c>
      <c r="C24" s="645">
        <f>C17+C22+C23</f>
        <v>605254</v>
      </c>
      <c r="D24" s="645">
        <f t="shared" ref="D24:I24" si="4">D17+D22+D23</f>
        <v>10450</v>
      </c>
      <c r="E24" s="645">
        <f t="shared" si="4"/>
        <v>420800</v>
      </c>
      <c r="F24" s="645">
        <f t="shared" si="4"/>
        <v>5033071</v>
      </c>
      <c r="G24" s="645">
        <f t="shared" si="4"/>
        <v>57500</v>
      </c>
      <c r="H24" s="645">
        <f t="shared" si="4"/>
        <v>55000</v>
      </c>
      <c r="I24" s="645">
        <f t="shared" si="4"/>
        <v>6182075</v>
      </c>
      <c r="J24" s="85"/>
      <c r="K24" s="520"/>
      <c r="L24" s="517"/>
      <c r="M24" s="850" t="s">
        <v>3</v>
      </c>
      <c r="N24" s="581"/>
      <c r="O24" s="581"/>
      <c r="P24" s="582"/>
      <c r="Q24" s="582"/>
      <c r="R24" s="582"/>
      <c r="T24" s="65"/>
    </row>
    <row r="25" spans="1:27" s="51" customFormat="1" ht="20.25" x14ac:dyDescent="0.3">
      <c r="A25" s="83"/>
      <c r="B25" s="2894"/>
      <c r="C25" s="2895"/>
      <c r="D25" s="2895"/>
      <c r="E25" s="2895"/>
      <c r="F25" s="2895"/>
      <c r="G25" s="2895"/>
      <c r="H25" s="2895"/>
      <c r="I25" s="2896"/>
      <c r="J25" s="142"/>
      <c r="K25" s="855" t="s">
        <v>3</v>
      </c>
      <c r="L25" s="517"/>
      <c r="M25" s="581"/>
      <c r="N25" s="581"/>
      <c r="O25" s="581"/>
      <c r="P25" s="49"/>
      <c r="Q25" s="582"/>
      <c r="R25" s="582"/>
      <c r="S25" s="49"/>
      <c r="T25" s="65"/>
      <c r="U25" s="49"/>
      <c r="V25" s="50"/>
      <c r="W25" s="50"/>
      <c r="X25" s="50"/>
      <c r="Y25" s="50"/>
      <c r="Z25" s="50"/>
      <c r="AA25" s="50"/>
    </row>
    <row r="26" spans="1:27" ht="21" thickBot="1" x14ac:dyDescent="0.35">
      <c r="A26" s="83"/>
      <c r="B26" s="2885" t="s">
        <v>158</v>
      </c>
      <c r="C26" s="2886"/>
      <c r="D26" s="2886"/>
      <c r="E26" s="2886"/>
      <c r="F26" s="2886"/>
      <c r="G26" s="2886"/>
      <c r="H26" s="2886"/>
      <c r="I26" s="2887"/>
      <c r="J26" s="85"/>
      <c r="L26" s="517"/>
      <c r="M26" s="581"/>
      <c r="N26" s="581"/>
      <c r="O26" s="581"/>
      <c r="P26" s="587"/>
      <c r="T26" s="65"/>
    </row>
    <row r="27" spans="1:27" ht="21" customHeight="1" x14ac:dyDescent="0.3">
      <c r="A27" s="84"/>
      <c r="B27" s="156" t="s">
        <v>159</v>
      </c>
      <c r="C27" s="667"/>
      <c r="D27" s="667"/>
      <c r="E27" s="667">
        <v>75000</v>
      </c>
      <c r="F27" s="667"/>
      <c r="G27" s="667"/>
      <c r="H27" s="667"/>
      <c r="I27" s="668">
        <f t="shared" ref="I27:I33" si="5">C27+D27+E27+F27+G27+H27</f>
        <v>75000</v>
      </c>
      <c r="J27" s="85"/>
      <c r="K27" s="597"/>
      <c r="L27" s="517"/>
      <c r="M27" s="581"/>
      <c r="N27" s="581"/>
      <c r="O27" s="581"/>
      <c r="P27" s="582"/>
      <c r="Q27" s="582"/>
      <c r="R27" s="582"/>
      <c r="T27" s="65"/>
    </row>
    <row r="28" spans="1:27" ht="27" customHeight="1" x14ac:dyDescent="0.3">
      <c r="A28" s="84"/>
      <c r="B28" s="614" t="s">
        <v>178</v>
      </c>
      <c r="C28" s="669"/>
      <c r="D28" s="669"/>
      <c r="E28" s="669">
        <v>135000</v>
      </c>
      <c r="F28" s="669"/>
      <c r="G28" s="669"/>
      <c r="H28" s="669"/>
      <c r="I28" s="670">
        <f t="shared" si="5"/>
        <v>135000</v>
      </c>
      <c r="J28" s="85"/>
      <c r="K28" s="522"/>
      <c r="L28" s="517"/>
      <c r="M28" s="581"/>
      <c r="N28" s="581"/>
      <c r="O28" s="581"/>
      <c r="P28" s="582"/>
      <c r="Q28" s="582"/>
      <c r="R28" s="582"/>
      <c r="U28" s="50"/>
    </row>
    <row r="29" spans="1:27" ht="28.5" customHeight="1" x14ac:dyDescent="0.3">
      <c r="A29" s="84"/>
      <c r="B29" s="614" t="s">
        <v>180</v>
      </c>
      <c r="C29" s="669"/>
      <c r="D29" s="669"/>
      <c r="E29" s="669">
        <v>75000</v>
      </c>
      <c r="F29" s="669"/>
      <c r="G29" s="669"/>
      <c r="H29" s="669"/>
      <c r="I29" s="670">
        <f t="shared" si="5"/>
        <v>75000</v>
      </c>
      <c r="J29" s="85"/>
      <c r="K29" s="522"/>
      <c r="L29" s="848">
        <v>200000</v>
      </c>
      <c r="M29" s="581">
        <v>0.1</v>
      </c>
      <c r="N29" s="581">
        <v>7.7999999999999996E-3</v>
      </c>
      <c r="O29" s="581">
        <v>1.6799999999999999E-2</v>
      </c>
      <c r="P29" s="582">
        <v>0.75556999999999996</v>
      </c>
      <c r="Q29" s="582">
        <v>1.06E-2</v>
      </c>
      <c r="R29" s="582">
        <v>0.10920000000000001</v>
      </c>
      <c r="T29" s="65">
        <f>SUM(M29:R29)</f>
        <v>0.99997000000000003</v>
      </c>
    </row>
    <row r="30" spans="1:27" ht="26.25" customHeight="1" x14ac:dyDescent="0.3">
      <c r="A30" s="84"/>
      <c r="B30" s="614" t="s">
        <v>168</v>
      </c>
      <c r="C30" s="669"/>
      <c r="D30" s="669"/>
      <c r="E30" s="669">
        <v>52500</v>
      </c>
      <c r="F30" s="669"/>
      <c r="G30" s="669"/>
      <c r="H30" s="669"/>
      <c r="I30" s="670">
        <f t="shared" si="5"/>
        <v>52500</v>
      </c>
      <c r="J30" s="85"/>
      <c r="K30" s="598"/>
      <c r="L30" s="141">
        <f>SUM(L16:L29)</f>
        <v>2500000</v>
      </c>
      <c r="M30" s="141"/>
      <c r="O30" s="50"/>
    </row>
    <row r="31" spans="1:27" ht="21" customHeight="1" x14ac:dyDescent="0.3">
      <c r="A31" s="84"/>
      <c r="B31" s="614" t="s">
        <v>121</v>
      </c>
      <c r="C31" s="669">
        <v>88500</v>
      </c>
      <c r="D31" s="669"/>
      <c r="E31" s="669">
        <v>0</v>
      </c>
      <c r="F31" s="669"/>
      <c r="G31" s="669"/>
      <c r="H31" s="669"/>
      <c r="I31" s="670">
        <f t="shared" si="5"/>
        <v>88500</v>
      </c>
      <c r="J31" s="85"/>
      <c r="K31" s="599"/>
      <c r="L31" s="852" t="s">
        <v>3</v>
      </c>
      <c r="M31" s="167"/>
      <c r="N31" s="52"/>
      <c r="O31" s="52"/>
      <c r="P31" s="856">
        <f>L29*P29</f>
        <v>151114</v>
      </c>
      <c r="Q31" s="831">
        <f>P29</f>
        <v>0.75556999999999996</v>
      </c>
      <c r="R31" s="51"/>
      <c r="S31" s="51"/>
      <c r="T31" s="51"/>
      <c r="U31" s="50"/>
    </row>
    <row r="32" spans="1:27" s="50" customFormat="1" ht="26.25" customHeight="1" x14ac:dyDescent="0.3">
      <c r="A32" s="83"/>
      <c r="B32" s="615" t="s">
        <v>157</v>
      </c>
      <c r="C32" s="669">
        <v>25270</v>
      </c>
      <c r="D32" s="671"/>
      <c r="E32" s="669">
        <f>426000-C32</f>
        <v>400730</v>
      </c>
      <c r="F32" s="671"/>
      <c r="G32" s="671"/>
      <c r="H32" s="671"/>
      <c r="I32" s="670">
        <f t="shared" si="5"/>
        <v>426000</v>
      </c>
      <c r="J32" s="85"/>
      <c r="K32" s="599"/>
      <c r="N32" s="141"/>
      <c r="O32" s="49"/>
      <c r="P32" s="587">
        <f>P29*L29</f>
        <v>151114</v>
      </c>
      <c r="Q32" s="49"/>
      <c r="R32" s="49"/>
      <c r="S32" s="49"/>
      <c r="T32" s="49"/>
      <c r="U32" s="49"/>
      <c r="V32" s="49"/>
      <c r="W32" s="49"/>
      <c r="X32" s="49"/>
      <c r="Y32" s="49"/>
      <c r="Z32" s="49"/>
      <c r="AA32" s="49"/>
    </row>
    <row r="33" spans="1:27" ht="24" customHeight="1" thickBot="1" x14ac:dyDescent="0.35">
      <c r="A33" s="83"/>
      <c r="B33" s="616" t="s">
        <v>221</v>
      </c>
      <c r="C33" s="672"/>
      <c r="D33" s="672"/>
      <c r="E33" s="673">
        <v>24750</v>
      </c>
      <c r="F33" s="672"/>
      <c r="G33" s="672"/>
      <c r="H33" s="672"/>
      <c r="I33" s="674">
        <f t="shared" si="5"/>
        <v>24750</v>
      </c>
      <c r="J33" s="85"/>
      <c r="K33" s="598"/>
      <c r="N33" s="141"/>
    </row>
    <row r="34" spans="1:27" ht="21" thickBot="1" x14ac:dyDescent="0.35">
      <c r="A34" s="83"/>
      <c r="B34" s="232" t="s">
        <v>43</v>
      </c>
      <c r="C34" s="650">
        <f>SUM(C27:C33)</f>
        <v>113770</v>
      </c>
      <c r="D34" s="650">
        <f t="shared" ref="D34:I34" si="6">SUM(D27:D33)</f>
        <v>0</v>
      </c>
      <c r="E34" s="650">
        <f t="shared" si="6"/>
        <v>762980</v>
      </c>
      <c r="F34" s="650">
        <f t="shared" si="6"/>
        <v>0</v>
      </c>
      <c r="G34" s="650">
        <f t="shared" si="6"/>
        <v>0</v>
      </c>
      <c r="H34" s="650">
        <f t="shared" si="6"/>
        <v>0</v>
      </c>
      <c r="I34" s="650">
        <f t="shared" si="6"/>
        <v>876750</v>
      </c>
      <c r="J34" s="85"/>
      <c r="K34" s="596"/>
      <c r="N34" s="141"/>
    </row>
    <row r="35" spans="1:27" s="50" customFormat="1" ht="20.25" x14ac:dyDescent="0.3">
      <c r="A35" s="83"/>
      <c r="B35" s="651"/>
      <c r="C35" s="652"/>
      <c r="D35" s="652"/>
      <c r="E35" s="652"/>
      <c r="F35" s="652"/>
      <c r="G35" s="652"/>
      <c r="H35" s="652"/>
      <c r="I35" s="653"/>
      <c r="J35" s="142"/>
      <c r="N35" s="141"/>
      <c r="O35" s="49"/>
      <c r="P35" s="49"/>
      <c r="Q35" s="49"/>
      <c r="R35" s="49"/>
      <c r="S35" s="49"/>
      <c r="T35" s="49"/>
      <c r="U35" s="49"/>
      <c r="V35" s="49"/>
      <c r="W35" s="49"/>
      <c r="X35" s="49"/>
      <c r="Y35" s="49"/>
      <c r="Z35" s="49"/>
      <c r="AA35" s="49"/>
    </row>
    <row r="36" spans="1:27" ht="19.5" customHeight="1" thickBot="1" x14ac:dyDescent="0.35">
      <c r="A36" s="83"/>
      <c r="B36" s="2891" t="s">
        <v>28</v>
      </c>
      <c r="C36" s="2892"/>
      <c r="D36" s="2892"/>
      <c r="E36" s="2892"/>
      <c r="F36" s="2892"/>
      <c r="G36" s="2892"/>
      <c r="H36" s="2892"/>
      <c r="I36" s="2893"/>
      <c r="J36" s="166"/>
      <c r="K36" s="166"/>
      <c r="N36" s="141"/>
    </row>
    <row r="37" spans="1:27" ht="21" customHeight="1" x14ac:dyDescent="0.3">
      <c r="A37" s="83"/>
      <c r="B37" s="654" t="s">
        <v>7</v>
      </c>
      <c r="C37" s="655">
        <f>C13</f>
        <v>513580</v>
      </c>
      <c r="D37" s="655">
        <f>D13</f>
        <v>10380.929999999998</v>
      </c>
      <c r="E37" s="655">
        <f>E13+E27+E28</f>
        <v>640973.58499999996</v>
      </c>
      <c r="F37" s="655">
        <f>F13</f>
        <v>4962037.4550000001</v>
      </c>
      <c r="G37" s="655">
        <f>G13</f>
        <v>55706.93</v>
      </c>
      <c r="H37" s="655">
        <f>H13</f>
        <v>15679.9</v>
      </c>
      <c r="I37" s="675">
        <f>I13+I27+I28</f>
        <v>6198358.7999999998</v>
      </c>
      <c r="J37" s="45"/>
      <c r="K37" s="522"/>
      <c r="N37" s="141"/>
    </row>
    <row r="38" spans="1:27" ht="21" customHeight="1" x14ac:dyDescent="0.3">
      <c r="A38" s="21"/>
      <c r="B38" s="656" t="s">
        <v>8</v>
      </c>
      <c r="C38" s="657">
        <f>C24</f>
        <v>605254</v>
      </c>
      <c r="D38" s="657">
        <f>D24</f>
        <v>10450</v>
      </c>
      <c r="E38" s="657">
        <f>E24+E29</f>
        <v>495800</v>
      </c>
      <c r="F38" s="657">
        <f>F24</f>
        <v>5033071</v>
      </c>
      <c r="G38" s="657">
        <f>G24</f>
        <v>57500</v>
      </c>
      <c r="H38" s="657">
        <f>H24</f>
        <v>55000</v>
      </c>
      <c r="I38" s="676">
        <f>I24+I29</f>
        <v>6257075</v>
      </c>
      <c r="J38" s="45"/>
      <c r="K38" s="522"/>
      <c r="L38" s="589">
        <v>0.36290322580645162</v>
      </c>
      <c r="N38" s="572">
        <v>0.63709677419354838</v>
      </c>
      <c r="O38" s="50"/>
      <c r="P38" s="50"/>
      <c r="Q38" s="50"/>
      <c r="R38" s="50"/>
      <c r="S38" s="50"/>
      <c r="T38" s="50"/>
    </row>
    <row r="39" spans="1:27" ht="21" customHeight="1" thickBot="1" x14ac:dyDescent="0.35">
      <c r="A39" s="86"/>
      <c r="B39" s="658" t="s">
        <v>12</v>
      </c>
      <c r="C39" s="659">
        <f>C31+C32</f>
        <v>113770</v>
      </c>
      <c r="D39" s="659">
        <f>SUM(D31:D33)</f>
        <v>0</v>
      </c>
      <c r="E39" s="659">
        <f>E30+E31++E32+E33</f>
        <v>477980</v>
      </c>
      <c r="F39" s="659">
        <f>SUM(F31:F33)</f>
        <v>0</v>
      </c>
      <c r="G39" s="659">
        <f>SUM(G31:G33)</f>
        <v>0</v>
      </c>
      <c r="H39" s="659">
        <f>SUM(H31:H33)</f>
        <v>0</v>
      </c>
      <c r="I39" s="677">
        <f>SUM(I31:I33)+I30</f>
        <v>591750</v>
      </c>
      <c r="J39" s="45"/>
      <c r="K39" s="45"/>
      <c r="L39" s="141"/>
      <c r="N39" s="141"/>
    </row>
    <row r="40" spans="1:27" ht="21" thickBot="1" x14ac:dyDescent="0.35">
      <c r="A40" s="83"/>
      <c r="B40" s="648" t="s">
        <v>58</v>
      </c>
      <c r="C40" s="649">
        <f t="shared" ref="C40:I40" si="7">SUM(C37:C39)</f>
        <v>1232604</v>
      </c>
      <c r="D40" s="649">
        <f t="shared" si="7"/>
        <v>20830.93</v>
      </c>
      <c r="E40" s="649">
        <f t="shared" si="7"/>
        <v>1614753.585</v>
      </c>
      <c r="F40" s="649">
        <f t="shared" si="7"/>
        <v>9995108.4550000001</v>
      </c>
      <c r="G40" s="649">
        <f t="shared" si="7"/>
        <v>113206.93</v>
      </c>
      <c r="H40" s="649">
        <f t="shared" si="7"/>
        <v>70679.899999999994</v>
      </c>
      <c r="I40" s="649">
        <f t="shared" si="7"/>
        <v>13047183.800000001</v>
      </c>
      <c r="J40" s="85"/>
      <c r="K40" s="45"/>
      <c r="N40" s="141"/>
      <c r="AA40" s="64"/>
    </row>
    <row r="41" spans="1:27" ht="20.25" x14ac:dyDescent="0.3">
      <c r="A41" s="87"/>
      <c r="B41" s="88"/>
      <c r="C41" s="89"/>
      <c r="D41" s="22"/>
      <c r="E41" s="89"/>
      <c r="F41" s="21"/>
      <c r="G41" s="21"/>
      <c r="H41" s="21"/>
      <c r="I41" s="135"/>
      <c r="J41" s="45"/>
      <c r="K41" s="45"/>
      <c r="N41" s="141"/>
      <c r="O41" s="50"/>
      <c r="P41" s="50"/>
      <c r="Q41" s="50"/>
      <c r="R41" s="50"/>
      <c r="S41" s="50"/>
      <c r="T41" s="50"/>
      <c r="AA41" s="64"/>
    </row>
    <row r="42" spans="1:27" ht="20.25" x14ac:dyDescent="0.3">
      <c r="A42" s="87"/>
      <c r="B42" s="90"/>
      <c r="C42" s="877"/>
      <c r="D42" s="832"/>
      <c r="E42" s="877"/>
      <c r="F42" s="832"/>
      <c r="G42" s="832"/>
      <c r="H42" s="832"/>
      <c r="I42" s="135"/>
      <c r="J42" s="45"/>
      <c r="K42" s="136"/>
      <c r="L42" s="52"/>
      <c r="N42" s="141"/>
      <c r="AA42" s="64"/>
    </row>
    <row r="43" spans="1:27" ht="20.25" x14ac:dyDescent="0.3">
      <c r="A43" s="81"/>
      <c r="B43" s="143"/>
      <c r="C43" s="134"/>
      <c r="N43" s="141"/>
      <c r="AA43" s="64"/>
    </row>
    <row r="44" spans="1:27" ht="20.25" x14ac:dyDescent="0.3">
      <c r="A44" s="81"/>
      <c r="B44" s="143"/>
      <c r="L44" s="521"/>
      <c r="N44" s="141"/>
    </row>
    <row r="45" spans="1:27" ht="15.75" x14ac:dyDescent="0.25">
      <c r="A45" s="81"/>
      <c r="B45" s="144"/>
      <c r="D45" s="64"/>
      <c r="N45" s="141"/>
    </row>
    <row r="46" spans="1:27" ht="15.75" x14ac:dyDescent="0.25">
      <c r="B46" s="144"/>
      <c r="N46" s="141"/>
    </row>
    <row r="47" spans="1:27" ht="15.75" x14ac:dyDescent="0.25">
      <c r="B47" s="144"/>
    </row>
    <row r="48" spans="1:27" ht="15.75" x14ac:dyDescent="0.25">
      <c r="B48" s="144"/>
    </row>
    <row r="49" spans="1:27" ht="15.75" x14ac:dyDescent="0.25">
      <c r="B49" s="144"/>
    </row>
    <row r="50" spans="1:27" s="64" customFormat="1" ht="15.75" x14ac:dyDescent="0.25">
      <c r="A50" s="49"/>
      <c r="B50" s="144"/>
      <c r="D50" s="63"/>
      <c r="F50" s="49"/>
      <c r="G50" s="49"/>
      <c r="H50" s="49"/>
      <c r="I50" s="49"/>
      <c r="J50" s="50"/>
      <c r="K50" s="50"/>
      <c r="L50" s="50"/>
      <c r="M50" s="50"/>
      <c r="N50" s="50"/>
      <c r="O50" s="49"/>
      <c r="P50" s="49"/>
      <c r="Q50" s="49"/>
      <c r="R50" s="49"/>
      <c r="S50" s="49"/>
      <c r="T50" s="49"/>
      <c r="U50" s="49"/>
      <c r="V50" s="49"/>
      <c r="W50" s="49"/>
      <c r="X50" s="49"/>
      <c r="Y50" s="49"/>
      <c r="Z50" s="49"/>
      <c r="AA50" s="49"/>
    </row>
    <row r="51" spans="1:27" s="64" customFormat="1" ht="15.75" x14ac:dyDescent="0.25">
      <c r="A51" s="49"/>
      <c r="B51" s="144"/>
      <c r="D51" s="63"/>
      <c r="F51" s="49"/>
      <c r="G51" s="49"/>
      <c r="H51" s="49"/>
      <c r="I51" s="49"/>
      <c r="J51" s="50"/>
      <c r="K51" s="50"/>
      <c r="L51" s="50"/>
      <c r="M51" s="50"/>
      <c r="N51" s="50"/>
      <c r="O51" s="49"/>
      <c r="P51" s="49"/>
      <c r="Q51" s="49"/>
      <c r="R51" s="49"/>
      <c r="S51" s="49"/>
      <c r="T51" s="49"/>
      <c r="U51" s="49"/>
      <c r="V51" s="49"/>
      <c r="W51" s="49"/>
      <c r="X51" s="49"/>
      <c r="Y51" s="49"/>
      <c r="Z51" s="49"/>
      <c r="AA51" s="49"/>
    </row>
    <row r="52" spans="1:27" s="64" customFormat="1" ht="15.75" x14ac:dyDescent="0.25">
      <c r="A52" s="49"/>
      <c r="B52" s="144"/>
      <c r="D52" s="63"/>
      <c r="F52" s="49"/>
      <c r="G52" s="49"/>
      <c r="H52" s="49"/>
      <c r="I52" s="49"/>
      <c r="J52" s="50"/>
      <c r="K52" s="50"/>
      <c r="L52" s="50"/>
      <c r="M52" s="50"/>
      <c r="N52" s="50"/>
      <c r="O52" s="49"/>
      <c r="P52" s="49"/>
      <c r="Q52" s="49"/>
      <c r="R52" s="49"/>
      <c r="S52" s="49"/>
      <c r="T52" s="49"/>
      <c r="U52" s="49"/>
      <c r="V52" s="49"/>
      <c r="W52" s="49"/>
      <c r="X52" s="49"/>
      <c r="Y52" s="49"/>
      <c r="Z52" s="49"/>
      <c r="AA52" s="49"/>
    </row>
    <row r="53" spans="1:27" s="64" customFormat="1" ht="15.75" x14ac:dyDescent="0.25">
      <c r="A53" s="49"/>
      <c r="B53" s="144"/>
      <c r="D53" s="63"/>
      <c r="F53" s="49"/>
      <c r="G53" s="49"/>
      <c r="H53" s="49"/>
      <c r="I53" s="49"/>
      <c r="J53" s="50"/>
      <c r="K53" s="50"/>
      <c r="L53" s="50"/>
      <c r="M53" s="50"/>
      <c r="N53" s="50"/>
      <c r="O53" s="49"/>
      <c r="P53" s="49"/>
      <c r="Q53" s="49"/>
      <c r="R53" s="49"/>
      <c r="S53" s="49"/>
      <c r="T53" s="49"/>
      <c r="U53" s="49"/>
      <c r="V53" s="49"/>
      <c r="W53" s="49"/>
      <c r="X53" s="49"/>
      <c r="Y53" s="49"/>
      <c r="Z53" s="49"/>
      <c r="AA53" s="49"/>
    </row>
  </sheetData>
  <mergeCells count="10">
    <mergeCell ref="B36:I36"/>
    <mergeCell ref="B26:I26"/>
    <mergeCell ref="B18:I18"/>
    <mergeCell ref="B19:I19"/>
    <mergeCell ref="B25:I25"/>
    <mergeCell ref="B1:I1"/>
    <mergeCell ref="B2:I2"/>
    <mergeCell ref="B15:I15"/>
    <mergeCell ref="B6:I6"/>
    <mergeCell ref="B3:I3"/>
  </mergeCells>
  <phoneticPr fontId="10" type="noConversion"/>
  <printOptions horizontalCentered="1" verticalCentered="1"/>
  <pageMargins left="0.61" right="0.31" top="0.2" bottom="0.68" header="0.2" footer="0.18"/>
  <pageSetup scale="63" orientation="landscape" r:id="rId1"/>
  <headerFooter alignWithMargins="0">
    <oddFooter>&amp;R
&amp;C&amp;"Arial"&amp;11&amp;K000000&amp;14
Totals may vary due to rounding&amp;12
_x000D_&amp;1#&amp;"Calibri"&amp;12&amp;K008000Internal Use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0">
    <tabColor indexed="11"/>
  </sheetPr>
  <dimension ref="A1:F43"/>
  <sheetViews>
    <sheetView topLeftCell="A16" workbookViewId="0">
      <selection activeCell="C32" sqref="C32:E32"/>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59</v>
      </c>
      <c r="B1" s="2883"/>
      <c r="C1" s="2883"/>
      <c r="D1" s="2883"/>
      <c r="E1" s="2883"/>
      <c r="F1" s="23"/>
    </row>
    <row r="2" spans="1:6" ht="20.25" x14ac:dyDescent="0.3">
      <c r="A2" s="2883" t="s">
        <v>254</v>
      </c>
      <c r="B2" s="2883"/>
      <c r="C2" s="2883"/>
      <c r="D2" s="2883"/>
      <c r="E2" s="2883"/>
      <c r="F2" s="23"/>
    </row>
    <row r="3" spans="1:6" ht="20.25" x14ac:dyDescent="0.3">
      <c r="A3" s="2883" t="s">
        <v>60</v>
      </c>
      <c r="B3" s="2883"/>
      <c r="C3" s="2883"/>
      <c r="D3" s="2883"/>
      <c r="E3" s="2883"/>
      <c r="F3" s="23"/>
    </row>
    <row r="4" spans="1:6" ht="15.75" x14ac:dyDescent="0.25">
      <c r="B4" s="2883" t="s">
        <v>295</v>
      </c>
      <c r="C4" s="2883"/>
      <c r="D4" s="2883"/>
    </row>
    <row r="32" spans="1:4" x14ac:dyDescent="0.2">
      <c r="A32" s="7" t="s">
        <v>17</v>
      </c>
      <c r="B32" s="211" t="s">
        <v>1</v>
      </c>
      <c r="C32" s="7"/>
      <c r="D32" s="212" t="s">
        <v>18</v>
      </c>
    </row>
    <row r="33" spans="1:4" x14ac:dyDescent="0.2">
      <c r="B33" s="24"/>
      <c r="D33" s="2"/>
    </row>
    <row r="34" spans="1:4" x14ac:dyDescent="0.2">
      <c r="A34" t="s">
        <v>53</v>
      </c>
      <c r="B34" s="14">
        <f>'YGS Table C 2012 Increased Fund'!C40</f>
        <v>1232604</v>
      </c>
      <c r="D34" s="236">
        <f t="shared" ref="D34:D39" si="0">SUM(B34/$B$41)</f>
        <v>9.4472801095972919E-2</v>
      </c>
    </row>
    <row r="35" spans="1:4" x14ac:dyDescent="0.2">
      <c r="A35" t="s">
        <v>19</v>
      </c>
      <c r="B35" s="14">
        <f>'YGS Table C 2012 Increased Fund'!D40</f>
        <v>20830.93</v>
      </c>
      <c r="D35" s="236">
        <f t="shared" si="0"/>
        <v>1.5965843908782829E-3</v>
      </c>
    </row>
    <row r="36" spans="1:4" x14ac:dyDescent="0.2">
      <c r="A36" t="s">
        <v>4</v>
      </c>
      <c r="B36" s="14">
        <f>'YGS Table C 2012 Increased Fund'!E40</f>
        <v>1614753.585</v>
      </c>
      <c r="D36" s="236">
        <f t="shared" si="0"/>
        <v>0.12376261496369816</v>
      </c>
    </row>
    <row r="37" spans="1:4" x14ac:dyDescent="0.2">
      <c r="A37" t="s">
        <v>2</v>
      </c>
      <c r="B37" s="14">
        <f>'YGS Table C 2012 Increased Fund'!F40</f>
        <v>9995108.4550000001</v>
      </c>
      <c r="D37" s="236">
        <f t="shared" si="0"/>
        <v>0.76607401322881652</v>
      </c>
    </row>
    <row r="38" spans="1:4" x14ac:dyDescent="0.2">
      <c r="A38" t="s">
        <v>14</v>
      </c>
      <c r="B38" s="14">
        <f>'YGS Table C 2012 Increased Fund'!G40</f>
        <v>113206.93</v>
      </c>
      <c r="D38" s="236">
        <f t="shared" si="0"/>
        <v>8.6767329820248255E-3</v>
      </c>
    </row>
    <row r="39" spans="1:4" x14ac:dyDescent="0.2">
      <c r="A39" t="s">
        <v>15</v>
      </c>
      <c r="B39" s="933">
        <f>'YGS Table C 2012 Increased Fund'!H40</f>
        <v>70679.899999999994</v>
      </c>
      <c r="D39" s="934">
        <f t="shared" si="0"/>
        <v>5.4172533386093631E-3</v>
      </c>
    </row>
    <row r="40" spans="1:4" x14ac:dyDescent="0.2">
      <c r="D40" s="47"/>
    </row>
    <row r="41" spans="1:4" x14ac:dyDescent="0.2">
      <c r="A41" s="629" t="s">
        <v>0</v>
      </c>
      <c r="B41" s="178">
        <f>SUM(B34:B39)</f>
        <v>13047183.799999999</v>
      </c>
      <c r="D41" s="127">
        <f>SUM(D34:D39)</f>
        <v>1</v>
      </c>
    </row>
    <row r="43" spans="1:4" x14ac:dyDescent="0.2">
      <c r="A43" s="46"/>
    </row>
  </sheetData>
  <mergeCells count="4">
    <mergeCell ref="A1:E1"/>
    <mergeCell ref="A2:E2"/>
    <mergeCell ref="A3:E3"/>
    <mergeCell ref="B4:D4"/>
  </mergeCells>
  <phoneticPr fontId="10" type="noConversion"/>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tabColor indexed="11"/>
    <pageSetUpPr fitToPage="1"/>
  </sheetPr>
  <dimension ref="A1:Z63"/>
  <sheetViews>
    <sheetView topLeftCell="C1" zoomScale="70" zoomScaleNormal="70" workbookViewId="0">
      <pane ySplit="5" topLeftCell="A30" activePane="bottomLeft" state="frozen"/>
      <selection activeCell="H43" sqref="H43"/>
      <selection pane="bottomLeft" activeCell="H43" sqref="H43"/>
    </sheetView>
  </sheetViews>
  <sheetFormatPr defaultRowHeight="15.75" x14ac:dyDescent="0.25"/>
  <cols>
    <col min="1" max="1" width="7.140625" style="1312" customWidth="1"/>
    <col min="2" max="2" width="54.5703125" style="1312" customWidth="1"/>
    <col min="3" max="3" width="19.85546875" style="1377" customWidth="1"/>
    <col min="4" max="4" width="18" style="1380" customWidth="1"/>
    <col min="5" max="5" width="20.85546875" style="1377" bestFit="1" customWidth="1"/>
    <col min="6" max="6" width="17.42578125" style="1312" customWidth="1"/>
    <col min="7" max="7" width="16.5703125" style="1312" customWidth="1"/>
    <col min="8" max="8" width="20.42578125" style="1312" customWidth="1"/>
    <col min="9" max="9" width="21.140625" style="1312" customWidth="1"/>
    <col min="10" max="10" width="20.42578125" style="1314" hidden="1" customWidth="1"/>
    <col min="11" max="11" width="20.42578125" style="1315" hidden="1" customWidth="1"/>
    <col min="12" max="12" width="16.28515625" style="1314" hidden="1" customWidth="1"/>
    <col min="13" max="14" width="10.7109375" style="1314" hidden="1" customWidth="1"/>
    <col min="15" max="15" width="10.7109375" style="1312" hidden="1" customWidth="1"/>
    <col min="16" max="16" width="13.42578125" style="1312" hidden="1" customWidth="1"/>
    <col min="17" max="17" width="10.7109375" style="1312" hidden="1" customWidth="1"/>
    <col min="18" max="18" width="12.85546875" style="1312" hidden="1" customWidth="1"/>
    <col min="19" max="19" width="10.7109375" style="1312" hidden="1" customWidth="1"/>
    <col min="20" max="22" width="9.140625" style="1312" hidden="1" customWidth="1"/>
    <col min="23" max="23" width="24.7109375" style="1312" customWidth="1"/>
    <col min="24" max="16384" width="9.140625" style="1312"/>
  </cols>
  <sheetData>
    <row r="1" spans="1:26" x14ac:dyDescent="0.25">
      <c r="B1" s="2916" t="s">
        <v>82</v>
      </c>
      <c r="C1" s="2916"/>
      <c r="D1" s="2916"/>
      <c r="E1" s="2916"/>
      <c r="F1" s="2916"/>
      <c r="G1" s="2916"/>
      <c r="H1" s="2916"/>
      <c r="I1" s="2916"/>
    </row>
    <row r="2" spans="1:26" x14ac:dyDescent="0.25">
      <c r="B2" s="2916" t="s">
        <v>412</v>
      </c>
      <c r="C2" s="2916"/>
      <c r="D2" s="2916"/>
      <c r="E2" s="2916"/>
      <c r="F2" s="2916"/>
      <c r="G2" s="2916"/>
      <c r="H2" s="2916"/>
      <c r="I2" s="2916"/>
    </row>
    <row r="3" spans="1:26" x14ac:dyDescent="0.25">
      <c r="B3" s="2916"/>
      <c r="C3" s="2916"/>
      <c r="D3" s="2916"/>
      <c r="E3" s="2916"/>
      <c r="F3" s="2916"/>
      <c r="G3" s="2916"/>
      <c r="H3" s="2916"/>
      <c r="I3" s="2916"/>
      <c r="S3" s="1312">
        <v>2035000</v>
      </c>
      <c r="T3" s="1312">
        <v>2412000</v>
      </c>
      <c r="U3" s="1312">
        <v>2942000</v>
      </c>
    </row>
    <row r="4" spans="1:26" ht="6.75" customHeight="1" thickBot="1" x14ac:dyDescent="0.3">
      <c r="B4" s="1316"/>
      <c r="C4" s="1317"/>
      <c r="D4" s="1318"/>
      <c r="E4" s="1319"/>
    </row>
    <row r="5" spans="1:26" ht="48" thickBot="1" x14ac:dyDescent="0.3">
      <c r="B5" s="1320" t="s">
        <v>42</v>
      </c>
      <c r="C5" s="1321" t="s">
        <v>53</v>
      </c>
      <c r="D5" s="1321" t="s">
        <v>13</v>
      </c>
      <c r="E5" s="1321" t="s">
        <v>4</v>
      </c>
      <c r="F5" s="1321" t="s">
        <v>2</v>
      </c>
      <c r="G5" s="1321" t="s">
        <v>14</v>
      </c>
      <c r="H5" s="1321" t="s">
        <v>15</v>
      </c>
      <c r="I5" s="1321" t="s">
        <v>16</v>
      </c>
    </row>
    <row r="6" spans="1:26" ht="16.5" thickBot="1" x14ac:dyDescent="0.3">
      <c r="B6" s="2917" t="s">
        <v>5</v>
      </c>
      <c r="C6" s="2918"/>
      <c r="D6" s="2918"/>
      <c r="E6" s="2918"/>
      <c r="F6" s="2918"/>
      <c r="G6" s="2918"/>
      <c r="H6" s="2918"/>
      <c r="I6" s="2919"/>
      <c r="J6" s="1322"/>
      <c r="K6" s="1323"/>
      <c r="L6" s="1315"/>
      <c r="M6" s="1315"/>
    </row>
    <row r="7" spans="1:26" ht="16.5" customHeight="1" x14ac:dyDescent="0.25">
      <c r="A7" s="1145"/>
      <c r="B7" s="1293" t="s">
        <v>222</v>
      </c>
      <c r="C7" s="633">
        <f>2429000*0.1</f>
        <v>242900</v>
      </c>
      <c r="D7" s="633">
        <v>1590</v>
      </c>
      <c r="E7" s="633">
        <v>75396</v>
      </c>
      <c r="F7" s="633">
        <f>2657224-600000</f>
        <v>2057224</v>
      </c>
      <c r="G7" s="633">
        <v>43900</v>
      </c>
      <c r="H7" s="633">
        <v>7990</v>
      </c>
      <c r="I7" s="660">
        <f>SUM(C7:H7)</f>
        <v>2429000</v>
      </c>
      <c r="J7" s="1322">
        <v>3029000</v>
      </c>
      <c r="K7" s="1324">
        <f>I7-J7</f>
        <v>-600000</v>
      </c>
      <c r="L7" s="1162">
        <v>9.5000000000000001E-2</v>
      </c>
      <c r="M7" s="1162">
        <v>5.2480180539869997E-4</v>
      </c>
      <c r="N7" s="1147">
        <v>1.50694985349057E-2</v>
      </c>
      <c r="O7" s="1156">
        <f>1-SUM(L7,M7,N7,P7,Q7)</f>
        <v>0.87726116615304472</v>
      </c>
      <c r="P7" s="1156">
        <v>9.5066509E-3</v>
      </c>
      <c r="Q7" s="1156">
        <v>2.6378826066509064E-3</v>
      </c>
      <c r="U7" s="1312">
        <f>1898405/2114946</f>
        <v>0.89761393435104253</v>
      </c>
    </row>
    <row r="8" spans="1:26" ht="16.5" customHeight="1" x14ac:dyDescent="0.25">
      <c r="A8" s="1145"/>
      <c r="B8" s="1288" t="s">
        <v>149</v>
      </c>
      <c r="C8" s="638">
        <f>3635000*0.09</f>
        <v>327150</v>
      </c>
      <c r="D8" s="638">
        <v>1857.2275319413191</v>
      </c>
      <c r="E8" s="638">
        <f>3635000*0.04</f>
        <v>145400</v>
      </c>
      <c r="F8" s="638">
        <f>3635000*0.85</f>
        <v>3089750</v>
      </c>
      <c r="G8" s="638">
        <v>62859</v>
      </c>
      <c r="H8" s="638">
        <v>7984.1153321282491</v>
      </c>
      <c r="I8" s="640">
        <f>SUM(C8:H8)</f>
        <v>3635000.3428640696</v>
      </c>
      <c r="J8" s="1322">
        <v>3035000</v>
      </c>
      <c r="K8" s="1324">
        <f t="shared" ref="K8:K50" si="0">I8-J8</f>
        <v>600000.34286406962</v>
      </c>
      <c r="L8" s="1162">
        <v>8.4510000000000002E-2</v>
      </c>
      <c r="M8" s="1162">
        <v>6.1193658383568996E-4</v>
      </c>
      <c r="N8" s="1162">
        <v>7.0000000000000001E-3</v>
      </c>
      <c r="O8" s="1162">
        <f>1-SUM(L8,M8,N8,P8,Q8)</f>
        <v>0.88866991955791741</v>
      </c>
      <c r="P8" s="1162">
        <v>1.6577463353427E-2</v>
      </c>
      <c r="Q8" s="1162">
        <v>2.6306805048198515E-3</v>
      </c>
      <c r="R8" s="1325"/>
    </row>
    <row r="9" spans="1:26" ht="16.5" customHeight="1" x14ac:dyDescent="0.25">
      <c r="A9" s="1145"/>
      <c r="B9" s="1288" t="s">
        <v>227</v>
      </c>
      <c r="C9" s="638">
        <v>20280</v>
      </c>
      <c r="D9" s="638">
        <v>325</v>
      </c>
      <c r="E9" s="638">
        <v>33995</v>
      </c>
      <c r="F9" s="638">
        <v>585585</v>
      </c>
      <c r="G9" s="638">
        <v>6890</v>
      </c>
      <c r="H9" s="638">
        <v>2925</v>
      </c>
      <c r="I9" s="640">
        <f>SUM(C9:H9)</f>
        <v>650000</v>
      </c>
      <c r="J9" s="1322">
        <v>650000</v>
      </c>
      <c r="K9" s="1324">
        <f t="shared" si="0"/>
        <v>0</v>
      </c>
      <c r="L9" s="1162">
        <v>3.1199999999999999E-2</v>
      </c>
      <c r="M9" s="1147">
        <v>5.0000000000000001E-4</v>
      </c>
      <c r="N9" s="1156">
        <v>5.2299999999999999E-2</v>
      </c>
      <c r="O9" s="1156">
        <f>1-SUM(L9,M9,N9,P9,Q9)</f>
        <v>0.90090000000000003</v>
      </c>
      <c r="P9" s="1156">
        <v>1.06E-2</v>
      </c>
      <c r="Q9" s="1156">
        <v>4.4999999999999997E-3</v>
      </c>
      <c r="R9" s="1326"/>
      <c r="S9" s="1326"/>
    </row>
    <row r="10" spans="1:26" ht="16.5" customHeight="1" thickBot="1" x14ac:dyDescent="0.3">
      <c r="A10" s="1150"/>
      <c r="B10" s="1327" t="s">
        <v>150</v>
      </c>
      <c r="C10" s="641">
        <v>7466.2239089183904</v>
      </c>
      <c r="D10" s="641">
        <v>332.06831119544592</v>
      </c>
      <c r="E10" s="641">
        <v>1530.8349146110058</v>
      </c>
      <c r="F10" s="641">
        <v>58558.918406072124</v>
      </c>
      <c r="G10" s="641">
        <v>1483.681214421252</v>
      </c>
      <c r="H10" s="641">
        <v>628.273244781784</v>
      </c>
      <c r="I10" s="643">
        <f>SUM(C10:H10)</f>
        <v>70000</v>
      </c>
      <c r="J10" s="1322">
        <v>70000</v>
      </c>
      <c r="K10" s="1324">
        <f t="shared" si="0"/>
        <v>0</v>
      </c>
      <c r="L10" s="1162">
        <v>0.10666034155597701</v>
      </c>
      <c r="M10" s="1147">
        <v>4.7438330170777986E-3</v>
      </c>
      <c r="N10" s="1156">
        <v>2.1869070208728653E-2</v>
      </c>
      <c r="O10" s="1156">
        <f>1-SUM(L10,M10,N10,P10,Q10)</f>
        <v>0.83655597722960173</v>
      </c>
      <c r="P10" s="1156">
        <v>2.1195445920303601E-2</v>
      </c>
      <c r="Q10" s="1156">
        <v>8.9753320683111995E-3</v>
      </c>
      <c r="R10" s="1326"/>
      <c r="S10" s="1326"/>
    </row>
    <row r="11" spans="1:26" ht="16.5" customHeight="1" thickBot="1" x14ac:dyDescent="0.3">
      <c r="A11" s="1150"/>
      <c r="B11" s="1328" t="s">
        <v>30</v>
      </c>
      <c r="C11" s="645">
        <f>SUM(C7:C10)</f>
        <v>597796.22390891844</v>
      </c>
      <c r="D11" s="645">
        <f t="shared" ref="D11:I11" si="1">SUM(D7:D10)</f>
        <v>4104.2958431367651</v>
      </c>
      <c r="E11" s="645">
        <f t="shared" si="1"/>
        <v>256321.83491461101</v>
      </c>
      <c r="F11" s="645">
        <f t="shared" si="1"/>
        <v>5791117.9184060721</v>
      </c>
      <c r="G11" s="645">
        <f t="shared" si="1"/>
        <v>115132.68121442125</v>
      </c>
      <c r="H11" s="645">
        <f t="shared" si="1"/>
        <v>19527.388576910031</v>
      </c>
      <c r="I11" s="645">
        <f t="shared" si="1"/>
        <v>6784000.3428640701</v>
      </c>
      <c r="J11" s="1329"/>
      <c r="K11" s="1324">
        <f t="shared" si="0"/>
        <v>6784000.3428640701</v>
      </c>
      <c r="L11" s="1330"/>
      <c r="M11" s="1315"/>
      <c r="R11" s="1326"/>
      <c r="S11" s="1326"/>
    </row>
    <row r="12" spans="1:26" s="1326" customFormat="1" ht="16.5" customHeight="1" x14ac:dyDescent="0.25">
      <c r="B12" s="1309"/>
      <c r="C12" s="1331"/>
      <c r="D12" s="1332"/>
      <c r="E12" s="1331"/>
      <c r="F12" s="1310"/>
      <c r="G12" s="1333"/>
      <c r="H12" s="1310"/>
      <c r="I12" s="1334"/>
      <c r="J12" s="1315"/>
      <c r="K12" s="1324">
        <f t="shared" si="0"/>
        <v>0</v>
      </c>
      <c r="L12" s="1315"/>
      <c r="M12" s="1315"/>
      <c r="N12" s="1315"/>
      <c r="S12" s="1163"/>
      <c r="T12" s="1312"/>
      <c r="U12" s="1312"/>
      <c r="V12" s="1312"/>
      <c r="W12" s="1312"/>
      <c r="X12" s="1312"/>
      <c r="Y12" s="1312"/>
      <c r="Z12" s="1312"/>
    </row>
    <row r="13" spans="1:26" ht="16.5" customHeight="1" thickBot="1" x14ac:dyDescent="0.3">
      <c r="A13" s="1150"/>
      <c r="B13" s="2900" t="s">
        <v>151</v>
      </c>
      <c r="C13" s="2898"/>
      <c r="D13" s="2898"/>
      <c r="E13" s="2898"/>
      <c r="F13" s="2898"/>
      <c r="G13" s="2898"/>
      <c r="H13" s="2898"/>
      <c r="I13" s="2899"/>
      <c r="J13" s="1335"/>
      <c r="K13" s="1324">
        <f t="shared" si="0"/>
        <v>0</v>
      </c>
      <c r="L13" s="1336"/>
      <c r="R13" s="1326"/>
      <c r="S13" s="1326"/>
      <c r="T13" s="1326"/>
      <c r="U13" s="1326"/>
      <c r="V13" s="1326"/>
      <c r="W13" s="1326"/>
      <c r="X13" s="1326"/>
      <c r="Y13" s="1326"/>
      <c r="Z13" s="1326"/>
    </row>
    <row r="14" spans="1:26" ht="16.5" customHeight="1" thickBot="1" x14ac:dyDescent="0.3">
      <c r="A14" s="1145"/>
      <c r="B14" s="1337" t="s">
        <v>154</v>
      </c>
      <c r="C14" s="644">
        <v>186858.23084849428</v>
      </c>
      <c r="D14" s="644">
        <v>4277.3215639030796</v>
      </c>
      <c r="E14" s="644">
        <v>131609.89427394091</v>
      </c>
      <c r="F14" s="644">
        <f>1604641.2273219+25000</f>
        <v>1629641.2273219</v>
      </c>
      <c r="G14" s="644">
        <v>46742.583921212739</v>
      </c>
      <c r="H14" s="644">
        <v>9870.7420705455679</v>
      </c>
      <c r="I14" s="634">
        <f>SUM(C14:H14)</f>
        <v>2008999.9999999965</v>
      </c>
      <c r="J14" s="1329">
        <v>1984000</v>
      </c>
      <c r="K14" s="1324">
        <f t="shared" si="0"/>
        <v>24999.999999996508</v>
      </c>
      <c r="L14" s="833">
        <v>9.4182576032507195E-2</v>
      </c>
      <c r="M14" s="833">
        <v>2.1559080463221165E-3</v>
      </c>
      <c r="N14" s="833">
        <v>6.6335632194526664E-2</v>
      </c>
      <c r="O14" s="833">
        <f>1-SUM(L14,M14,N14,P14,Q14)</f>
        <v>0.80879094119047545</v>
      </c>
      <c r="P14" s="833">
        <v>2.3559770121579001E-2</v>
      </c>
      <c r="Q14" s="833">
        <v>4.9751724145894998E-3</v>
      </c>
      <c r="R14" s="1163"/>
      <c r="S14" s="1338"/>
      <c r="W14" s="1889">
        <f>1984000-I14</f>
        <v>-24999.999999996508</v>
      </c>
    </row>
    <row r="15" spans="1:26" ht="16.5" customHeight="1" thickBot="1" x14ac:dyDescent="0.3">
      <c r="A15" s="1150"/>
      <c r="B15" s="1307" t="s">
        <v>152</v>
      </c>
      <c r="C15" s="645">
        <f>SUM(C14)</f>
        <v>186858.23084849428</v>
      </c>
      <c r="D15" s="645">
        <f t="shared" ref="D15:I15" si="2">SUM(D14)</f>
        <v>4277.3215639030796</v>
      </c>
      <c r="E15" s="645">
        <f t="shared" si="2"/>
        <v>131609.89427394091</v>
      </c>
      <c r="F15" s="645">
        <f t="shared" si="2"/>
        <v>1629641.2273219</v>
      </c>
      <c r="G15" s="645">
        <f t="shared" si="2"/>
        <v>46742.583921212739</v>
      </c>
      <c r="H15" s="645">
        <f t="shared" si="2"/>
        <v>9870.7420705455679</v>
      </c>
      <c r="I15" s="645">
        <f t="shared" si="2"/>
        <v>2008999.9999999965</v>
      </c>
      <c r="J15" s="1329"/>
      <c r="K15" s="1324">
        <f t="shared" si="0"/>
        <v>2008999.9999999965</v>
      </c>
      <c r="L15" s="1336"/>
      <c r="M15" s="1339"/>
      <c r="N15" s="1339"/>
      <c r="O15" s="1147"/>
      <c r="P15" s="1156"/>
      <c r="Q15" s="1156"/>
    </row>
    <row r="16" spans="1:26" s="1326" customFormat="1" ht="16.5" customHeight="1" x14ac:dyDescent="0.25">
      <c r="A16" s="1145"/>
      <c r="B16" s="2901"/>
      <c r="C16" s="2902"/>
      <c r="D16" s="2902"/>
      <c r="E16" s="2902"/>
      <c r="F16" s="2902"/>
      <c r="G16" s="2902"/>
      <c r="H16" s="2902"/>
      <c r="I16" s="2903"/>
      <c r="J16" s="1335"/>
      <c r="K16" s="1324">
        <f t="shared" si="0"/>
        <v>0</v>
      </c>
      <c r="L16" s="1340"/>
      <c r="M16" s="1341"/>
      <c r="N16" s="1162"/>
      <c r="O16" s="1162"/>
      <c r="P16" s="1342"/>
      <c r="Q16" s="1163"/>
      <c r="T16" s="1312"/>
      <c r="U16" s="1312"/>
      <c r="V16" s="1312"/>
      <c r="W16" s="1312"/>
      <c r="X16" s="1312"/>
      <c r="Y16" s="1312"/>
      <c r="Z16" s="1312"/>
    </row>
    <row r="17" spans="1:26" ht="16.5" customHeight="1" thickBot="1" x14ac:dyDescent="0.3">
      <c r="A17" s="1150"/>
      <c r="B17" s="2900" t="s">
        <v>153</v>
      </c>
      <c r="C17" s="2898"/>
      <c r="D17" s="2898"/>
      <c r="E17" s="2898"/>
      <c r="F17" s="2898"/>
      <c r="G17" s="2898"/>
      <c r="H17" s="2898"/>
      <c r="I17" s="2899"/>
      <c r="J17" s="1335"/>
      <c r="K17" s="1324">
        <f t="shared" si="0"/>
        <v>0</v>
      </c>
      <c r="L17" s="1336"/>
      <c r="M17" s="1147"/>
      <c r="N17" s="1147"/>
      <c r="O17" s="1147"/>
      <c r="P17" s="1156"/>
      <c r="Q17" s="1156"/>
    </row>
    <row r="18" spans="1:26" ht="16.5" customHeight="1" thickBot="1" x14ac:dyDescent="0.3">
      <c r="A18" s="1145"/>
      <c r="B18" s="1337" t="s">
        <v>155</v>
      </c>
      <c r="C18" s="644">
        <v>141607.430639792</v>
      </c>
      <c r="D18" s="644">
        <v>630.34530800853713</v>
      </c>
      <c r="E18" s="644">
        <v>105057.55133475618</v>
      </c>
      <c r="F18" s="644">
        <f>1016106.38184218+75000</f>
        <v>1091106.3818421802</v>
      </c>
      <c r="G18" s="644">
        <v>32658.632700212998</v>
      </c>
      <c r="H18" s="644">
        <v>3939.6581750533574</v>
      </c>
      <c r="I18" s="634">
        <f>SUM(C18:H18)</f>
        <v>1375000.0000000033</v>
      </c>
      <c r="J18" s="1329">
        <v>1300000</v>
      </c>
      <c r="K18" s="1324">
        <f t="shared" si="0"/>
        <v>75000.00000000326</v>
      </c>
      <c r="L18" s="1343">
        <v>0.10892879279984</v>
      </c>
      <c r="M18" s="1343">
        <v>4.8488100616041316E-4</v>
      </c>
      <c r="N18" s="1343">
        <v>8.0813501026735526E-2</v>
      </c>
      <c r="O18" s="1343">
        <f>1-SUM(L18,M18,N18,P18,Q18)</f>
        <v>0.7816202937247515</v>
      </c>
      <c r="P18" s="1343">
        <v>2.5122025154009998E-2</v>
      </c>
      <c r="Q18" s="1343">
        <v>3.0305062885025826E-3</v>
      </c>
      <c r="S18" s="1344"/>
      <c r="W18" s="1889">
        <f>1300000-I18</f>
        <v>-75000.00000000326</v>
      </c>
    </row>
    <row r="19" spans="1:26" ht="16.5" customHeight="1" thickBot="1" x14ac:dyDescent="0.3">
      <c r="A19" s="1145"/>
      <c r="B19" s="1337" t="s">
        <v>156</v>
      </c>
      <c r="C19" s="644">
        <f>39237</f>
        <v>39237</v>
      </c>
      <c r="D19" s="644">
        <v>1730</v>
      </c>
      <c r="E19" s="644">
        <v>13231</v>
      </c>
      <c r="F19" s="644">
        <f>165696.411008541+113000</f>
        <v>278696.41100854101</v>
      </c>
      <c r="G19" s="644">
        <v>19024</v>
      </c>
      <c r="H19" s="644">
        <v>8082</v>
      </c>
      <c r="I19" s="634">
        <f>SUM(C19:H19)</f>
        <v>360000.41100854101</v>
      </c>
      <c r="J19" s="1329">
        <v>210000</v>
      </c>
      <c r="K19" s="1324">
        <f t="shared" si="0"/>
        <v>150000.41100854101</v>
      </c>
      <c r="L19" s="1162">
        <v>0.121614429914835</v>
      </c>
      <c r="M19" s="1162">
        <v>4.6218124899860729E-3</v>
      </c>
      <c r="N19" s="1162">
        <v>4.6218124899860727E-2</v>
      </c>
      <c r="O19" s="1162">
        <f>1-SUM(L19,M19,N19,P19,Q19)</f>
        <v>0.78903052861210099</v>
      </c>
      <c r="P19" s="1162">
        <v>1.540604163328691E-2</v>
      </c>
      <c r="Q19" s="1162">
        <v>2.3109062449930363E-2</v>
      </c>
      <c r="S19" s="1344"/>
    </row>
    <row r="20" spans="1:26" ht="16.5" customHeight="1" thickBot="1" x14ac:dyDescent="0.3">
      <c r="A20" s="1150"/>
      <c r="B20" s="1307" t="s">
        <v>299</v>
      </c>
      <c r="C20" s="645">
        <f>SUM(C18:C19)</f>
        <v>180844.430639792</v>
      </c>
      <c r="D20" s="645">
        <f t="shared" ref="D20:I20" si="3">SUM(D18:D19)</f>
        <v>2360.3453080085374</v>
      </c>
      <c r="E20" s="645">
        <f t="shared" si="3"/>
        <v>118288.55133475618</v>
      </c>
      <c r="F20" s="645">
        <f t="shared" si="3"/>
        <v>1369802.7928507212</v>
      </c>
      <c r="G20" s="645">
        <f t="shared" si="3"/>
        <v>51682.632700212998</v>
      </c>
      <c r="H20" s="645">
        <f t="shared" si="3"/>
        <v>12021.658175053357</v>
      </c>
      <c r="I20" s="645">
        <f t="shared" si="3"/>
        <v>1735000.4110085443</v>
      </c>
      <c r="J20" s="1329"/>
      <c r="K20" s="1324">
        <f t="shared" si="0"/>
        <v>1735000.4110085443</v>
      </c>
      <c r="L20" s="1330"/>
      <c r="M20" s="1341" t="s">
        <v>3</v>
      </c>
      <c r="N20" s="1147"/>
      <c r="O20" s="1147"/>
      <c r="P20" s="1345"/>
      <c r="S20" s="1344"/>
      <c r="U20" s="1314"/>
      <c r="V20" s="1314"/>
      <c r="W20" s="1314"/>
      <c r="X20" s="1314"/>
      <c r="Y20" s="1314"/>
      <c r="Z20" s="1314"/>
    </row>
    <row r="21" spans="1:26" ht="16.5" customHeight="1" thickBot="1" x14ac:dyDescent="0.3">
      <c r="A21" s="1150"/>
      <c r="B21" s="1346" t="s">
        <v>245</v>
      </c>
      <c r="C21" s="1347">
        <v>13505</v>
      </c>
      <c r="D21" s="1347">
        <v>749</v>
      </c>
      <c r="E21" s="1347">
        <v>3476</v>
      </c>
      <c r="F21" s="1347">
        <f>223520.865388226-113000</f>
        <v>110520.865388226</v>
      </c>
      <c r="G21" s="1347">
        <v>15565</v>
      </c>
      <c r="H21" s="1347">
        <v>3184</v>
      </c>
      <c r="I21" s="1347">
        <f>SUM(C21:H21)</f>
        <v>146999.865388226</v>
      </c>
      <c r="J21" s="1329">
        <v>297000</v>
      </c>
      <c r="K21" s="1324">
        <f t="shared" si="0"/>
        <v>-150000.134611774</v>
      </c>
      <c r="L21" s="1162">
        <v>9.1592565049718994E-2</v>
      </c>
      <c r="M21" s="1162">
        <v>5.0796282524859697E-3</v>
      </c>
      <c r="N21" s="1162">
        <v>2.3569475091534901E-2</v>
      </c>
      <c r="O21" s="1162">
        <f>1-SUM(L21,M21,N21,P21,Q21)</f>
        <v>0.75259550635766315</v>
      </c>
      <c r="P21" s="1162">
        <v>0.105570260198878</v>
      </c>
      <c r="Q21" s="1162">
        <v>2.1592565049719001E-2</v>
      </c>
      <c r="S21" s="1344"/>
    </row>
    <row r="22" spans="1:26" ht="16.5" customHeight="1" thickBot="1" x14ac:dyDescent="0.3">
      <c r="A22" s="1150"/>
      <c r="B22" s="1307" t="s">
        <v>31</v>
      </c>
      <c r="C22" s="645">
        <f>C15+C20+C21</f>
        <v>381207.66148828628</v>
      </c>
      <c r="D22" s="645">
        <f t="shared" ref="D22:I22" si="4">D15+D20+D21</f>
        <v>7386.6668719116169</v>
      </c>
      <c r="E22" s="645">
        <f t="shared" si="4"/>
        <v>253374.44560869707</v>
      </c>
      <c r="F22" s="645">
        <f t="shared" si="4"/>
        <v>3109964.8855608469</v>
      </c>
      <c r="G22" s="645">
        <f t="shared" si="4"/>
        <v>113990.21662142573</v>
      </c>
      <c r="H22" s="645">
        <f t="shared" si="4"/>
        <v>25076.400245598925</v>
      </c>
      <c r="I22" s="645">
        <f t="shared" si="4"/>
        <v>3891000.2763967663</v>
      </c>
      <c r="J22" s="1329"/>
      <c r="K22" s="1324">
        <f t="shared" si="0"/>
        <v>3891000.2763967663</v>
      </c>
      <c r="L22" s="517"/>
      <c r="M22" s="1341" t="s">
        <v>3</v>
      </c>
      <c r="N22" s="1147"/>
      <c r="O22" s="1147"/>
      <c r="P22" s="1156"/>
      <c r="Q22" s="1156"/>
      <c r="S22" s="1344"/>
    </row>
    <row r="23" spans="1:26" s="1326" customFormat="1" ht="16.5" customHeight="1" thickBot="1" x14ac:dyDescent="0.3">
      <c r="A23" s="1145"/>
      <c r="B23" s="2901"/>
      <c r="C23" s="2902"/>
      <c r="D23" s="2902"/>
      <c r="E23" s="2902"/>
      <c r="F23" s="2902"/>
      <c r="G23" s="2902"/>
      <c r="H23" s="2902"/>
      <c r="I23" s="2903"/>
      <c r="J23" s="1335"/>
      <c r="K23" s="1324">
        <f t="shared" si="0"/>
        <v>0</v>
      </c>
      <c r="L23" s="517"/>
      <c r="M23" s="1147"/>
      <c r="N23" s="1147"/>
      <c r="O23" s="1147"/>
      <c r="P23" s="1312"/>
      <c r="Q23" s="1156"/>
      <c r="R23" s="1312"/>
      <c r="S23" s="1344"/>
      <c r="T23" s="1312"/>
      <c r="U23" s="1314"/>
      <c r="V23" s="1314"/>
      <c r="W23" s="1314"/>
      <c r="X23" s="1314"/>
      <c r="Y23" s="1314"/>
      <c r="Z23" s="1314"/>
    </row>
    <row r="24" spans="1:26" ht="16.5" customHeight="1" thickBot="1" x14ac:dyDescent="0.3">
      <c r="A24" s="1145"/>
      <c r="B24" s="2904" t="s">
        <v>393</v>
      </c>
      <c r="C24" s="2905"/>
      <c r="D24" s="2905"/>
      <c r="E24" s="2905"/>
      <c r="F24" s="2905"/>
      <c r="G24" s="2905"/>
      <c r="H24" s="2905"/>
      <c r="I24" s="2906"/>
      <c r="J24" s="1348"/>
      <c r="K24" s="1324">
        <f t="shared" si="0"/>
        <v>0</v>
      </c>
      <c r="L24" s="517" t="s">
        <v>413</v>
      </c>
      <c r="M24" s="1147" t="s">
        <v>13</v>
      </c>
      <c r="N24" s="1147" t="s">
        <v>4</v>
      </c>
      <c r="O24" s="1147" t="s">
        <v>2</v>
      </c>
      <c r="P24" s="1325" t="s">
        <v>14</v>
      </c>
      <c r="Q24" s="1312" t="s">
        <v>15</v>
      </c>
      <c r="R24" s="1312" t="s">
        <v>15</v>
      </c>
      <c r="S24" s="1344"/>
    </row>
    <row r="25" spans="1:26" ht="16.5" customHeight="1" x14ac:dyDescent="0.25">
      <c r="A25" s="1150"/>
      <c r="B25" s="1291" t="s">
        <v>394</v>
      </c>
      <c r="C25" s="1349">
        <v>9000</v>
      </c>
      <c r="D25" s="1349">
        <v>0</v>
      </c>
      <c r="E25" s="1349">
        <v>141000</v>
      </c>
      <c r="F25" s="1349">
        <v>0</v>
      </c>
      <c r="G25" s="1349">
        <v>0</v>
      </c>
      <c r="H25" s="1349">
        <v>0</v>
      </c>
      <c r="I25" s="1350">
        <f>SUM(C25:H25)</f>
        <v>150000</v>
      </c>
      <c r="J25" s="1335">
        <v>150000</v>
      </c>
      <c r="K25" s="1324">
        <f t="shared" si="0"/>
        <v>0</v>
      </c>
      <c r="L25" s="1351">
        <v>0.06</v>
      </c>
      <c r="M25" s="1147">
        <v>0</v>
      </c>
      <c r="N25" s="1147">
        <v>0.94</v>
      </c>
      <c r="O25" s="1147">
        <v>0</v>
      </c>
      <c r="P25" s="1156">
        <v>0</v>
      </c>
      <c r="Q25" s="1156">
        <v>0</v>
      </c>
      <c r="R25" s="1156">
        <f>SUM(L25:Q25)</f>
        <v>1</v>
      </c>
      <c r="S25" s="1344">
        <v>1</v>
      </c>
    </row>
    <row r="26" spans="1:26" ht="16.5" customHeight="1" thickBot="1" x14ac:dyDescent="0.3">
      <c r="A26" s="1150"/>
      <c r="B26" s="1352" t="s">
        <v>414</v>
      </c>
      <c r="C26" s="1353">
        <v>3000</v>
      </c>
      <c r="D26" s="1353">
        <v>0</v>
      </c>
      <c r="E26" s="1353">
        <v>47000</v>
      </c>
      <c r="F26" s="1353">
        <v>0</v>
      </c>
      <c r="G26" s="1353">
        <v>0</v>
      </c>
      <c r="H26" s="1353">
        <v>0</v>
      </c>
      <c r="I26" s="1354">
        <f>SUM(C26:H26)</f>
        <v>50000</v>
      </c>
      <c r="J26" s="1335">
        <v>50000</v>
      </c>
      <c r="K26" s="1324">
        <f t="shared" si="0"/>
        <v>0</v>
      </c>
      <c r="L26" s="1351">
        <v>0.06</v>
      </c>
      <c r="M26" s="1147">
        <v>0</v>
      </c>
      <c r="N26" s="1147">
        <v>0.94</v>
      </c>
      <c r="O26" s="1147">
        <v>0</v>
      </c>
      <c r="P26" s="1156">
        <v>0</v>
      </c>
      <c r="Q26" s="1156">
        <v>0</v>
      </c>
      <c r="R26" s="1156">
        <f>SUM(L26:Q26)</f>
        <v>1</v>
      </c>
      <c r="S26" s="1156">
        <v>1</v>
      </c>
      <c r="T26" s="1314"/>
    </row>
    <row r="27" spans="1:26" ht="16.5" customHeight="1" thickBot="1" x14ac:dyDescent="0.3">
      <c r="A27" s="1150"/>
      <c r="B27" s="1355" t="s">
        <v>395</v>
      </c>
      <c r="C27" s="1356">
        <f>SUM(C25:C26)</f>
        <v>12000</v>
      </c>
      <c r="D27" s="1356">
        <f t="shared" ref="D27:I27" si="5">SUM(D25:D26)</f>
        <v>0</v>
      </c>
      <c r="E27" s="1356">
        <f t="shared" si="5"/>
        <v>188000</v>
      </c>
      <c r="F27" s="1356">
        <f t="shared" si="5"/>
        <v>0</v>
      </c>
      <c r="G27" s="1356">
        <f t="shared" si="5"/>
        <v>0</v>
      </c>
      <c r="H27" s="1356">
        <f t="shared" si="5"/>
        <v>0</v>
      </c>
      <c r="I27" s="1357">
        <f t="shared" si="5"/>
        <v>200000</v>
      </c>
      <c r="J27" s="1335"/>
      <c r="K27" s="1324">
        <f t="shared" si="0"/>
        <v>200000</v>
      </c>
      <c r="L27" s="517"/>
      <c r="M27" s="1147"/>
      <c r="N27" s="1147"/>
      <c r="O27" s="1147"/>
      <c r="P27" s="1156"/>
      <c r="Q27" s="1156"/>
      <c r="T27" s="1314"/>
    </row>
    <row r="28" spans="1:26" s="1326" customFormat="1" ht="16.5" customHeight="1" thickBot="1" x14ac:dyDescent="0.3">
      <c r="A28" s="1150"/>
      <c r="B28" s="2907" t="s">
        <v>396</v>
      </c>
      <c r="C28" s="2908"/>
      <c r="D28" s="2908"/>
      <c r="E28" s="2908"/>
      <c r="F28" s="2908"/>
      <c r="G28" s="2908"/>
      <c r="H28" s="2908"/>
      <c r="I28" s="2909"/>
      <c r="J28" s="1348"/>
      <c r="K28" s="1324">
        <f t="shared" si="0"/>
        <v>0</v>
      </c>
      <c r="L28" s="517"/>
      <c r="M28" s="1162"/>
      <c r="N28" s="1162"/>
      <c r="O28" s="1162"/>
      <c r="P28" s="1163"/>
      <c r="Q28" s="1163"/>
      <c r="T28" s="1315"/>
    </row>
    <row r="29" spans="1:26" ht="16.5" customHeight="1" x14ac:dyDescent="0.25">
      <c r="A29" s="1150"/>
      <c r="B29" s="1293" t="s">
        <v>278</v>
      </c>
      <c r="C29" s="1166">
        <v>0</v>
      </c>
      <c r="D29" s="1166">
        <v>0</v>
      </c>
      <c r="E29" s="1349">
        <v>75000</v>
      </c>
      <c r="F29" s="1166">
        <v>0</v>
      </c>
      <c r="G29" s="1166">
        <v>0</v>
      </c>
      <c r="H29" s="1166">
        <v>0</v>
      </c>
      <c r="I29" s="1350">
        <f>SUM(E29:H29)</f>
        <v>75000</v>
      </c>
      <c r="J29" s="1335">
        <v>75000</v>
      </c>
      <c r="K29" s="1324">
        <f t="shared" si="0"/>
        <v>0</v>
      </c>
      <c r="L29" s="1330"/>
      <c r="M29" s="1147"/>
      <c r="N29" s="1147"/>
      <c r="O29" s="1147"/>
      <c r="P29" s="1156"/>
      <c r="Q29" s="1156"/>
      <c r="S29" s="1344"/>
    </row>
    <row r="30" spans="1:26" ht="16.5" customHeight="1" x14ac:dyDescent="0.25">
      <c r="A30" s="1150"/>
      <c r="B30" s="1300" t="s">
        <v>279</v>
      </c>
      <c r="C30" s="1166">
        <v>0</v>
      </c>
      <c r="D30" s="1166">
        <v>0</v>
      </c>
      <c r="E30" s="1358">
        <v>100000</v>
      </c>
      <c r="F30" s="1166">
        <v>0</v>
      </c>
      <c r="G30" s="1166">
        <v>0</v>
      </c>
      <c r="H30" s="1166">
        <v>0</v>
      </c>
      <c r="I30" s="1359">
        <f>SUM(E30:H30)</f>
        <v>100000</v>
      </c>
      <c r="J30" s="1335">
        <v>100000</v>
      </c>
      <c r="K30" s="1324">
        <f t="shared" si="0"/>
        <v>0</v>
      </c>
      <c r="L30" s="1330"/>
      <c r="M30" s="1147"/>
      <c r="N30" s="1147"/>
      <c r="O30" s="1147"/>
      <c r="P30" s="1156"/>
      <c r="Q30" s="1156"/>
      <c r="S30" s="1344"/>
    </row>
    <row r="31" spans="1:26" ht="16.5" customHeight="1" thickBot="1" x14ac:dyDescent="0.3">
      <c r="A31" s="1150"/>
      <c r="B31" s="1360" t="s">
        <v>280</v>
      </c>
      <c r="C31" s="1166">
        <v>0</v>
      </c>
      <c r="D31" s="1166">
        <v>0</v>
      </c>
      <c r="E31" s="1353">
        <v>75000</v>
      </c>
      <c r="F31" s="1166">
        <v>0</v>
      </c>
      <c r="G31" s="1166">
        <v>0</v>
      </c>
      <c r="H31" s="1166">
        <v>0</v>
      </c>
      <c r="I31" s="1354">
        <f>SUM(C31:H31)</f>
        <v>75000</v>
      </c>
      <c r="J31" s="1335">
        <v>75000</v>
      </c>
      <c r="K31" s="1324">
        <f t="shared" si="0"/>
        <v>0</v>
      </c>
      <c r="L31" s="1330"/>
      <c r="M31" s="1147"/>
      <c r="N31" s="1147"/>
      <c r="O31" s="1147"/>
      <c r="P31" s="1156"/>
      <c r="Q31" s="1156"/>
      <c r="S31" s="1344"/>
    </row>
    <row r="32" spans="1:26" s="1326" customFormat="1" ht="16.5" customHeight="1" thickBot="1" x14ac:dyDescent="0.3">
      <c r="A32" s="1150"/>
      <c r="B32" s="1361" t="s">
        <v>397</v>
      </c>
      <c r="C32" s="1362">
        <f>SUM(C29:C31)</f>
        <v>0</v>
      </c>
      <c r="D32" s="1362">
        <f t="shared" ref="D32:I32" si="6">SUM(D29:D31)</f>
        <v>0</v>
      </c>
      <c r="E32" s="1362">
        <f t="shared" si="6"/>
        <v>250000</v>
      </c>
      <c r="F32" s="1362">
        <f t="shared" si="6"/>
        <v>0</v>
      </c>
      <c r="G32" s="1362">
        <f t="shared" si="6"/>
        <v>0</v>
      </c>
      <c r="H32" s="1362">
        <f t="shared" si="6"/>
        <v>0</v>
      </c>
      <c r="I32" s="1362">
        <f t="shared" si="6"/>
        <v>250000</v>
      </c>
      <c r="J32" s="1335"/>
      <c r="K32" s="1324">
        <f t="shared" si="0"/>
        <v>250000</v>
      </c>
      <c r="L32" s="1330"/>
      <c r="M32" s="1162"/>
      <c r="N32" s="1162"/>
      <c r="O32" s="1162"/>
      <c r="P32" s="1163"/>
      <c r="Q32" s="1163"/>
      <c r="S32" s="1338"/>
    </row>
    <row r="33" spans="1:26" s="1326" customFormat="1" ht="16.5" customHeight="1" thickBot="1" x14ac:dyDescent="0.3">
      <c r="A33" s="1150"/>
      <c r="B33" s="2910" t="s">
        <v>398</v>
      </c>
      <c r="C33" s="2911"/>
      <c r="D33" s="2911"/>
      <c r="E33" s="2911"/>
      <c r="F33" s="2911"/>
      <c r="G33" s="2911"/>
      <c r="H33" s="2911"/>
      <c r="I33" s="2912"/>
      <c r="J33" s="1348"/>
      <c r="K33" s="1324">
        <f t="shared" si="0"/>
        <v>0</v>
      </c>
      <c r="L33" s="1330"/>
      <c r="M33" s="1162"/>
      <c r="N33" s="1162"/>
      <c r="O33" s="1162"/>
      <c r="P33" s="1163"/>
      <c r="Q33" s="1163"/>
      <c r="S33" s="1338"/>
    </row>
    <row r="34" spans="1:26" ht="16.5" customHeight="1" x14ac:dyDescent="0.25">
      <c r="A34" s="1150"/>
      <c r="B34" s="1295" t="s">
        <v>399</v>
      </c>
      <c r="C34" s="1349">
        <v>0</v>
      </c>
      <c r="D34" s="1349">
        <v>0</v>
      </c>
      <c r="E34" s="1349">
        <v>50000</v>
      </c>
      <c r="F34" s="1349">
        <v>0</v>
      </c>
      <c r="G34" s="1349">
        <v>0</v>
      </c>
      <c r="H34" s="1349">
        <v>0</v>
      </c>
      <c r="I34" s="1350">
        <f>SUM(C34:H34)</f>
        <v>50000</v>
      </c>
      <c r="J34" s="1335">
        <v>50000</v>
      </c>
      <c r="K34" s="1324">
        <f t="shared" si="0"/>
        <v>0</v>
      </c>
      <c r="L34" s="1351">
        <v>0</v>
      </c>
      <c r="M34" s="1147">
        <v>0</v>
      </c>
      <c r="N34" s="1147">
        <v>1</v>
      </c>
      <c r="O34" s="1147">
        <v>0</v>
      </c>
      <c r="P34" s="1156">
        <v>0</v>
      </c>
      <c r="Q34" s="1156">
        <v>0</v>
      </c>
      <c r="R34" s="1172">
        <v>0</v>
      </c>
      <c r="S34" s="1172">
        <f>SUM(L34:R34)</f>
        <v>1</v>
      </c>
      <c r="T34" s="1172"/>
    </row>
    <row r="35" spans="1:26" ht="16.5" customHeight="1" thickBot="1" x14ac:dyDescent="0.3">
      <c r="A35" s="1150"/>
      <c r="B35" s="1363" t="s">
        <v>400</v>
      </c>
      <c r="C35" s="1364">
        <f>SUM(C34)</f>
        <v>0</v>
      </c>
      <c r="D35" s="1364">
        <f t="shared" ref="D35:I35" si="7">SUM(D34)</f>
        <v>0</v>
      </c>
      <c r="E35" s="1364">
        <f t="shared" si="7"/>
        <v>50000</v>
      </c>
      <c r="F35" s="1364">
        <f t="shared" si="7"/>
        <v>0</v>
      </c>
      <c r="G35" s="1364">
        <f t="shared" si="7"/>
        <v>0</v>
      </c>
      <c r="H35" s="1364">
        <f t="shared" si="7"/>
        <v>0</v>
      </c>
      <c r="I35" s="1364">
        <f t="shared" si="7"/>
        <v>50000</v>
      </c>
      <c r="J35" s="1335"/>
      <c r="K35" s="1324">
        <f t="shared" si="0"/>
        <v>50000</v>
      </c>
      <c r="L35" s="1351"/>
      <c r="M35" s="1147"/>
      <c r="N35" s="1147"/>
      <c r="O35" s="1147"/>
      <c r="P35" s="1156"/>
      <c r="Q35" s="1156"/>
      <c r="S35" s="1344"/>
    </row>
    <row r="36" spans="1:26" ht="16.5" customHeight="1" x14ac:dyDescent="0.25">
      <c r="A36" s="1150"/>
      <c r="B36" s="2913" t="s">
        <v>401</v>
      </c>
      <c r="C36" s="2914"/>
      <c r="D36" s="2914"/>
      <c r="E36" s="2914"/>
      <c r="F36" s="2914"/>
      <c r="G36" s="2914"/>
      <c r="H36" s="2914"/>
      <c r="I36" s="2915"/>
      <c r="J36" s="1348"/>
      <c r="K36" s="1324">
        <f t="shared" si="0"/>
        <v>0</v>
      </c>
      <c r="L36" s="1336"/>
      <c r="M36" s="1147"/>
      <c r="N36" s="1147"/>
      <c r="O36" s="1147"/>
      <c r="P36" s="1156"/>
      <c r="Q36" s="1156"/>
      <c r="S36" s="1344"/>
    </row>
    <row r="37" spans="1:26" ht="16.5" customHeight="1" x14ac:dyDescent="0.25">
      <c r="A37" s="1150"/>
      <c r="B37" s="1294" t="s">
        <v>402</v>
      </c>
      <c r="C37" s="638">
        <v>62120.494161179653</v>
      </c>
      <c r="D37" s="638">
        <v>0</v>
      </c>
      <c r="E37" s="638">
        <v>0</v>
      </c>
      <c r="F37" s="638">
        <v>0</v>
      </c>
      <c r="G37" s="638">
        <v>0</v>
      </c>
      <c r="H37" s="638">
        <v>2879.5</v>
      </c>
      <c r="I37" s="640">
        <f>SUM(C37:H37)</f>
        <v>64999.994161179653</v>
      </c>
      <c r="J37" s="1329">
        <v>65000</v>
      </c>
      <c r="K37" s="1324">
        <f t="shared" si="0"/>
        <v>-5.8388203469803557E-3</v>
      </c>
      <c r="L37" s="1147">
        <v>0.95565375632584082</v>
      </c>
      <c r="M37" s="1147">
        <v>0</v>
      </c>
      <c r="N37" s="1147">
        <v>0</v>
      </c>
      <c r="O37" s="1147">
        <v>0</v>
      </c>
      <c r="P37" s="1156">
        <v>0</v>
      </c>
      <c r="Q37" s="1156">
        <v>4.4299999999999999E-2</v>
      </c>
      <c r="R37" s="1156"/>
      <c r="S37" s="1344"/>
    </row>
    <row r="38" spans="1:26" ht="16.5" customHeight="1" x14ac:dyDescent="0.25">
      <c r="A38" s="1150"/>
      <c r="B38" s="1294" t="s">
        <v>403</v>
      </c>
      <c r="C38" s="638">
        <v>0</v>
      </c>
      <c r="D38" s="638">
        <v>0</v>
      </c>
      <c r="E38" s="638">
        <v>75000</v>
      </c>
      <c r="F38" s="638">
        <v>0</v>
      </c>
      <c r="G38" s="638">
        <v>0</v>
      </c>
      <c r="H38" s="638">
        <v>0</v>
      </c>
      <c r="I38" s="640">
        <f t="shared" ref="I38:I43" si="8">SUM(C38:H38)</f>
        <v>75000</v>
      </c>
      <c r="J38" s="1329">
        <v>75000</v>
      </c>
      <c r="K38" s="1324">
        <f t="shared" si="0"/>
        <v>0</v>
      </c>
      <c r="L38" s="1147">
        <v>0</v>
      </c>
      <c r="M38" s="1147">
        <v>0</v>
      </c>
      <c r="N38" s="1147">
        <v>1</v>
      </c>
      <c r="O38" s="1147">
        <v>0</v>
      </c>
      <c r="P38" s="1156">
        <v>0</v>
      </c>
      <c r="Q38" s="1156">
        <v>0</v>
      </c>
      <c r="R38" s="1156">
        <v>0</v>
      </c>
      <c r="S38" s="1344"/>
    </row>
    <row r="39" spans="1:26" ht="16.5" customHeight="1" x14ac:dyDescent="0.25">
      <c r="A39" s="1150"/>
      <c r="B39" s="1294" t="s">
        <v>404</v>
      </c>
      <c r="C39" s="638">
        <v>4800</v>
      </c>
      <c r="D39" s="638">
        <v>0</v>
      </c>
      <c r="E39" s="638">
        <v>55200</v>
      </c>
      <c r="F39" s="638">
        <v>0</v>
      </c>
      <c r="G39" s="638">
        <v>0</v>
      </c>
      <c r="H39" s="638">
        <v>0</v>
      </c>
      <c r="I39" s="640">
        <f t="shared" si="8"/>
        <v>60000</v>
      </c>
      <c r="J39" s="1329">
        <v>60000</v>
      </c>
      <c r="K39" s="1324">
        <f t="shared" si="0"/>
        <v>0</v>
      </c>
      <c r="L39" s="1147">
        <v>0.08</v>
      </c>
      <c r="M39" s="1147">
        <v>0</v>
      </c>
      <c r="N39" s="1147">
        <v>0.92</v>
      </c>
      <c r="O39" s="1147">
        <v>0</v>
      </c>
      <c r="P39" s="1156">
        <v>0</v>
      </c>
      <c r="Q39" s="1156">
        <v>0</v>
      </c>
      <c r="R39" s="1156">
        <v>0</v>
      </c>
      <c r="S39" s="1312">
        <v>4.5714285714285714E-2</v>
      </c>
    </row>
    <row r="40" spans="1:26" ht="16.5" customHeight="1" x14ac:dyDescent="0.25">
      <c r="A40" s="1150"/>
      <c r="B40" s="1294" t="s">
        <v>281</v>
      </c>
      <c r="C40" s="638">
        <v>76500</v>
      </c>
      <c r="D40" s="638">
        <v>0</v>
      </c>
      <c r="E40" s="638">
        <v>0</v>
      </c>
      <c r="F40" s="638">
        <v>0</v>
      </c>
      <c r="G40" s="638">
        <v>0</v>
      </c>
      <c r="H40" s="638">
        <v>0</v>
      </c>
      <c r="I40" s="640">
        <f t="shared" si="8"/>
        <v>76500</v>
      </c>
      <c r="J40" s="1329">
        <v>76500</v>
      </c>
      <c r="K40" s="1324">
        <f t="shared" si="0"/>
        <v>0</v>
      </c>
      <c r="L40" s="1147">
        <v>1</v>
      </c>
      <c r="M40" s="1147">
        <v>0</v>
      </c>
      <c r="N40" s="1147">
        <v>0</v>
      </c>
      <c r="O40" s="1147">
        <v>0</v>
      </c>
      <c r="P40" s="1156">
        <v>0</v>
      </c>
      <c r="Q40" s="1156">
        <v>0</v>
      </c>
      <c r="R40" s="1156"/>
      <c r="S40" s="1326"/>
      <c r="T40" s="1314"/>
    </row>
    <row r="41" spans="1:26" s="1314" customFormat="1" ht="16.5" customHeight="1" x14ac:dyDescent="0.25">
      <c r="A41" s="1145"/>
      <c r="B41" s="1294" t="s">
        <v>405</v>
      </c>
      <c r="C41" s="638">
        <v>26750</v>
      </c>
      <c r="D41" s="638">
        <v>0</v>
      </c>
      <c r="E41" s="638">
        <v>508250</v>
      </c>
      <c r="F41" s="638">
        <v>0</v>
      </c>
      <c r="G41" s="638">
        <v>0</v>
      </c>
      <c r="H41" s="638">
        <v>0</v>
      </c>
      <c r="I41" s="640">
        <f t="shared" si="8"/>
        <v>535000</v>
      </c>
      <c r="J41" s="1329">
        <v>535000</v>
      </c>
      <c r="K41" s="1324">
        <f t="shared" si="0"/>
        <v>0</v>
      </c>
      <c r="L41" s="1162">
        <v>0.05</v>
      </c>
      <c r="M41" s="1162">
        <v>0</v>
      </c>
      <c r="N41" s="1162">
        <v>0.95</v>
      </c>
      <c r="O41" s="1162">
        <v>0</v>
      </c>
      <c r="P41" s="1163">
        <v>0</v>
      </c>
      <c r="Q41" s="1163">
        <v>0</v>
      </c>
      <c r="R41" s="1163"/>
      <c r="S41" s="1312"/>
      <c r="T41" s="1312"/>
      <c r="U41" s="1312"/>
      <c r="V41" s="1312"/>
      <c r="W41" s="1312"/>
      <c r="X41" s="1312"/>
      <c r="Y41" s="1312"/>
      <c r="Z41" s="1312"/>
    </row>
    <row r="42" spans="1:26" ht="16.5" customHeight="1" x14ac:dyDescent="0.25">
      <c r="A42" s="1145"/>
      <c r="B42" s="1294" t="s">
        <v>406</v>
      </c>
      <c r="C42" s="638">
        <v>0</v>
      </c>
      <c r="D42" s="638">
        <v>0</v>
      </c>
      <c r="E42" s="638">
        <v>24750</v>
      </c>
      <c r="F42" s="638">
        <v>0</v>
      </c>
      <c r="G42" s="638">
        <v>0</v>
      </c>
      <c r="H42" s="638">
        <v>0</v>
      </c>
      <c r="I42" s="640">
        <f t="shared" si="8"/>
        <v>24750</v>
      </c>
      <c r="J42" s="1329">
        <v>24750</v>
      </c>
      <c r="K42" s="1324">
        <f t="shared" si="0"/>
        <v>0</v>
      </c>
      <c r="N42" s="1336"/>
      <c r="Q42" s="1312">
        <v>-7.9999999999999996E-6</v>
      </c>
    </row>
    <row r="43" spans="1:26" ht="16.5" customHeight="1" thickBot="1" x14ac:dyDescent="0.3">
      <c r="A43" s="1145"/>
      <c r="B43" s="1327" t="s">
        <v>407</v>
      </c>
      <c r="C43" s="638">
        <v>0</v>
      </c>
      <c r="D43" s="638">
        <v>0</v>
      </c>
      <c r="E43" s="638">
        <v>0</v>
      </c>
      <c r="F43" s="638">
        <v>0</v>
      </c>
      <c r="G43" s="638">
        <v>0</v>
      </c>
      <c r="H43" s="638">
        <f>'YGS Table A '!C51</f>
        <v>599325</v>
      </c>
      <c r="I43" s="640">
        <f t="shared" si="8"/>
        <v>599325</v>
      </c>
      <c r="J43" s="1329">
        <v>599325</v>
      </c>
      <c r="K43" s="1324">
        <f t="shared" si="0"/>
        <v>0</v>
      </c>
      <c r="N43" s="1336"/>
    </row>
    <row r="44" spans="1:26" ht="16.5" customHeight="1" thickBot="1" x14ac:dyDescent="0.3">
      <c r="A44" s="1145"/>
      <c r="B44" s="1365" t="s">
        <v>43</v>
      </c>
      <c r="C44" s="1177">
        <f>SUM(C37:C43)</f>
        <v>170170.49416117964</v>
      </c>
      <c r="D44" s="1177">
        <f t="shared" ref="D44:I44" si="9">SUM(D37:D43)</f>
        <v>0</v>
      </c>
      <c r="E44" s="1177">
        <f t="shared" si="9"/>
        <v>663200</v>
      </c>
      <c r="F44" s="1177">
        <f t="shared" si="9"/>
        <v>0</v>
      </c>
      <c r="G44" s="1177">
        <f t="shared" si="9"/>
        <v>0</v>
      </c>
      <c r="H44" s="1177">
        <f t="shared" si="9"/>
        <v>602204.5</v>
      </c>
      <c r="I44" s="1177">
        <f t="shared" si="9"/>
        <v>1435574.9941611798</v>
      </c>
      <c r="J44" s="1329"/>
      <c r="K44" s="1324">
        <f t="shared" si="0"/>
        <v>1435574.9941611798</v>
      </c>
      <c r="N44" s="1336"/>
    </row>
    <row r="45" spans="1:26" s="1314" customFormat="1" ht="16.5" customHeight="1" x14ac:dyDescent="0.25">
      <c r="A45" s="1145"/>
      <c r="B45" s="1289"/>
      <c r="C45" s="652"/>
      <c r="D45" s="652"/>
      <c r="E45" s="652"/>
      <c r="F45" s="652"/>
      <c r="G45" s="652"/>
      <c r="H45" s="652"/>
      <c r="I45" s="653"/>
      <c r="J45" s="1335"/>
      <c r="K45" s="1324">
        <f t="shared" si="0"/>
        <v>0</v>
      </c>
      <c r="N45" s="1336"/>
      <c r="O45" s="1312"/>
      <c r="P45" s="1312"/>
      <c r="Q45" s="1312"/>
      <c r="R45" s="1312"/>
      <c r="S45" s="1312"/>
      <c r="T45" s="1312"/>
      <c r="U45" s="1312"/>
      <c r="V45" s="1312"/>
      <c r="W45" s="1312"/>
      <c r="X45" s="1312"/>
      <c r="Y45" s="1312"/>
      <c r="Z45" s="1312"/>
    </row>
    <row r="46" spans="1:26" ht="16.5" customHeight="1" thickBot="1" x14ac:dyDescent="0.3">
      <c r="A46" s="1145"/>
      <c r="B46" s="2897" t="s">
        <v>28</v>
      </c>
      <c r="C46" s="2898"/>
      <c r="D46" s="2898"/>
      <c r="E46" s="2898"/>
      <c r="F46" s="2898"/>
      <c r="G46" s="2898"/>
      <c r="H46" s="2898"/>
      <c r="I46" s="2899"/>
      <c r="J46" s="1315"/>
      <c r="K46" s="1324">
        <f t="shared" si="0"/>
        <v>0</v>
      </c>
      <c r="N46" s="1336"/>
    </row>
    <row r="47" spans="1:26" ht="16.5" customHeight="1" x14ac:dyDescent="0.25">
      <c r="A47" s="1145"/>
      <c r="B47" s="1366" t="s">
        <v>7</v>
      </c>
      <c r="C47" s="1367">
        <f t="shared" ref="C47:H47" si="10">C11+C27*0.8+C29+C30+C38*0.8</f>
        <v>607396.22390891844</v>
      </c>
      <c r="D47" s="1367">
        <f t="shared" si="10"/>
        <v>4104.2958431367651</v>
      </c>
      <c r="E47" s="1367">
        <f t="shared" si="10"/>
        <v>641721.83491461095</v>
      </c>
      <c r="F47" s="1367">
        <f t="shared" si="10"/>
        <v>5791117.9184060721</v>
      </c>
      <c r="G47" s="1367">
        <f t="shared" si="10"/>
        <v>115132.68121442125</v>
      </c>
      <c r="H47" s="1367">
        <f t="shared" si="10"/>
        <v>19527.388576910031</v>
      </c>
      <c r="I47" s="1368">
        <f>SUM(C47:H47)</f>
        <v>7179000.3428640692</v>
      </c>
      <c r="K47" s="1324">
        <f t="shared" si="0"/>
        <v>7179000.3428640692</v>
      </c>
      <c r="N47" s="1336"/>
    </row>
    <row r="48" spans="1:26" ht="16.5" customHeight="1" x14ac:dyDescent="0.25">
      <c r="B48" s="1369" t="s">
        <v>8</v>
      </c>
      <c r="C48" s="1370">
        <f t="shared" ref="C48:H48" si="11">C22+C27*0.2+C31+C38*0.2</f>
        <v>383607.66148828628</v>
      </c>
      <c r="D48" s="1370">
        <f t="shared" si="11"/>
        <v>7386.6668719116169</v>
      </c>
      <c r="E48" s="1370">
        <f t="shared" si="11"/>
        <v>380974.44560869707</v>
      </c>
      <c r="F48" s="1370">
        <f t="shared" si="11"/>
        <v>3109964.8855608469</v>
      </c>
      <c r="G48" s="1370">
        <f t="shared" si="11"/>
        <v>113990.21662142573</v>
      </c>
      <c r="H48" s="1370">
        <f t="shared" si="11"/>
        <v>25076.400245598925</v>
      </c>
      <c r="I48" s="1371">
        <f>SUM(C48:H48)</f>
        <v>4021000.2763967668</v>
      </c>
      <c r="K48" s="1324">
        <f t="shared" si="0"/>
        <v>4021000.2763967668</v>
      </c>
      <c r="L48" s="1372">
        <v>0.36290322580645162</v>
      </c>
      <c r="N48" s="1154">
        <v>0.63709677419354838</v>
      </c>
      <c r="O48" s="1314"/>
      <c r="P48" s="1314"/>
      <c r="Q48" s="1314"/>
      <c r="R48" s="1314"/>
      <c r="S48" s="1314"/>
    </row>
    <row r="49" spans="1:26" ht="16.5" customHeight="1" thickBot="1" x14ac:dyDescent="0.3">
      <c r="A49" s="1373"/>
      <c r="B49" s="1374" t="s">
        <v>12</v>
      </c>
      <c r="C49" s="1375">
        <f t="shared" ref="C49:H49" si="12">C35+C37+SUM(C39:C43)</f>
        <v>170170.49416117964</v>
      </c>
      <c r="D49" s="1375">
        <f t="shared" si="12"/>
        <v>0</v>
      </c>
      <c r="E49" s="1375">
        <f t="shared" si="12"/>
        <v>638200</v>
      </c>
      <c r="F49" s="1375">
        <f t="shared" si="12"/>
        <v>0</v>
      </c>
      <c r="G49" s="1375">
        <f t="shared" si="12"/>
        <v>0</v>
      </c>
      <c r="H49" s="1375">
        <f t="shared" si="12"/>
        <v>602204.5</v>
      </c>
      <c r="I49" s="1376">
        <f>SUM(C49:H49)</f>
        <v>1410574.9941611798</v>
      </c>
      <c r="K49" s="1324">
        <f t="shared" si="0"/>
        <v>1410574.9941611798</v>
      </c>
      <c r="L49" s="1336"/>
      <c r="N49" s="1336"/>
    </row>
    <row r="50" spans="1:26" ht="16.5" customHeight="1" thickBot="1" x14ac:dyDescent="0.3">
      <c r="A50" s="1145"/>
      <c r="B50" s="1328" t="s">
        <v>58</v>
      </c>
      <c r="C50" s="650">
        <f t="shared" ref="C50:I50" si="13">SUM(C47:C49)</f>
        <v>1161174.3795583844</v>
      </c>
      <c r="D50" s="650">
        <f t="shared" si="13"/>
        <v>11490.962715048383</v>
      </c>
      <c r="E50" s="650">
        <f t="shared" si="13"/>
        <v>1660896.2805233081</v>
      </c>
      <c r="F50" s="650">
        <f t="shared" si="13"/>
        <v>8901082.803966919</v>
      </c>
      <c r="G50" s="650">
        <f t="shared" si="13"/>
        <v>229122.89783584699</v>
      </c>
      <c r="H50" s="650">
        <f t="shared" si="13"/>
        <v>646808.288822509</v>
      </c>
      <c r="I50" s="650">
        <f t="shared" si="13"/>
        <v>12610575.613422016</v>
      </c>
      <c r="J50" s="1329">
        <f>SUM(J7:J49)</f>
        <v>12510575</v>
      </c>
      <c r="K50" s="1324">
        <f t="shared" si="0"/>
        <v>100000.61342201568</v>
      </c>
      <c r="N50" s="1336"/>
      <c r="Z50" s="1377"/>
    </row>
    <row r="51" spans="1:26" x14ac:dyDescent="0.25">
      <c r="A51" s="1378"/>
      <c r="B51" s="1379"/>
      <c r="C51" s="1886"/>
      <c r="D51" s="1887"/>
      <c r="E51" s="1886"/>
      <c r="F51" s="1888"/>
      <c r="G51" s="1888"/>
      <c r="H51" s="1888"/>
      <c r="I51" s="1381"/>
      <c r="J51" s="1329">
        <f>J50-I50</f>
        <v>-100000.61342201568</v>
      </c>
      <c r="N51" s="1336"/>
      <c r="O51" s="1314"/>
      <c r="P51" s="1314"/>
      <c r="Q51" s="1314"/>
      <c r="R51" s="1314"/>
      <c r="S51" s="1314"/>
      <c r="Z51" s="1377"/>
    </row>
    <row r="52" spans="1:26" x14ac:dyDescent="0.25">
      <c r="A52" s="1378"/>
      <c r="B52" s="1382"/>
      <c r="C52" s="1886"/>
      <c r="D52" s="1886"/>
      <c r="E52" s="1886"/>
      <c r="F52" s="1886"/>
      <c r="G52" s="1886"/>
      <c r="H52" s="1886"/>
      <c r="I52" s="1381"/>
      <c r="K52" s="1330"/>
      <c r="L52" s="1315"/>
      <c r="N52" s="1336"/>
      <c r="Z52" s="1377"/>
    </row>
    <row r="53" spans="1:26" x14ac:dyDescent="0.25">
      <c r="A53" s="1378"/>
      <c r="B53" s="1093"/>
      <c r="C53" s="1385"/>
      <c r="N53" s="1336"/>
      <c r="Z53" s="1377"/>
    </row>
    <row r="54" spans="1:26" x14ac:dyDescent="0.25">
      <c r="A54" s="1378"/>
      <c r="B54" s="1093"/>
      <c r="L54" s="1329"/>
      <c r="N54" s="1336"/>
    </row>
    <row r="55" spans="1:26" x14ac:dyDescent="0.25">
      <c r="A55" s="1378"/>
      <c r="B55" s="1386"/>
      <c r="D55" s="1377"/>
      <c r="N55" s="1336"/>
    </row>
    <row r="56" spans="1:26" x14ac:dyDescent="0.25">
      <c r="B56" s="1386"/>
      <c r="N56" s="1336"/>
    </row>
    <row r="57" spans="1:26" x14ac:dyDescent="0.25">
      <c r="B57" s="1386"/>
    </row>
    <row r="58" spans="1:26" x14ac:dyDescent="0.25">
      <c r="B58" s="1386"/>
    </row>
    <row r="59" spans="1:26" x14ac:dyDescent="0.25">
      <c r="B59" s="1386"/>
    </row>
    <row r="60" spans="1:26" s="1377" customFormat="1" x14ac:dyDescent="0.25">
      <c r="A60" s="1312"/>
      <c r="B60" s="1386"/>
      <c r="D60" s="1380"/>
      <c r="F60" s="1312"/>
      <c r="G60" s="1312"/>
      <c r="H60" s="1312"/>
      <c r="I60" s="1312"/>
      <c r="J60" s="1314"/>
      <c r="K60" s="1315"/>
      <c r="L60" s="1314"/>
      <c r="M60" s="1314"/>
      <c r="N60" s="1314"/>
      <c r="O60" s="1312"/>
      <c r="P60" s="1312"/>
      <c r="Q60" s="1312"/>
      <c r="R60" s="1312"/>
      <c r="S60" s="1312"/>
      <c r="T60" s="1312"/>
      <c r="U60" s="1312"/>
      <c r="V60" s="1312"/>
      <c r="W60" s="1312"/>
      <c r="X60" s="1312"/>
      <c r="Y60" s="1312"/>
      <c r="Z60" s="1312"/>
    </row>
    <row r="61" spans="1:26" s="1377" customFormat="1" x14ac:dyDescent="0.25">
      <c r="A61" s="1312"/>
      <c r="B61" s="1386"/>
      <c r="D61" s="1380"/>
      <c r="F61" s="1312"/>
      <c r="G61" s="1312"/>
      <c r="H61" s="1312"/>
      <c r="I61" s="1312"/>
      <c r="J61" s="1314"/>
      <c r="K61" s="1315"/>
      <c r="L61" s="1314"/>
      <c r="M61" s="1314"/>
      <c r="N61" s="1314"/>
      <c r="O61" s="1312"/>
      <c r="P61" s="1312"/>
      <c r="Q61" s="1312"/>
      <c r="R61" s="1312"/>
      <c r="S61" s="1312"/>
      <c r="T61" s="1312"/>
      <c r="U61" s="1312"/>
      <c r="V61" s="1312"/>
      <c r="W61" s="1312"/>
      <c r="X61" s="1312"/>
      <c r="Y61" s="1312"/>
      <c r="Z61" s="1312"/>
    </row>
    <row r="62" spans="1:26" s="1377" customFormat="1" x14ac:dyDescent="0.25">
      <c r="A62" s="1312"/>
      <c r="B62" s="1386"/>
      <c r="D62" s="1380"/>
      <c r="F62" s="1312"/>
      <c r="G62" s="1312"/>
      <c r="H62" s="1312"/>
      <c r="I62" s="1312"/>
      <c r="J62" s="1314"/>
      <c r="K62" s="1315"/>
      <c r="L62" s="1314"/>
      <c r="M62" s="1314"/>
      <c r="N62" s="1314"/>
      <c r="O62" s="1312"/>
      <c r="P62" s="1312"/>
      <c r="Q62" s="1312"/>
      <c r="R62" s="1312"/>
      <c r="S62" s="1312"/>
      <c r="T62" s="1312"/>
      <c r="U62" s="1312"/>
      <c r="V62" s="1312"/>
      <c r="W62" s="1312"/>
      <c r="X62" s="1312"/>
      <c r="Y62" s="1312"/>
      <c r="Z62" s="1312"/>
    </row>
    <row r="63" spans="1:26" s="1377" customFormat="1" x14ac:dyDescent="0.25">
      <c r="A63" s="1312"/>
      <c r="B63" s="1386"/>
      <c r="D63" s="1380"/>
      <c r="F63" s="1312"/>
      <c r="G63" s="1156">
        <f>25250/486000</f>
        <v>5.1954732510288065E-2</v>
      </c>
      <c r="H63" s="1312"/>
      <c r="I63" s="1312"/>
      <c r="J63" s="1314"/>
      <c r="K63" s="1315"/>
      <c r="L63" s="1314"/>
      <c r="M63" s="1314"/>
      <c r="N63" s="1314"/>
      <c r="O63" s="1312"/>
      <c r="P63" s="1312"/>
      <c r="Q63" s="1312"/>
      <c r="R63" s="1312"/>
      <c r="S63" s="1312"/>
      <c r="T63" s="1312"/>
      <c r="U63" s="1312"/>
      <c r="V63" s="1312"/>
      <c r="W63" s="1312"/>
      <c r="X63" s="1312"/>
      <c r="Y63" s="1312"/>
      <c r="Z63" s="1312"/>
    </row>
  </sheetData>
  <mergeCells count="13">
    <mergeCell ref="B16:I16"/>
    <mergeCell ref="B1:I1"/>
    <mergeCell ref="B2:I2"/>
    <mergeCell ref="B3:I3"/>
    <mergeCell ref="B6:I6"/>
    <mergeCell ref="B13:I13"/>
    <mergeCell ref="B46:I46"/>
    <mergeCell ref="B17:I17"/>
    <mergeCell ref="B23:I23"/>
    <mergeCell ref="B24:I24"/>
    <mergeCell ref="B28:I28"/>
    <mergeCell ref="B33:I33"/>
    <mergeCell ref="B36:I36"/>
  </mergeCells>
  <printOptions horizontalCentered="1" verticalCentered="1"/>
  <pageMargins left="0.61" right="0.31" top="0.2" bottom="0.68" header="0.2" footer="0.18"/>
  <pageSetup scale="66" orientation="landscape" r:id="rId1"/>
  <headerFooter alignWithMargins="0">
    <oddFooter>&amp;R
&amp;C&amp;"Arial"&amp;11&amp;K000000&amp;14
Totals may vary due to rounding&amp;12
_x000D_&amp;1#&amp;"Calibri"&amp;12&amp;K008000Internal Use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tabColor indexed="11"/>
  </sheetPr>
  <dimension ref="A1:F43"/>
  <sheetViews>
    <sheetView topLeftCell="A18" workbookViewId="0">
      <selection activeCell="H43" sqref="H43"/>
    </sheetView>
  </sheetViews>
  <sheetFormatPr defaultRowHeight="12.75" x14ac:dyDescent="0.2"/>
  <cols>
    <col min="1" max="1" width="22.7109375" style="1039" customWidth="1"/>
    <col min="2" max="2" width="14.85546875" style="1039" customWidth="1"/>
    <col min="3" max="3" width="10.7109375" style="1039" customWidth="1"/>
    <col min="4" max="4" width="14.42578125" style="1039" customWidth="1"/>
    <col min="5" max="5" width="22.7109375" style="1039" customWidth="1"/>
    <col min="6" max="6" width="19.140625" style="1039" customWidth="1"/>
    <col min="7" max="16384" width="9.140625" style="1039"/>
  </cols>
  <sheetData>
    <row r="1" spans="1:6" ht="20.25" x14ac:dyDescent="0.3">
      <c r="A1" s="2916" t="s">
        <v>59</v>
      </c>
      <c r="B1" s="2916"/>
      <c r="C1" s="2916"/>
      <c r="D1" s="2916"/>
      <c r="E1" s="2916"/>
      <c r="F1" s="1387"/>
    </row>
    <row r="2" spans="1:6" ht="20.25" x14ac:dyDescent="0.3">
      <c r="A2" s="2916" t="s">
        <v>464</v>
      </c>
      <c r="B2" s="2916"/>
      <c r="C2" s="2916"/>
      <c r="D2" s="2916"/>
      <c r="E2" s="2916"/>
      <c r="F2" s="1387"/>
    </row>
    <row r="3" spans="1:6" ht="20.25" x14ac:dyDescent="0.3">
      <c r="A3" s="2916" t="s">
        <v>60</v>
      </c>
      <c r="B3" s="2916"/>
      <c r="C3" s="2916"/>
      <c r="D3" s="2916"/>
      <c r="E3" s="2916"/>
      <c r="F3" s="1387"/>
    </row>
    <row r="4" spans="1:6" ht="15.75" x14ac:dyDescent="0.25">
      <c r="B4" s="2916"/>
      <c r="C4" s="2916"/>
      <c r="D4" s="2916"/>
    </row>
    <row r="32" spans="1:4" x14ac:dyDescent="0.2">
      <c r="A32" s="1194" t="s">
        <v>17</v>
      </c>
      <c r="B32" s="1388" t="s">
        <v>1</v>
      </c>
      <c r="C32" s="1194"/>
      <c r="D32" s="1389" t="s">
        <v>18</v>
      </c>
    </row>
    <row r="33" spans="1:4" x14ac:dyDescent="0.2">
      <c r="B33" s="1390"/>
      <c r="D33" s="1391"/>
    </row>
    <row r="34" spans="1:4" x14ac:dyDescent="0.2">
      <c r="A34" s="1039" t="s">
        <v>53</v>
      </c>
      <c r="B34" s="1311">
        <f>'YGS Table C 2013'!C50</f>
        <v>1161174.3795583844</v>
      </c>
      <c r="D34" s="1392">
        <f t="shared" ref="D34:D39" si="0">SUM(B34/$B$41)</f>
        <v>9.2079411372982298E-2</v>
      </c>
    </row>
    <row r="35" spans="1:4" x14ac:dyDescent="0.2">
      <c r="A35" s="1039" t="s">
        <v>19</v>
      </c>
      <c r="B35" s="1311">
        <f>'YGS Table C 2013'!D50</f>
        <v>11490.962715048383</v>
      </c>
      <c r="D35" s="1392">
        <f t="shared" si="0"/>
        <v>9.1121635263167707E-4</v>
      </c>
    </row>
    <row r="36" spans="1:4" x14ac:dyDescent="0.2">
      <c r="A36" s="1039" t="s">
        <v>4</v>
      </c>
      <c r="B36" s="1311">
        <f>'YGS Table C 2013'!E50</f>
        <v>1660896.2805233081</v>
      </c>
      <c r="D36" s="1392">
        <f t="shared" si="0"/>
        <v>0.13170661922486232</v>
      </c>
    </row>
    <row r="37" spans="1:4" x14ac:dyDescent="0.2">
      <c r="A37" s="1039" t="s">
        <v>2</v>
      </c>
      <c r="B37" s="1311">
        <f>'YGS Table C 2013'!F50</f>
        <v>8901082.803966919</v>
      </c>
      <c r="D37" s="1392">
        <f t="shared" si="0"/>
        <v>0.70584270510959757</v>
      </c>
    </row>
    <row r="38" spans="1:4" x14ac:dyDescent="0.2">
      <c r="A38" s="1039" t="s">
        <v>14</v>
      </c>
      <c r="B38" s="1311">
        <f>'YGS Table C 2013'!G50</f>
        <v>229122.89783584699</v>
      </c>
      <c r="D38" s="1392">
        <f t="shared" si="0"/>
        <v>1.8169107014590274E-2</v>
      </c>
    </row>
    <row r="39" spans="1:4" x14ac:dyDescent="0.2">
      <c r="A39" s="1039" t="s">
        <v>15</v>
      </c>
      <c r="B39" s="1393">
        <f>'YGS Table C 2013'!H50</f>
        <v>646808.288822509</v>
      </c>
      <c r="D39" s="1394">
        <f t="shared" si="0"/>
        <v>5.1290940925335808E-2</v>
      </c>
    </row>
    <row r="40" spans="1:4" x14ac:dyDescent="0.2">
      <c r="D40" s="1395"/>
    </row>
    <row r="41" spans="1:4" x14ac:dyDescent="0.2">
      <c r="A41" s="1396" t="s">
        <v>0</v>
      </c>
      <c r="B41" s="1397">
        <f>SUM(B34:B39)</f>
        <v>12610575.613422016</v>
      </c>
      <c r="D41" s="1398">
        <f>SUM(D34:D39)</f>
        <v>1</v>
      </c>
    </row>
    <row r="43" spans="1:4" x14ac:dyDescent="0.2">
      <c r="A43" s="1399"/>
    </row>
  </sheetData>
  <mergeCells count="4">
    <mergeCell ref="A1:E1"/>
    <mergeCell ref="A2:E2"/>
    <mergeCell ref="A3:E3"/>
    <mergeCell ref="B4:D4"/>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tabColor rgb="FF00FF00"/>
    <pageSetUpPr fitToPage="1"/>
  </sheetPr>
  <dimension ref="A1:AF63"/>
  <sheetViews>
    <sheetView topLeftCell="C25" zoomScale="70" zoomScaleNormal="70" workbookViewId="0">
      <selection activeCell="H43" sqref="H43"/>
    </sheetView>
  </sheetViews>
  <sheetFormatPr defaultRowHeight="15.75" x14ac:dyDescent="0.25"/>
  <cols>
    <col min="1" max="1" width="7.140625" style="1312" customWidth="1"/>
    <col min="2" max="2" width="54.5703125" style="1312" customWidth="1"/>
    <col min="3" max="3" width="19.85546875" style="1377" customWidth="1"/>
    <col min="4" max="4" width="18" style="1380" customWidth="1"/>
    <col min="5" max="5" width="20.85546875" style="1377" bestFit="1" customWidth="1"/>
    <col min="6" max="6" width="17.42578125" style="1312" customWidth="1"/>
    <col min="7" max="7" width="16.5703125" style="1312" customWidth="1"/>
    <col min="8" max="8" width="20.42578125" style="1312" customWidth="1"/>
    <col min="9" max="9" width="21" style="1312" customWidth="1"/>
    <col min="10" max="10" width="20.42578125" style="1314" hidden="1" customWidth="1"/>
    <col min="11" max="11" width="20.42578125" style="1315" hidden="1" customWidth="1"/>
    <col min="12" max="12" width="16.28515625" style="1314" hidden="1" customWidth="1"/>
    <col min="13" max="14" width="10.7109375" style="1314" hidden="1" customWidth="1"/>
    <col min="15" max="15" width="10.7109375" style="1312" hidden="1" customWidth="1"/>
    <col min="16" max="16" width="13.42578125" style="1312" hidden="1" customWidth="1"/>
    <col min="17" max="17" width="10.7109375" style="1312" hidden="1" customWidth="1"/>
    <col min="18" max="18" width="16.28515625" style="1314" hidden="1" customWidth="1"/>
    <col min="19" max="20" width="10.7109375" style="1314" hidden="1" customWidth="1"/>
    <col min="21" max="21" width="10.7109375" style="1312" hidden="1" customWidth="1"/>
    <col min="22" max="22" width="13.42578125" style="1312" hidden="1" customWidth="1"/>
    <col min="23" max="23" width="10.7109375" style="1312" hidden="1" customWidth="1"/>
    <col min="24" max="24" width="12.85546875" style="1312" hidden="1" customWidth="1"/>
    <col min="25" max="25" width="10.7109375" style="1312" hidden="1" customWidth="1"/>
    <col min="26" max="26" width="9.140625" style="1312" hidden="1" customWidth="1"/>
    <col min="27" max="27" width="17.140625" style="1312" customWidth="1"/>
    <col min="28" max="29" width="9.140625" style="1312" customWidth="1"/>
    <col min="30" max="16384" width="9.140625" style="1312"/>
  </cols>
  <sheetData>
    <row r="1" spans="1:32" x14ac:dyDescent="0.25">
      <c r="B1" s="2916" t="s">
        <v>82</v>
      </c>
      <c r="C1" s="2916"/>
      <c r="D1" s="2916"/>
      <c r="E1" s="2916"/>
      <c r="F1" s="2916"/>
      <c r="G1" s="2916"/>
      <c r="H1" s="2916"/>
      <c r="I1" s="2916"/>
    </row>
    <row r="2" spans="1:32" x14ac:dyDescent="0.25">
      <c r="B2" s="2916" t="s">
        <v>415</v>
      </c>
      <c r="C2" s="2916"/>
      <c r="D2" s="2916"/>
      <c r="E2" s="2916"/>
      <c r="F2" s="2916"/>
      <c r="G2" s="2916"/>
      <c r="H2" s="2916"/>
      <c r="I2" s="2916"/>
    </row>
    <row r="3" spans="1:32" x14ac:dyDescent="0.25">
      <c r="B3" s="2916"/>
      <c r="C3" s="2916"/>
      <c r="D3" s="2916"/>
      <c r="E3" s="2916"/>
      <c r="F3" s="2916"/>
      <c r="G3" s="2916"/>
      <c r="H3" s="2916"/>
      <c r="I3" s="2916"/>
    </row>
    <row r="4" spans="1:32" ht="6.75" customHeight="1" thickBot="1" x14ac:dyDescent="0.3">
      <c r="B4" s="1316"/>
      <c r="C4" s="1317"/>
      <c r="D4" s="1318"/>
      <c r="E4" s="1319"/>
    </row>
    <row r="5" spans="1:32" ht="48" thickBot="1" x14ac:dyDescent="0.3">
      <c r="B5" s="1320" t="s">
        <v>42</v>
      </c>
      <c r="C5" s="1321" t="s">
        <v>53</v>
      </c>
      <c r="D5" s="1321" t="s">
        <v>13</v>
      </c>
      <c r="E5" s="1321" t="s">
        <v>4</v>
      </c>
      <c r="F5" s="1321" t="s">
        <v>2</v>
      </c>
      <c r="G5" s="1321" t="s">
        <v>14</v>
      </c>
      <c r="H5" s="1321" t="s">
        <v>15</v>
      </c>
      <c r="I5" s="1321" t="s">
        <v>16</v>
      </c>
    </row>
    <row r="6" spans="1:32" ht="16.5" thickBot="1" x14ac:dyDescent="0.3">
      <c r="B6" s="2917" t="s">
        <v>5</v>
      </c>
      <c r="C6" s="2918"/>
      <c r="D6" s="2918"/>
      <c r="E6" s="2918"/>
      <c r="F6" s="2918"/>
      <c r="G6" s="2918"/>
      <c r="H6" s="2918"/>
      <c r="I6" s="2919"/>
      <c r="J6" s="1322"/>
      <c r="K6" s="1323"/>
      <c r="L6" s="1315"/>
      <c r="M6" s="1315"/>
      <c r="R6" s="1315"/>
      <c r="S6" s="1315"/>
    </row>
    <row r="7" spans="1:32" ht="16.5" customHeight="1" x14ac:dyDescent="0.25">
      <c r="A7" s="1145"/>
      <c r="B7" s="1293" t="s">
        <v>222</v>
      </c>
      <c r="C7" s="633">
        <f>2545500*0.1</f>
        <v>254550</v>
      </c>
      <c r="D7" s="633">
        <v>1650.7640788816107</v>
      </c>
      <c r="E7" s="633">
        <v>70674</v>
      </c>
      <c r="F7" s="633">
        <f>2759424.9981344-600000</f>
        <v>2159424.9981344002</v>
      </c>
      <c r="G7" s="633">
        <v>50903.170405949997</v>
      </c>
      <c r="H7" s="633">
        <v>8297.4597392204269</v>
      </c>
      <c r="I7" s="660">
        <f>SUM(C7:H7)</f>
        <v>2545500.3923584521</v>
      </c>
      <c r="J7" s="1322">
        <v>2545500</v>
      </c>
      <c r="K7" s="1324">
        <f>J7-I7</f>
        <v>-0.3923584520816803</v>
      </c>
      <c r="L7" s="1162">
        <v>9.5000000000000001E-2</v>
      </c>
      <c r="M7" s="1162">
        <v>5.2480180539869997E-4</v>
      </c>
      <c r="N7" s="1147">
        <v>1.50694985349057E-2</v>
      </c>
      <c r="O7" s="1156">
        <f>1-SUM(L7,M7,N7,P7,Q7)</f>
        <v>0.87726116615304472</v>
      </c>
      <c r="P7" s="1156">
        <v>9.5066509E-3</v>
      </c>
      <c r="Q7" s="1156">
        <v>2.6378826066509064E-3</v>
      </c>
      <c r="R7" s="1162">
        <v>0.105</v>
      </c>
      <c r="S7" s="1162">
        <v>1.5248018053987001E-3</v>
      </c>
      <c r="T7" s="1147">
        <v>6.0694985349057297E-2</v>
      </c>
      <c r="U7" s="1156">
        <f>1-SUM(R7,S7,T7,V7,W7)</f>
        <v>0.81150444763224217</v>
      </c>
      <c r="V7" s="1156">
        <v>1.8637882606650901E-2</v>
      </c>
      <c r="W7" s="1156">
        <v>2.6378826066509064E-3</v>
      </c>
    </row>
    <row r="8" spans="1:32" ht="16.5" customHeight="1" x14ac:dyDescent="0.25">
      <c r="A8" s="1145"/>
      <c r="B8" s="1288" t="s">
        <v>149</v>
      </c>
      <c r="C8" s="638">
        <f>4062000*0.085</f>
        <v>345270</v>
      </c>
      <c r="D8" s="638">
        <v>2118.5244532391584</v>
      </c>
      <c r="E8" s="638">
        <f>4062000*0.035</f>
        <v>142170</v>
      </c>
      <c r="F8" s="638">
        <f>4062000*0.86</f>
        <v>3493320</v>
      </c>
      <c r="G8" s="638">
        <v>70014.317812956404</v>
      </c>
      <c r="H8" s="638">
        <v>9107.4159076863252</v>
      </c>
      <c r="I8" s="640">
        <f>SUM(C8:H8)</f>
        <v>4062000.2581738816</v>
      </c>
      <c r="J8" s="1322">
        <v>3462000</v>
      </c>
      <c r="K8" s="1324">
        <f t="shared" ref="K8:K50" si="0">J8-I8</f>
        <v>-600000.25817388156</v>
      </c>
      <c r="L8" s="1162">
        <v>8.7499999999999994E-2</v>
      </c>
      <c r="M8" s="1162">
        <v>6.1193658383568996E-4</v>
      </c>
      <c r="N8" s="1162">
        <v>1.95E-2</v>
      </c>
      <c r="O8" s="1162">
        <f>1-SUM(L8,M8,N8,P8,Q8)</f>
        <v>0.87349963657600171</v>
      </c>
      <c r="P8" s="1162">
        <v>1.6257746335342702E-2</v>
      </c>
      <c r="Q8" s="1162">
        <v>2.6306805048198515E-3</v>
      </c>
      <c r="R8" s="1162">
        <v>0.10147334143155599</v>
      </c>
      <c r="S8" s="1162">
        <v>1.6119365838356933E-3</v>
      </c>
      <c r="T8" s="1162">
        <v>5.0574187930528113E-2</v>
      </c>
      <c r="U8" s="1162">
        <f>1-SUM(R8,S8,T8,V8,W8)</f>
        <v>0.83526210721391758</v>
      </c>
      <c r="V8" s="1162">
        <v>8.4477463353427699E-3</v>
      </c>
      <c r="W8" s="1162">
        <v>2.6306805048198515E-3</v>
      </c>
      <c r="X8" s="1325"/>
      <c r="Z8" s="1325"/>
    </row>
    <row r="9" spans="1:32" ht="16.5" customHeight="1" x14ac:dyDescent="0.25">
      <c r="A9" s="1145"/>
      <c r="B9" s="1288" t="s">
        <v>227</v>
      </c>
      <c r="C9" s="638">
        <v>24024</v>
      </c>
      <c r="D9" s="638">
        <v>385</v>
      </c>
      <c r="E9" s="638">
        <v>40271</v>
      </c>
      <c r="F9" s="638">
        <v>693693</v>
      </c>
      <c r="G9" s="638">
        <v>8162</v>
      </c>
      <c r="H9" s="638">
        <v>3464.9999999999995</v>
      </c>
      <c r="I9" s="640">
        <f>SUM(C9:H9)</f>
        <v>770000</v>
      </c>
      <c r="J9" s="1322">
        <v>770000</v>
      </c>
      <c r="K9" s="1324">
        <f t="shared" si="0"/>
        <v>0</v>
      </c>
      <c r="L9" s="1162">
        <v>3.1199999999999999E-2</v>
      </c>
      <c r="M9" s="1147">
        <v>5.0000000000000001E-4</v>
      </c>
      <c r="N9" s="1156">
        <v>5.2299999999999999E-2</v>
      </c>
      <c r="O9" s="1156">
        <f>1-SUM(L9,M9,N9,P9,Q9)</f>
        <v>0.90090000000000003</v>
      </c>
      <c r="P9" s="1156">
        <v>1.06E-2</v>
      </c>
      <c r="Q9" s="1156">
        <v>4.4999999999999997E-3</v>
      </c>
      <c r="R9" s="1162">
        <v>3.1199999999999999E-2</v>
      </c>
      <c r="S9" s="1147">
        <v>1E-3</v>
      </c>
      <c r="T9" s="1156">
        <v>5.2299999999999999E-2</v>
      </c>
      <c r="U9" s="1156">
        <f>1-SUM(R9,S9,T9,V9,W9)</f>
        <v>0.89690000000000003</v>
      </c>
      <c r="V9" s="1156">
        <v>1.06E-2</v>
      </c>
      <c r="W9" s="1156">
        <v>8.0000000000000002E-3</v>
      </c>
    </row>
    <row r="10" spans="1:32" ht="16.5" customHeight="1" thickBot="1" x14ac:dyDescent="0.3">
      <c r="A10" s="1150"/>
      <c r="B10" s="1327" t="s">
        <v>150</v>
      </c>
      <c r="C10" s="641">
        <v>8852.8083491460911</v>
      </c>
      <c r="D10" s="641">
        <v>393.73814041745726</v>
      </c>
      <c r="E10" s="641">
        <v>1815.1328273244783</v>
      </c>
      <c r="F10" s="641">
        <v>69434.146110056943</v>
      </c>
      <c r="G10" s="641">
        <v>1759.2220113851988</v>
      </c>
      <c r="H10" s="641">
        <v>744.95256166982961</v>
      </c>
      <c r="I10" s="643">
        <f>SUM(C10:H10)</f>
        <v>82999.999999999985</v>
      </c>
      <c r="J10" s="1322">
        <v>83000</v>
      </c>
      <c r="K10" s="1324">
        <f t="shared" si="0"/>
        <v>0</v>
      </c>
      <c r="L10" s="1162">
        <v>0.10666034155597701</v>
      </c>
      <c r="M10" s="1147">
        <v>4.7438330170777986E-3</v>
      </c>
      <c r="N10" s="1156">
        <v>2.1869070208728653E-2</v>
      </c>
      <c r="O10" s="1156">
        <f>1-SUM(L10,M10,N10,P10,Q10)</f>
        <v>0.83655597722960173</v>
      </c>
      <c r="P10" s="1156">
        <v>2.1195445920303601E-2</v>
      </c>
      <c r="Q10" s="1156">
        <v>8.9753320683111995E-3</v>
      </c>
      <c r="R10" s="1162">
        <v>0.10666034155597701</v>
      </c>
      <c r="S10" s="1147">
        <v>4.7438330170777986E-3</v>
      </c>
      <c r="T10" s="1156">
        <v>2.1869070208728653E-2</v>
      </c>
      <c r="U10" s="1156">
        <f>1-SUM(R10,S10,T10,V10,W10)</f>
        <v>0.82655597722960172</v>
      </c>
      <c r="V10" s="1156">
        <v>2.1195445920303601E-2</v>
      </c>
      <c r="W10" s="1156">
        <v>1.8975332068311195E-2</v>
      </c>
    </row>
    <row r="11" spans="1:32" ht="16.5" customHeight="1" thickBot="1" x14ac:dyDescent="0.3">
      <c r="A11" s="1150"/>
      <c r="B11" s="1328" t="s">
        <v>30</v>
      </c>
      <c r="C11" s="645">
        <f>SUM(C7:C10)</f>
        <v>632696.80834914604</v>
      </c>
      <c r="D11" s="645">
        <f t="shared" ref="D11:I11" si="1">SUM(D7:D10)</f>
        <v>4548.0266725382262</v>
      </c>
      <c r="E11" s="645">
        <f t="shared" si="1"/>
        <v>254930.13282732447</v>
      </c>
      <c r="F11" s="645">
        <f t="shared" si="1"/>
        <v>6415872.1442444576</v>
      </c>
      <c r="G11" s="645">
        <f t="shared" si="1"/>
        <v>130838.71023029159</v>
      </c>
      <c r="H11" s="645">
        <f t="shared" si="1"/>
        <v>21614.828208576582</v>
      </c>
      <c r="I11" s="645">
        <f t="shared" si="1"/>
        <v>7460500.6505323332</v>
      </c>
      <c r="J11" s="1329">
        <f>SUM(J7:J10)</f>
        <v>6860500</v>
      </c>
      <c r="K11" s="1324">
        <f t="shared" si="0"/>
        <v>-600000.65053233318</v>
      </c>
      <c r="L11" s="1330"/>
      <c r="M11" s="1315"/>
      <c r="R11" s="1330"/>
      <c r="S11" s="1315"/>
    </row>
    <row r="12" spans="1:32" s="1326" customFormat="1" ht="16.5" customHeight="1" x14ac:dyDescent="0.25">
      <c r="B12" s="1309"/>
      <c r="C12" s="1400"/>
      <c r="D12" s="1401"/>
      <c r="E12" s="1331"/>
      <c r="F12" s="1402"/>
      <c r="G12" s="1310"/>
      <c r="H12" s="1310"/>
      <c r="I12" s="1334"/>
      <c r="J12" s="1315"/>
      <c r="K12" s="1324"/>
      <c r="L12" s="1315"/>
      <c r="M12" s="1315"/>
      <c r="N12" s="1315"/>
      <c r="R12" s="1315"/>
      <c r="S12" s="1315"/>
      <c r="T12" s="1315"/>
      <c r="Y12" s="1403"/>
      <c r="Z12" s="1312"/>
      <c r="AA12" s="1312"/>
      <c r="AB12" s="1312"/>
      <c r="AC12" s="1312"/>
      <c r="AD12" s="1312"/>
      <c r="AE12" s="1312"/>
      <c r="AF12" s="1312"/>
    </row>
    <row r="13" spans="1:32" ht="16.5" customHeight="1" thickBot="1" x14ac:dyDescent="0.3">
      <c r="A13" s="1150"/>
      <c r="B13" s="2900" t="s">
        <v>151</v>
      </c>
      <c r="C13" s="2898"/>
      <c r="D13" s="2898"/>
      <c r="E13" s="2898"/>
      <c r="F13" s="2898"/>
      <c r="G13" s="2898"/>
      <c r="H13" s="2898"/>
      <c r="I13" s="2899"/>
      <c r="J13" s="1335"/>
      <c r="K13" s="1324">
        <f t="shared" si="0"/>
        <v>0</v>
      </c>
      <c r="L13" s="1336"/>
      <c r="R13" s="1336"/>
      <c r="Y13" s="1404"/>
      <c r="Z13" s="1326"/>
      <c r="AA13" s="1326"/>
      <c r="AB13" s="1326"/>
      <c r="AC13" s="1326"/>
      <c r="AD13" s="1326"/>
      <c r="AE13" s="1326"/>
      <c r="AF13" s="1326"/>
    </row>
    <row r="14" spans="1:32" ht="16.5" customHeight="1" thickBot="1" x14ac:dyDescent="0.3">
      <c r="A14" s="1145"/>
      <c r="B14" s="1337" t="s">
        <v>154</v>
      </c>
      <c r="C14" s="644">
        <v>221517.41882845692</v>
      </c>
      <c r="D14" s="644">
        <v>5070.6957249496181</v>
      </c>
      <c r="E14" s="644">
        <v>156021.40692152671</v>
      </c>
      <c r="F14" s="644">
        <f>1902276.29368+50000</f>
        <v>1952276.2936799999</v>
      </c>
      <c r="G14" s="644">
        <v>55412.579325953811</v>
      </c>
      <c r="H14" s="644">
        <v>11701.605519114504</v>
      </c>
      <c r="I14" s="634">
        <f>SUM(C14:H14)</f>
        <v>2402000.0000000019</v>
      </c>
      <c r="J14" s="1329">
        <v>2352000</v>
      </c>
      <c r="K14" s="1324">
        <f t="shared" si="0"/>
        <v>-50000.000000001863</v>
      </c>
      <c r="L14" s="833">
        <v>9.4182576032507195E-2</v>
      </c>
      <c r="M14" s="833">
        <v>2.1559080463221165E-3</v>
      </c>
      <c r="N14" s="833">
        <v>6.6335632194526664E-2</v>
      </c>
      <c r="O14" s="833">
        <f>1-SUM(L14,M14,N14,P14,Q14)</f>
        <v>0.80879094119047545</v>
      </c>
      <c r="P14" s="833">
        <v>2.3559770121579001E-2</v>
      </c>
      <c r="Q14" s="833">
        <v>4.9751724145894998E-3</v>
      </c>
      <c r="R14" s="833">
        <v>9.4182576032507195E-2</v>
      </c>
      <c r="S14" s="833">
        <v>2.1559080463221165E-3</v>
      </c>
      <c r="T14" s="833">
        <v>6.6335632194526664E-2</v>
      </c>
      <c r="U14" s="833">
        <f>1-SUM(R14,S14,T14,V14,W14)</f>
        <v>0.82820473429989661</v>
      </c>
      <c r="V14" s="833">
        <v>4.1459770121579165E-3</v>
      </c>
      <c r="W14" s="833">
        <v>4.9751724145894998E-3</v>
      </c>
      <c r="X14" s="1156"/>
      <c r="Y14" s="1344"/>
      <c r="AA14" s="1889">
        <f>2352000-I14</f>
        <v>-50000.000000001863</v>
      </c>
    </row>
    <row r="15" spans="1:32" ht="16.5" customHeight="1" thickBot="1" x14ac:dyDescent="0.3">
      <c r="A15" s="1150"/>
      <c r="B15" s="1307" t="s">
        <v>152</v>
      </c>
      <c r="C15" s="645">
        <f>SUM(C14)</f>
        <v>221517.41882845692</v>
      </c>
      <c r="D15" s="645">
        <f t="shared" ref="D15:I15" si="2">SUM(D14)</f>
        <v>5070.6957249496181</v>
      </c>
      <c r="E15" s="645">
        <f t="shared" si="2"/>
        <v>156021.40692152671</v>
      </c>
      <c r="F15" s="645">
        <f t="shared" si="2"/>
        <v>1952276.2936799999</v>
      </c>
      <c r="G15" s="645">
        <f t="shared" si="2"/>
        <v>55412.579325953811</v>
      </c>
      <c r="H15" s="645">
        <f t="shared" si="2"/>
        <v>11701.605519114504</v>
      </c>
      <c r="I15" s="645">
        <f t="shared" si="2"/>
        <v>2402000.0000000019</v>
      </c>
      <c r="J15" s="1329"/>
      <c r="K15" s="1324">
        <f t="shared" si="0"/>
        <v>-2402000.0000000019</v>
      </c>
      <c r="L15" s="1336"/>
      <c r="M15" s="1339"/>
      <c r="N15" s="1339"/>
      <c r="O15" s="1147"/>
      <c r="P15" s="1156"/>
      <c r="Q15" s="1156"/>
      <c r="R15" s="1336"/>
      <c r="S15" s="1339"/>
      <c r="T15" s="1339"/>
      <c r="U15" s="1147"/>
      <c r="V15" s="1156"/>
      <c r="W15" s="1156"/>
    </row>
    <row r="16" spans="1:32" s="1326" customFormat="1" ht="16.5" customHeight="1" x14ac:dyDescent="0.25">
      <c r="A16" s="1145"/>
      <c r="B16" s="2901"/>
      <c r="C16" s="2902"/>
      <c r="D16" s="2902"/>
      <c r="E16" s="2902"/>
      <c r="F16" s="2902"/>
      <c r="G16" s="2902"/>
      <c r="H16" s="2902"/>
      <c r="I16" s="2903"/>
      <c r="J16" s="1335"/>
      <c r="K16" s="1324">
        <f t="shared" si="0"/>
        <v>0</v>
      </c>
      <c r="L16" s="1340"/>
      <c r="M16" s="1341"/>
      <c r="N16" s="1162"/>
      <c r="O16" s="1162"/>
      <c r="P16" s="1342"/>
      <c r="Q16" s="1163"/>
      <c r="R16" s="1340"/>
      <c r="S16" s="1341"/>
      <c r="T16" s="1162"/>
      <c r="U16" s="1162"/>
      <c r="V16" s="1342"/>
      <c r="W16" s="1163"/>
      <c r="Z16" s="1312"/>
      <c r="AA16" s="1312"/>
      <c r="AB16" s="1312"/>
      <c r="AC16" s="1312"/>
      <c r="AD16" s="1312"/>
      <c r="AE16" s="1312"/>
      <c r="AF16" s="1312"/>
    </row>
    <row r="17" spans="1:32" ht="16.5" customHeight="1" thickBot="1" x14ac:dyDescent="0.3">
      <c r="A17" s="1150"/>
      <c r="B17" s="2900" t="s">
        <v>153</v>
      </c>
      <c r="C17" s="2898"/>
      <c r="D17" s="2898"/>
      <c r="E17" s="2898"/>
      <c r="F17" s="2898"/>
      <c r="G17" s="2898"/>
      <c r="H17" s="2898"/>
      <c r="I17" s="2899"/>
      <c r="J17" s="1335"/>
      <c r="K17" s="1324">
        <f t="shared" si="0"/>
        <v>0</v>
      </c>
      <c r="L17" s="1336"/>
      <c r="M17" s="1147"/>
      <c r="N17" s="1147"/>
      <c r="O17" s="1147"/>
      <c r="P17" s="1156"/>
      <c r="Q17" s="1156"/>
      <c r="R17" s="1336"/>
      <c r="S17" s="1147"/>
      <c r="T17" s="1147"/>
      <c r="U17" s="1147"/>
      <c r="V17" s="1156"/>
      <c r="W17" s="1156"/>
    </row>
    <row r="18" spans="1:32" ht="16.5" customHeight="1" thickBot="1" x14ac:dyDescent="0.3">
      <c r="A18" s="1145"/>
      <c r="B18" s="1337" t="s">
        <v>155</v>
      </c>
      <c r="C18" s="644">
        <v>167859.26970455344</v>
      </c>
      <c r="D18" s="644">
        <v>747.20163049319672</v>
      </c>
      <c r="E18" s="644">
        <v>124533.60508219944</v>
      </c>
      <c r="F18" s="644">
        <f>1204476.87262984+150000</f>
        <v>1354476.8726298399</v>
      </c>
      <c r="G18" s="644">
        <v>38713.040762329409</v>
      </c>
      <c r="H18" s="644">
        <v>4670.0101905824795</v>
      </c>
      <c r="I18" s="634">
        <f>SUM(C18:H18)</f>
        <v>1690999.9999999979</v>
      </c>
      <c r="J18" s="1329">
        <v>1541000</v>
      </c>
      <c r="K18" s="1324">
        <f t="shared" si="0"/>
        <v>-149999.9999999979</v>
      </c>
      <c r="L18" s="1343">
        <v>0.10892879279984</v>
      </c>
      <c r="M18" s="1343">
        <v>4.8488100616041316E-4</v>
      </c>
      <c r="N18" s="1343">
        <v>8.0813501026735526E-2</v>
      </c>
      <c r="O18" s="1343">
        <f>1-SUM(L18,M18,N18,P18,Q18)</f>
        <v>0.7816202937247515</v>
      </c>
      <c r="P18" s="1343">
        <v>2.5122025154009998E-2</v>
      </c>
      <c r="Q18" s="1343">
        <v>3.0305062885025826E-3</v>
      </c>
      <c r="R18" s="1343">
        <v>0.10892879279984</v>
      </c>
      <c r="S18" s="1343">
        <v>4.8488100616041316E-4</v>
      </c>
      <c r="T18" s="1343">
        <v>8.0813501026735526E-2</v>
      </c>
      <c r="U18" s="1343">
        <f>1-SUM(R18,S18,T18,V18,W18)</f>
        <v>0.79462029372475118</v>
      </c>
      <c r="V18" s="1343">
        <v>1.212202515401033E-2</v>
      </c>
      <c r="W18" s="1343">
        <v>3.0305062885025826E-3</v>
      </c>
      <c r="Y18" s="1344"/>
      <c r="AA18" s="1889">
        <f>1541000-I18</f>
        <v>-149999.9999999979</v>
      </c>
    </row>
    <row r="19" spans="1:32" ht="16.5" customHeight="1" thickBot="1" x14ac:dyDescent="0.3">
      <c r="A19" s="1145"/>
      <c r="B19" s="1337" t="s">
        <v>156</v>
      </c>
      <c r="C19" s="644">
        <v>43980</v>
      </c>
      <c r="D19" s="644">
        <v>1911</v>
      </c>
      <c r="E19" s="644">
        <v>15033</v>
      </c>
      <c r="F19" s="644">
        <f>196468.601624413+113000</f>
        <v>309468.60162441299</v>
      </c>
      <c r="G19" s="644">
        <v>19625</v>
      </c>
      <c r="H19" s="644">
        <v>8983</v>
      </c>
      <c r="I19" s="634">
        <f>SUM(C19:H19)</f>
        <v>399000.60162441299</v>
      </c>
      <c r="J19" s="1329">
        <v>249000</v>
      </c>
      <c r="K19" s="1324">
        <f t="shared" si="0"/>
        <v>-150000.60162441299</v>
      </c>
      <c r="L19" s="1162">
        <v>0.121614429914835</v>
      </c>
      <c r="M19" s="1162">
        <v>4.6218124899860729E-3</v>
      </c>
      <c r="N19" s="1162">
        <v>4.6218124899860727E-2</v>
      </c>
      <c r="O19" s="1162">
        <f>1-SUM(L19,M19,N19,P19,Q19)</f>
        <v>0.78903052861210099</v>
      </c>
      <c r="P19" s="1162">
        <v>1.540604163328691E-2</v>
      </c>
      <c r="Q19" s="1162">
        <v>2.3109062449930363E-2</v>
      </c>
      <c r="R19" s="1162">
        <v>0.121614429914835</v>
      </c>
      <c r="S19" s="1162">
        <v>4.6218124899860729E-3</v>
      </c>
      <c r="T19" s="1162">
        <v>4.6218124899860727E-2</v>
      </c>
      <c r="U19" s="1162">
        <f>1-SUM(R19,S19,T19,V19,W19)</f>
        <v>0.78903052861210099</v>
      </c>
      <c r="V19" s="1162">
        <v>1.540604163328691E-2</v>
      </c>
      <c r="W19" s="1162">
        <v>2.3109062449930363E-2</v>
      </c>
      <c r="Y19" s="1344"/>
    </row>
    <row r="20" spans="1:32" ht="16.5" customHeight="1" thickBot="1" x14ac:dyDescent="0.3">
      <c r="A20" s="1150"/>
      <c r="B20" s="1307" t="s">
        <v>299</v>
      </c>
      <c r="C20" s="645">
        <f>SUM(C18:C19)</f>
        <v>211839.26970455344</v>
      </c>
      <c r="D20" s="645">
        <f t="shared" ref="D20:I20" si="3">SUM(D18:D19)</f>
        <v>2658.2016304931967</v>
      </c>
      <c r="E20" s="645">
        <f t="shared" si="3"/>
        <v>139566.60508219944</v>
      </c>
      <c r="F20" s="645">
        <f t="shared" si="3"/>
        <v>1663945.4742542529</v>
      </c>
      <c r="G20" s="645">
        <f t="shared" si="3"/>
        <v>58338.040762329409</v>
      </c>
      <c r="H20" s="645">
        <f t="shared" si="3"/>
        <v>13653.010190582479</v>
      </c>
      <c r="I20" s="645">
        <f t="shared" si="3"/>
        <v>2090000.6016244108</v>
      </c>
      <c r="J20" s="1329"/>
      <c r="K20" s="1324">
        <f t="shared" si="0"/>
        <v>-2090000.6016244108</v>
      </c>
      <c r="L20" s="1330"/>
      <c r="M20" s="1341" t="s">
        <v>3</v>
      </c>
      <c r="N20" s="1147"/>
      <c r="O20" s="1147"/>
      <c r="P20" s="1345"/>
      <c r="R20" s="1330"/>
      <c r="S20" s="1341" t="s">
        <v>3</v>
      </c>
      <c r="T20" s="1147"/>
      <c r="U20" s="1147"/>
      <c r="V20" s="1345"/>
      <c r="Y20" s="1344"/>
      <c r="AA20" s="1314"/>
      <c r="AB20" s="1314"/>
      <c r="AC20" s="1314"/>
      <c r="AD20" s="1314"/>
      <c r="AE20" s="1314"/>
      <c r="AF20" s="1314"/>
    </row>
    <row r="21" spans="1:32" ht="16.5" customHeight="1" thickBot="1" x14ac:dyDescent="0.3">
      <c r="A21" s="1150"/>
      <c r="B21" s="1346" t="s">
        <v>245</v>
      </c>
      <c r="C21" s="1347">
        <v>16070</v>
      </c>
      <c r="D21" s="1347">
        <v>891</v>
      </c>
      <c r="E21" s="1347">
        <v>4135</v>
      </c>
      <c r="F21" s="1347">
        <f>244593.539566241-113000</f>
        <v>131593.539566241</v>
      </c>
      <c r="G21" s="1347">
        <v>18522</v>
      </c>
      <c r="H21" s="1347">
        <v>3788</v>
      </c>
      <c r="I21" s="1347">
        <f>SUM(C21:H21)</f>
        <v>174999.539566241</v>
      </c>
      <c r="J21" s="1329">
        <v>325000</v>
      </c>
      <c r="K21" s="1324">
        <f t="shared" si="0"/>
        <v>150000.460433759</v>
      </c>
      <c r="L21" s="1162">
        <v>9.1592565049718994E-2</v>
      </c>
      <c r="M21" s="1162">
        <v>5.0796282524859697E-3</v>
      </c>
      <c r="N21" s="1162">
        <v>2.3569475091534901E-2</v>
      </c>
      <c r="O21" s="1162">
        <f>1-SUM(L21,M21,N21,P21,Q21)</f>
        <v>0.75259550635766315</v>
      </c>
      <c r="P21" s="1162">
        <v>0.105570260198878</v>
      </c>
      <c r="Q21" s="1162">
        <v>2.1592565049719001E-2</v>
      </c>
      <c r="R21" s="1162">
        <v>9.1592565049718994E-2</v>
      </c>
      <c r="S21" s="1162">
        <v>5.0796282524859697E-3</v>
      </c>
      <c r="T21" s="1162">
        <v>2.3569475091534901E-2</v>
      </c>
      <c r="U21" s="1162">
        <f>1-SUM(R21,S21,T21,V21,W21)</f>
        <v>0.73752874053665296</v>
      </c>
      <c r="V21" s="1162">
        <v>4.0637026019887758E-2</v>
      </c>
      <c r="W21" s="1162">
        <v>0.1015925650497194</v>
      </c>
      <c r="Y21" s="1344"/>
    </row>
    <row r="22" spans="1:32" ht="16.5" customHeight="1" thickBot="1" x14ac:dyDescent="0.3">
      <c r="A22" s="1150"/>
      <c r="B22" s="1307" t="s">
        <v>31</v>
      </c>
      <c r="C22" s="645">
        <f>C15+C20+C21</f>
        <v>449426.68853301037</v>
      </c>
      <c r="D22" s="645">
        <f t="shared" ref="D22:I22" si="4">D15+D20+D21</f>
        <v>8619.8973554428158</v>
      </c>
      <c r="E22" s="645">
        <f t="shared" si="4"/>
        <v>299723.01200372615</v>
      </c>
      <c r="F22" s="645">
        <f t="shared" si="4"/>
        <v>3747815.3075004937</v>
      </c>
      <c r="G22" s="645">
        <f t="shared" si="4"/>
        <v>132272.62008828321</v>
      </c>
      <c r="H22" s="645">
        <f t="shared" si="4"/>
        <v>29142.615709696984</v>
      </c>
      <c r="I22" s="645">
        <f t="shared" si="4"/>
        <v>4667000.1411906537</v>
      </c>
      <c r="J22" s="1329">
        <f>J14+J18+J19+J21</f>
        <v>4467000</v>
      </c>
      <c r="K22" s="1324">
        <f t="shared" si="0"/>
        <v>-200000.14119065367</v>
      </c>
      <c r="L22" s="517"/>
      <c r="M22" s="1341" t="s">
        <v>3</v>
      </c>
      <c r="N22" s="1147"/>
      <c r="O22" s="1147"/>
      <c r="P22" s="1156"/>
      <c r="Q22" s="1156"/>
      <c r="R22" s="517"/>
      <c r="S22" s="1341" t="s">
        <v>3</v>
      </c>
      <c r="T22" s="1147"/>
      <c r="U22" s="1147"/>
      <c r="V22" s="1156"/>
      <c r="W22" s="1156"/>
      <c r="Y22" s="1344"/>
    </row>
    <row r="23" spans="1:32" s="1326" customFormat="1" ht="16.5" customHeight="1" thickBot="1" x14ac:dyDescent="0.3">
      <c r="A23" s="1145"/>
      <c r="B23" s="2901"/>
      <c r="C23" s="2902"/>
      <c r="D23" s="2902"/>
      <c r="E23" s="2902"/>
      <c r="F23" s="2902"/>
      <c r="G23" s="2902"/>
      <c r="H23" s="2902"/>
      <c r="I23" s="2903"/>
      <c r="J23" s="1335"/>
      <c r="K23" s="1324">
        <f t="shared" si="0"/>
        <v>0</v>
      </c>
      <c r="L23" s="517"/>
      <c r="M23" s="1147"/>
      <c r="N23" s="1147"/>
      <c r="O23" s="1147"/>
      <c r="P23" s="1312"/>
      <c r="Q23" s="1156"/>
      <c r="R23" s="517"/>
      <c r="S23" s="1147"/>
      <c r="T23" s="1147"/>
      <c r="U23" s="1147"/>
      <c r="V23" s="1312"/>
      <c r="W23" s="1156"/>
      <c r="X23" s="1312"/>
      <c r="Y23" s="1344"/>
      <c r="Z23" s="1312"/>
      <c r="AA23" s="1314"/>
      <c r="AB23" s="1314"/>
      <c r="AC23" s="1314"/>
      <c r="AD23" s="1314"/>
      <c r="AE23" s="1314"/>
      <c r="AF23" s="1314"/>
    </row>
    <row r="24" spans="1:32" ht="16.5" customHeight="1" thickBot="1" x14ac:dyDescent="0.3">
      <c r="A24" s="1145"/>
      <c r="B24" s="2920" t="s">
        <v>393</v>
      </c>
      <c r="C24" s="2921"/>
      <c r="D24" s="2921"/>
      <c r="E24" s="2921"/>
      <c r="F24" s="2921"/>
      <c r="G24" s="2921"/>
      <c r="H24" s="2921"/>
      <c r="I24" s="2922"/>
      <c r="J24" s="1348"/>
      <c r="K24" s="1324">
        <f t="shared" si="0"/>
        <v>0</v>
      </c>
      <c r="L24" s="517" t="s">
        <v>413</v>
      </c>
      <c r="M24" s="1147" t="s">
        <v>13</v>
      </c>
      <c r="N24" s="1147" t="s">
        <v>4</v>
      </c>
      <c r="O24" s="1147" t="s">
        <v>2</v>
      </c>
      <c r="P24" s="1325" t="s">
        <v>14</v>
      </c>
      <c r="Q24" s="1312" t="s">
        <v>15</v>
      </c>
      <c r="R24" s="517" t="s">
        <v>413</v>
      </c>
      <c r="S24" s="1147" t="s">
        <v>13</v>
      </c>
      <c r="T24" s="1147" t="s">
        <v>4</v>
      </c>
      <c r="U24" s="1147" t="s">
        <v>2</v>
      </c>
      <c r="V24" s="1325" t="s">
        <v>14</v>
      </c>
      <c r="W24" s="1312" t="s">
        <v>15</v>
      </c>
      <c r="X24" s="1312" t="s">
        <v>15</v>
      </c>
      <c r="Y24" s="1344"/>
    </row>
    <row r="25" spans="1:32" ht="16.5" customHeight="1" x14ac:dyDescent="0.25">
      <c r="A25" s="1150"/>
      <c r="B25" s="1291" t="s">
        <v>394</v>
      </c>
      <c r="C25" s="1856">
        <v>9000</v>
      </c>
      <c r="D25" s="1349">
        <v>0</v>
      </c>
      <c r="E25" s="1349">
        <v>141000</v>
      </c>
      <c r="F25" s="1349">
        <v>0</v>
      </c>
      <c r="G25" s="1349">
        <v>0</v>
      </c>
      <c r="H25" s="1349">
        <v>0</v>
      </c>
      <c r="I25" s="1350">
        <f>SUM(C25:H25)</f>
        <v>150000</v>
      </c>
      <c r="J25" s="1335">
        <v>150000</v>
      </c>
      <c r="K25" s="1324">
        <f t="shared" si="0"/>
        <v>0</v>
      </c>
      <c r="L25" s="1351">
        <v>0.06</v>
      </c>
      <c r="M25" s="1147">
        <v>0</v>
      </c>
      <c r="N25" s="1147">
        <v>0.94</v>
      </c>
      <c r="O25" s="1147">
        <v>0</v>
      </c>
      <c r="P25" s="1156">
        <v>0</v>
      </c>
      <c r="Q25" s="1156">
        <v>0</v>
      </c>
      <c r="R25" s="613">
        <v>4.9840011946127763E-2</v>
      </c>
      <c r="S25" s="1147">
        <v>0</v>
      </c>
      <c r="T25" s="1147">
        <v>7.1927326877658758E-3</v>
      </c>
      <c r="U25" s="1147">
        <v>0.93002033652812777</v>
      </c>
      <c r="V25" s="1156">
        <f>0.0107890990316488</f>
        <v>1.07890990316488E-2</v>
      </c>
      <c r="W25" s="1156">
        <f>0.00215781980632976</f>
        <v>2.15781980632976E-3</v>
      </c>
      <c r="X25" s="1156"/>
      <c r="Y25" s="1344"/>
    </row>
    <row r="26" spans="1:32" ht="16.5" customHeight="1" thickBot="1" x14ac:dyDescent="0.3">
      <c r="A26" s="1150"/>
      <c r="B26" s="1296" t="s">
        <v>414</v>
      </c>
      <c r="C26" s="1353">
        <v>3000</v>
      </c>
      <c r="D26" s="1353">
        <v>0</v>
      </c>
      <c r="E26" s="1353">
        <v>47000</v>
      </c>
      <c r="F26" s="1353">
        <v>0</v>
      </c>
      <c r="G26" s="1353">
        <v>0</v>
      </c>
      <c r="H26" s="1353">
        <v>0</v>
      </c>
      <c r="I26" s="1354">
        <f>SUM(C26:H26)</f>
        <v>50000</v>
      </c>
      <c r="J26" s="1335">
        <v>50000</v>
      </c>
      <c r="K26" s="1324">
        <f t="shared" si="0"/>
        <v>0</v>
      </c>
      <c r="L26" s="1351">
        <v>0.06</v>
      </c>
      <c r="M26" s="1147">
        <v>0</v>
      </c>
      <c r="N26" s="1147">
        <v>0.94</v>
      </c>
      <c r="O26" s="1147">
        <v>0</v>
      </c>
      <c r="P26" s="1156">
        <v>0</v>
      </c>
      <c r="Q26" s="1156">
        <v>0</v>
      </c>
      <c r="R26" s="1162">
        <v>7.4022305501543081E-2</v>
      </c>
      <c r="S26" s="1147">
        <v>0</v>
      </c>
      <c r="T26" s="1147">
        <v>5.4791579556121702E-3</v>
      </c>
      <c r="U26" s="1147">
        <v>0.8237000793270296</v>
      </c>
      <c r="V26" s="1156">
        <v>9.1319299260202838E-2</v>
      </c>
      <c r="W26" s="1156">
        <v>5.4791579556121702E-3</v>
      </c>
      <c r="X26" s="1156"/>
      <c r="Y26" s="1156"/>
      <c r="Z26" s="1314"/>
    </row>
    <row r="27" spans="1:32" ht="16.5" customHeight="1" thickBot="1" x14ac:dyDescent="0.3">
      <c r="A27" s="1150"/>
      <c r="B27" s="1405" t="s">
        <v>395</v>
      </c>
      <c r="C27" s="1356">
        <f>SUM(C25:C26)</f>
        <v>12000</v>
      </c>
      <c r="D27" s="1356">
        <f t="shared" ref="D27:I27" si="5">SUM(D25:D26)</f>
        <v>0</v>
      </c>
      <c r="E27" s="1356">
        <f t="shared" si="5"/>
        <v>188000</v>
      </c>
      <c r="F27" s="1356">
        <f t="shared" si="5"/>
        <v>0</v>
      </c>
      <c r="G27" s="1356">
        <f t="shared" si="5"/>
        <v>0</v>
      </c>
      <c r="H27" s="1356">
        <f t="shared" si="5"/>
        <v>0</v>
      </c>
      <c r="I27" s="1356">
        <f t="shared" si="5"/>
        <v>200000</v>
      </c>
      <c r="J27" s="1335">
        <f>SUM(J25:J26)</f>
        <v>200000</v>
      </c>
      <c r="K27" s="1324">
        <f t="shared" si="0"/>
        <v>0</v>
      </c>
      <c r="L27" s="517"/>
      <c r="M27" s="1147"/>
      <c r="N27" s="1147"/>
      <c r="O27" s="1147"/>
      <c r="P27" s="1156"/>
      <c r="Q27" s="1156"/>
      <c r="R27" s="517"/>
      <c r="S27" s="1147"/>
      <c r="T27" s="1147"/>
      <c r="U27" s="1147"/>
      <c r="V27" s="1156"/>
      <c r="W27" s="1156"/>
      <c r="Z27" s="1314"/>
    </row>
    <row r="28" spans="1:32" s="1326" customFormat="1" ht="16.5" customHeight="1" thickBot="1" x14ac:dyDescent="0.3">
      <c r="A28" s="1150"/>
      <c r="B28" s="2910" t="s">
        <v>396</v>
      </c>
      <c r="C28" s="2911"/>
      <c r="D28" s="2911"/>
      <c r="E28" s="2911"/>
      <c r="F28" s="2911"/>
      <c r="G28" s="2911"/>
      <c r="H28" s="2911"/>
      <c r="I28" s="2912"/>
      <c r="J28" s="1348"/>
      <c r="K28" s="1324">
        <f t="shared" si="0"/>
        <v>0</v>
      </c>
      <c r="L28" s="517"/>
      <c r="M28" s="1162"/>
      <c r="N28" s="1162"/>
      <c r="O28" s="1162"/>
      <c r="P28" s="1163"/>
      <c r="Q28" s="1163"/>
      <c r="R28" s="517"/>
      <c r="S28" s="1162"/>
      <c r="T28" s="1162"/>
      <c r="U28" s="1162"/>
      <c r="V28" s="1163"/>
      <c r="W28" s="1163"/>
      <c r="Z28" s="1315"/>
    </row>
    <row r="29" spans="1:32" ht="16.5" customHeight="1" x14ac:dyDescent="0.25">
      <c r="A29" s="1150"/>
      <c r="B29" s="1293" t="s">
        <v>278</v>
      </c>
      <c r="C29" s="1166">
        <v>0</v>
      </c>
      <c r="D29" s="1166">
        <v>0</v>
      </c>
      <c r="E29" s="1349">
        <v>89000</v>
      </c>
      <c r="F29" s="1166">
        <v>0</v>
      </c>
      <c r="G29" s="1166">
        <v>0</v>
      </c>
      <c r="H29" s="1166">
        <v>0</v>
      </c>
      <c r="I29" s="1350">
        <f>SUM(E29:H29)</f>
        <v>89000</v>
      </c>
      <c r="J29" s="1335">
        <v>89000</v>
      </c>
      <c r="K29" s="1324">
        <f t="shared" si="0"/>
        <v>0</v>
      </c>
      <c r="L29" s="1330"/>
      <c r="M29" s="1147"/>
      <c r="N29" s="1147"/>
      <c r="O29" s="1147"/>
      <c r="P29" s="1156"/>
      <c r="Q29" s="1156"/>
      <c r="R29" s="1330"/>
      <c r="S29" s="1147"/>
      <c r="T29" s="1147"/>
      <c r="U29" s="1147"/>
      <c r="V29" s="1156"/>
      <c r="W29" s="1156"/>
      <c r="Y29" s="1344"/>
    </row>
    <row r="30" spans="1:32" ht="16.5" customHeight="1" x14ac:dyDescent="0.25">
      <c r="A30" s="1150"/>
      <c r="B30" s="1300" t="s">
        <v>279</v>
      </c>
      <c r="C30" s="1166">
        <v>0</v>
      </c>
      <c r="D30" s="1166">
        <v>0</v>
      </c>
      <c r="E30" s="1358">
        <v>119000</v>
      </c>
      <c r="F30" s="1166">
        <v>0</v>
      </c>
      <c r="G30" s="1166">
        <v>0</v>
      </c>
      <c r="H30" s="1166">
        <v>0</v>
      </c>
      <c r="I30" s="1359">
        <f>SUM(E30:H30)</f>
        <v>119000</v>
      </c>
      <c r="J30" s="1335">
        <v>119000</v>
      </c>
      <c r="K30" s="1324">
        <f t="shared" si="0"/>
        <v>0</v>
      </c>
      <c r="L30" s="1330"/>
      <c r="M30" s="1147"/>
      <c r="N30" s="1147"/>
      <c r="O30" s="1147"/>
      <c r="P30" s="1156"/>
      <c r="Q30" s="1156"/>
      <c r="R30" s="1330"/>
      <c r="S30" s="1147"/>
      <c r="T30" s="1147"/>
      <c r="U30" s="1147"/>
      <c r="V30" s="1156"/>
      <c r="W30" s="1156"/>
      <c r="Y30" s="1344"/>
    </row>
    <row r="31" spans="1:32" ht="16.5" customHeight="1" thickBot="1" x14ac:dyDescent="0.3">
      <c r="A31" s="1150"/>
      <c r="B31" s="1360" t="s">
        <v>280</v>
      </c>
      <c r="C31" s="1166">
        <v>0</v>
      </c>
      <c r="D31" s="1166">
        <v>0</v>
      </c>
      <c r="E31" s="1353">
        <v>89000</v>
      </c>
      <c r="F31" s="1166">
        <v>0</v>
      </c>
      <c r="G31" s="1166">
        <v>0</v>
      </c>
      <c r="H31" s="1166">
        <v>0</v>
      </c>
      <c r="I31" s="1354">
        <f>SUM(C31:H31)</f>
        <v>89000</v>
      </c>
      <c r="J31" s="1335">
        <v>89000</v>
      </c>
      <c r="K31" s="1324">
        <f t="shared" si="0"/>
        <v>0</v>
      </c>
      <c r="L31" s="1330"/>
      <c r="M31" s="1147"/>
      <c r="N31" s="1147"/>
      <c r="O31" s="1147"/>
      <c r="P31" s="1156"/>
      <c r="Q31" s="1156"/>
      <c r="R31" s="1330"/>
      <c r="S31" s="1147"/>
      <c r="T31" s="1147"/>
      <c r="U31" s="1147"/>
      <c r="V31" s="1156"/>
      <c r="W31" s="1156"/>
      <c r="Y31" s="1344"/>
    </row>
    <row r="32" spans="1:32" s="1326" customFormat="1" ht="16.5" customHeight="1" thickBot="1" x14ac:dyDescent="0.3">
      <c r="A32" s="1150"/>
      <c r="B32" s="1361" t="s">
        <v>397</v>
      </c>
      <c r="C32" s="1362">
        <f>SUM(C29:C31)</f>
        <v>0</v>
      </c>
      <c r="D32" s="1362">
        <f t="shared" ref="D32:I32" si="6">SUM(D29:D31)</f>
        <v>0</v>
      </c>
      <c r="E32" s="1362">
        <f t="shared" si="6"/>
        <v>297000</v>
      </c>
      <c r="F32" s="1362">
        <f t="shared" si="6"/>
        <v>0</v>
      </c>
      <c r="G32" s="1362">
        <f t="shared" si="6"/>
        <v>0</v>
      </c>
      <c r="H32" s="1362">
        <f t="shared" si="6"/>
        <v>0</v>
      </c>
      <c r="I32" s="1362">
        <f t="shared" si="6"/>
        <v>297000</v>
      </c>
      <c r="J32" s="1335">
        <f>SUM(J29:J31)</f>
        <v>297000</v>
      </c>
      <c r="K32" s="1324">
        <f t="shared" si="0"/>
        <v>0</v>
      </c>
      <c r="L32" s="1330"/>
      <c r="M32" s="1162"/>
      <c r="N32" s="1162"/>
      <c r="O32" s="1162"/>
      <c r="P32" s="1163"/>
      <c r="Q32" s="1163"/>
      <c r="R32" s="1330"/>
      <c r="S32" s="1162"/>
      <c r="T32" s="1162"/>
      <c r="U32" s="1162"/>
      <c r="V32" s="1163"/>
      <c r="W32" s="1163"/>
      <c r="Y32" s="1338"/>
    </row>
    <row r="33" spans="1:32" s="1326" customFormat="1" ht="16.5" customHeight="1" thickBot="1" x14ac:dyDescent="0.3">
      <c r="A33" s="1150"/>
      <c r="B33" s="2910" t="s">
        <v>398</v>
      </c>
      <c r="C33" s="2911"/>
      <c r="D33" s="2911"/>
      <c r="E33" s="2911"/>
      <c r="F33" s="2911"/>
      <c r="G33" s="2911"/>
      <c r="H33" s="2911"/>
      <c r="I33" s="2912"/>
      <c r="J33" s="1348"/>
      <c r="K33" s="1324">
        <f t="shared" si="0"/>
        <v>0</v>
      </c>
      <c r="L33" s="1330"/>
      <c r="M33" s="1162"/>
      <c r="N33" s="1162"/>
      <c r="O33" s="1162"/>
      <c r="P33" s="1163"/>
      <c r="Q33" s="1163"/>
      <c r="R33" s="1330"/>
      <c r="S33" s="1162"/>
      <c r="T33" s="1162"/>
      <c r="U33" s="1162"/>
      <c r="V33" s="1163"/>
      <c r="W33" s="1163"/>
      <c r="Y33" s="1338"/>
    </row>
    <row r="34" spans="1:32" ht="16.5" customHeight="1" x14ac:dyDescent="0.25">
      <c r="A34" s="1150"/>
      <c r="B34" s="1295" t="s">
        <v>399</v>
      </c>
      <c r="C34" s="1349">
        <v>0</v>
      </c>
      <c r="D34" s="1349">
        <v>0</v>
      </c>
      <c r="E34" s="1349">
        <v>59000</v>
      </c>
      <c r="F34" s="1349">
        <v>0</v>
      </c>
      <c r="G34" s="1349">
        <v>0</v>
      </c>
      <c r="H34" s="1349">
        <v>0</v>
      </c>
      <c r="I34" s="1350">
        <f>SUM(C34:H34)</f>
        <v>59000</v>
      </c>
      <c r="J34" s="1335">
        <v>59000</v>
      </c>
      <c r="K34" s="1324">
        <f t="shared" si="0"/>
        <v>0</v>
      </c>
      <c r="L34" s="1351">
        <v>0</v>
      </c>
      <c r="M34" s="1147">
        <v>0</v>
      </c>
      <c r="N34" s="1147">
        <v>1</v>
      </c>
      <c r="O34" s="1147">
        <v>0</v>
      </c>
      <c r="P34" s="1156">
        <v>0</v>
      </c>
      <c r="Q34" s="1156">
        <v>0</v>
      </c>
      <c r="R34" s="1172">
        <f>15.9546058756865%+0.3936%</f>
        <v>0.163482058756865</v>
      </c>
      <c r="S34" s="1172">
        <v>0</v>
      </c>
      <c r="T34" s="1172">
        <v>0.82667600778013295</v>
      </c>
      <c r="U34" s="1172">
        <v>0</v>
      </c>
      <c r="V34" s="1172">
        <v>0</v>
      </c>
      <c r="W34" s="1172">
        <v>9.8413810450015821E-3</v>
      </c>
      <c r="X34" s="1172">
        <v>0</v>
      </c>
      <c r="Y34" s="1172">
        <f>SUM(R34:X34)</f>
        <v>0.99999944758199955</v>
      </c>
      <c r="Z34" s="1172"/>
    </row>
    <row r="35" spans="1:32" ht="16.5" customHeight="1" thickBot="1" x14ac:dyDescent="0.3">
      <c r="A35" s="1150"/>
      <c r="B35" s="1363" t="s">
        <v>400</v>
      </c>
      <c r="C35" s="1364">
        <f>SUM(C34)</f>
        <v>0</v>
      </c>
      <c r="D35" s="1364">
        <f t="shared" ref="D35:I35" si="7">SUM(D34)</f>
        <v>0</v>
      </c>
      <c r="E35" s="1364">
        <f t="shared" si="7"/>
        <v>59000</v>
      </c>
      <c r="F35" s="1364">
        <f t="shared" si="7"/>
        <v>0</v>
      </c>
      <c r="G35" s="1364">
        <f t="shared" si="7"/>
        <v>0</v>
      </c>
      <c r="H35" s="1364">
        <f t="shared" si="7"/>
        <v>0</v>
      </c>
      <c r="I35" s="1364">
        <f t="shared" si="7"/>
        <v>59000</v>
      </c>
      <c r="J35" s="1335">
        <f>SUM(J34)</f>
        <v>59000</v>
      </c>
      <c r="K35" s="1324">
        <f t="shared" si="0"/>
        <v>0</v>
      </c>
      <c r="L35" s="1351"/>
      <c r="M35" s="1147"/>
      <c r="N35" s="1147"/>
      <c r="O35" s="1147"/>
      <c r="P35" s="1156"/>
      <c r="Q35" s="1156"/>
      <c r="R35" s="1330"/>
      <c r="S35" s="1147"/>
      <c r="T35" s="1147"/>
      <c r="U35" s="1147"/>
      <c r="V35" s="1156"/>
      <c r="W35" s="1156"/>
      <c r="Y35" s="1344"/>
    </row>
    <row r="36" spans="1:32" ht="16.5" customHeight="1" thickBot="1" x14ac:dyDescent="0.3">
      <c r="A36" s="1150"/>
      <c r="B36" s="2923" t="s">
        <v>401</v>
      </c>
      <c r="C36" s="2924"/>
      <c r="D36" s="2924"/>
      <c r="E36" s="2924"/>
      <c r="F36" s="2924"/>
      <c r="G36" s="2924"/>
      <c r="H36" s="2924"/>
      <c r="I36" s="2925"/>
      <c r="J36" s="1348"/>
      <c r="K36" s="1324">
        <f t="shared" si="0"/>
        <v>0</v>
      </c>
      <c r="L36" s="1336"/>
      <c r="M36" s="1147"/>
      <c r="N36" s="1147"/>
      <c r="O36" s="1147"/>
      <c r="P36" s="1156"/>
      <c r="Q36" s="1156"/>
      <c r="R36" s="1336"/>
      <c r="S36" s="1147"/>
      <c r="T36" s="1147"/>
      <c r="U36" s="1147"/>
      <c r="V36" s="1156"/>
      <c r="W36" s="1156"/>
      <c r="Y36" s="1344"/>
    </row>
    <row r="37" spans="1:32" ht="16.5" customHeight="1" x14ac:dyDescent="0.25">
      <c r="A37" s="1150"/>
      <c r="B37" s="1291" t="s">
        <v>402</v>
      </c>
      <c r="C37" s="633">
        <v>62120.494161179653</v>
      </c>
      <c r="D37" s="633">
        <v>0</v>
      </c>
      <c r="E37" s="633">
        <v>0</v>
      </c>
      <c r="F37" s="633">
        <v>0</v>
      </c>
      <c r="G37" s="633">
        <v>0</v>
      </c>
      <c r="H37" s="633">
        <v>2879.5</v>
      </c>
      <c r="I37" s="634">
        <f>SUM(C37:H37)</f>
        <v>64999.994161179653</v>
      </c>
      <c r="J37" s="1329">
        <v>65000</v>
      </c>
      <c r="K37" s="1324">
        <f t="shared" si="0"/>
        <v>5.8388203469803557E-3</v>
      </c>
      <c r="L37" s="1147">
        <v>0.95565375632584082</v>
      </c>
      <c r="M37" s="1147">
        <v>0</v>
      </c>
      <c r="N37" s="1147">
        <v>0</v>
      </c>
      <c r="O37" s="1147">
        <v>0</v>
      </c>
      <c r="P37" s="1156">
        <v>0</v>
      </c>
      <c r="Q37" s="1156">
        <v>4.4299999999999999E-2</v>
      </c>
      <c r="R37" s="1147">
        <v>0.95565375632584082</v>
      </c>
      <c r="S37" s="1147">
        <v>0</v>
      </c>
      <c r="T37" s="1147">
        <v>0</v>
      </c>
      <c r="U37" s="1147">
        <v>0</v>
      </c>
      <c r="V37" s="1156">
        <v>0</v>
      </c>
      <c r="W37" s="1156">
        <v>4.4299999999999999E-2</v>
      </c>
      <c r="X37" s="1156"/>
      <c r="Y37" s="1344"/>
    </row>
    <row r="38" spans="1:32" ht="16.5" customHeight="1" x14ac:dyDescent="0.25">
      <c r="A38" s="1150"/>
      <c r="B38" s="1294" t="s">
        <v>403</v>
      </c>
      <c r="C38" s="638">
        <v>0</v>
      </c>
      <c r="D38" s="638">
        <v>0</v>
      </c>
      <c r="E38" s="638">
        <v>100000</v>
      </c>
      <c r="F38" s="638">
        <v>0</v>
      </c>
      <c r="G38" s="638">
        <v>0</v>
      </c>
      <c r="H38" s="638">
        <v>0</v>
      </c>
      <c r="I38" s="640">
        <f t="shared" ref="I38:I43" si="8">SUM(C38:H38)</f>
        <v>100000</v>
      </c>
      <c r="J38" s="1329">
        <v>100000</v>
      </c>
      <c r="K38" s="1324">
        <f t="shared" si="0"/>
        <v>0</v>
      </c>
      <c r="L38" s="1147">
        <v>0</v>
      </c>
      <c r="M38" s="1147">
        <v>0</v>
      </c>
      <c r="N38" s="1147">
        <v>1</v>
      </c>
      <c r="O38" s="1147">
        <v>0</v>
      </c>
      <c r="P38" s="1156">
        <v>0</v>
      </c>
      <c r="Q38" s="1156">
        <v>0</v>
      </c>
      <c r="R38" s="1147">
        <v>0.09</v>
      </c>
      <c r="S38" s="1147">
        <v>0</v>
      </c>
      <c r="T38" s="1147">
        <v>0</v>
      </c>
      <c r="U38" s="1147">
        <v>0</v>
      </c>
      <c r="V38" s="1156">
        <v>0.91</v>
      </c>
      <c r="W38" s="1156">
        <v>0</v>
      </c>
      <c r="X38" s="1156">
        <v>0</v>
      </c>
      <c r="Y38" s="1344"/>
    </row>
    <row r="39" spans="1:32" ht="16.5" customHeight="1" x14ac:dyDescent="0.25">
      <c r="A39" s="1150"/>
      <c r="B39" s="1294" t="s">
        <v>404</v>
      </c>
      <c r="C39" s="638">
        <v>4800</v>
      </c>
      <c r="D39" s="638">
        <v>0</v>
      </c>
      <c r="E39" s="638">
        <v>55200</v>
      </c>
      <c r="F39" s="638">
        <v>0</v>
      </c>
      <c r="G39" s="638">
        <v>0</v>
      </c>
      <c r="H39" s="638">
        <v>0</v>
      </c>
      <c r="I39" s="640">
        <f t="shared" si="8"/>
        <v>60000</v>
      </c>
      <c r="J39" s="1329">
        <v>60000</v>
      </c>
      <c r="K39" s="1324">
        <f t="shared" si="0"/>
        <v>0</v>
      </c>
      <c r="L39" s="1147">
        <v>0.08</v>
      </c>
      <c r="M39" s="1147">
        <v>0</v>
      </c>
      <c r="N39" s="1147">
        <v>0.92</v>
      </c>
      <c r="O39" s="1147">
        <v>0</v>
      </c>
      <c r="P39" s="1156">
        <v>0</v>
      </c>
      <c r="Q39" s="1156">
        <v>0</v>
      </c>
      <c r="R39" s="1147">
        <v>0.08</v>
      </c>
      <c r="S39" s="1147">
        <v>0</v>
      </c>
      <c r="T39" s="1147">
        <v>0.92</v>
      </c>
      <c r="U39" s="1147">
        <v>0</v>
      </c>
      <c r="V39" s="1147">
        <v>0</v>
      </c>
      <c r="W39" s="1147">
        <v>0</v>
      </c>
      <c r="X39" s="1156">
        <v>0</v>
      </c>
      <c r="Y39" s="1312">
        <v>4.5714285714285714E-2</v>
      </c>
    </row>
    <row r="40" spans="1:32" ht="16.5" customHeight="1" x14ac:dyDescent="0.25">
      <c r="A40" s="1150"/>
      <c r="B40" s="1294" t="s">
        <v>281</v>
      </c>
      <c r="C40" s="638">
        <v>80000</v>
      </c>
      <c r="D40" s="638">
        <v>0</v>
      </c>
      <c r="E40" s="638">
        <v>0</v>
      </c>
      <c r="F40" s="638">
        <v>0</v>
      </c>
      <c r="G40" s="638">
        <v>0</v>
      </c>
      <c r="H40" s="638">
        <v>0</v>
      </c>
      <c r="I40" s="640">
        <f t="shared" si="8"/>
        <v>80000</v>
      </c>
      <c r="J40" s="1329">
        <v>80000</v>
      </c>
      <c r="K40" s="1324">
        <f t="shared" si="0"/>
        <v>0</v>
      </c>
      <c r="L40" s="1147">
        <v>1</v>
      </c>
      <c r="M40" s="1147">
        <v>0</v>
      </c>
      <c r="N40" s="1147">
        <v>0</v>
      </c>
      <c r="O40" s="1147">
        <v>0</v>
      </c>
      <c r="P40" s="1156">
        <v>0</v>
      </c>
      <c r="Q40" s="1156">
        <v>0</v>
      </c>
      <c r="R40" s="1147">
        <v>6.4000000000000001E-2</v>
      </c>
      <c r="S40" s="1147">
        <v>0</v>
      </c>
      <c r="T40" s="1147">
        <v>0.93600508565280005</v>
      </c>
      <c r="U40" s="1147">
        <v>0</v>
      </c>
      <c r="V40" s="1156">
        <v>0</v>
      </c>
      <c r="W40" s="1156">
        <v>0</v>
      </c>
      <c r="X40" s="1156"/>
      <c r="Y40" s="1326"/>
      <c r="Z40" s="1314"/>
    </row>
    <row r="41" spans="1:32" s="1314" customFormat="1" ht="16.5" customHeight="1" x14ac:dyDescent="0.25">
      <c r="A41" s="1145"/>
      <c r="B41" s="1294" t="s">
        <v>405</v>
      </c>
      <c r="C41" s="638">
        <v>26750</v>
      </c>
      <c r="D41" s="638">
        <v>0</v>
      </c>
      <c r="E41" s="638">
        <v>508250</v>
      </c>
      <c r="F41" s="638">
        <v>0</v>
      </c>
      <c r="G41" s="638">
        <v>0</v>
      </c>
      <c r="H41" s="638">
        <v>0</v>
      </c>
      <c r="I41" s="640">
        <f t="shared" si="8"/>
        <v>535000</v>
      </c>
      <c r="J41" s="1329">
        <v>535000</v>
      </c>
      <c r="K41" s="1324">
        <f t="shared" si="0"/>
        <v>0</v>
      </c>
      <c r="L41" s="1162">
        <v>0.05</v>
      </c>
      <c r="M41" s="1162">
        <v>0</v>
      </c>
      <c r="N41" s="1162">
        <v>0.95</v>
      </c>
      <c r="O41" s="1162">
        <v>0</v>
      </c>
      <c r="P41" s="1163">
        <v>0</v>
      </c>
      <c r="Q41" s="1163">
        <v>0</v>
      </c>
      <c r="R41" s="1162">
        <v>0.31428</v>
      </c>
      <c r="S41" s="1162">
        <v>0</v>
      </c>
      <c r="T41" s="1162">
        <v>0.68569999999999998</v>
      </c>
      <c r="U41" s="1162">
        <v>0</v>
      </c>
      <c r="V41" s="1163">
        <v>0</v>
      </c>
      <c r="W41" s="1163">
        <v>0</v>
      </c>
      <c r="X41" s="1163"/>
      <c r="Y41" s="1312"/>
      <c r="Z41" s="1312"/>
      <c r="AA41" s="1312"/>
      <c r="AB41" s="1312"/>
      <c r="AC41" s="1312"/>
      <c r="AD41" s="1312"/>
      <c r="AE41" s="1312"/>
      <c r="AF41" s="1312"/>
    </row>
    <row r="42" spans="1:32" ht="16.5" customHeight="1" x14ac:dyDescent="0.25">
      <c r="A42" s="1145"/>
      <c r="B42" s="1294" t="s">
        <v>406</v>
      </c>
      <c r="C42" s="638">
        <v>0</v>
      </c>
      <c r="D42" s="638">
        <v>0</v>
      </c>
      <c r="E42" s="638">
        <v>24750</v>
      </c>
      <c r="F42" s="638">
        <v>0</v>
      </c>
      <c r="G42" s="638">
        <v>0</v>
      </c>
      <c r="H42" s="638">
        <v>0</v>
      </c>
      <c r="I42" s="640">
        <f t="shared" si="8"/>
        <v>24750</v>
      </c>
      <c r="J42" s="1329">
        <v>24750</v>
      </c>
      <c r="K42" s="1324">
        <f t="shared" si="0"/>
        <v>0</v>
      </c>
      <c r="N42" s="1336"/>
      <c r="Q42" s="1312">
        <v>-7.9999999999999996E-6</v>
      </c>
      <c r="T42" s="1336"/>
      <c r="W42" s="1312">
        <v>-7.9999999999999996E-6</v>
      </c>
    </row>
    <row r="43" spans="1:32" ht="16.5" customHeight="1" thickBot="1" x14ac:dyDescent="0.3">
      <c r="A43" s="1145"/>
      <c r="B43" s="1327" t="s">
        <v>407</v>
      </c>
      <c r="C43" s="641">
        <v>0</v>
      </c>
      <c r="D43" s="641">
        <v>0</v>
      </c>
      <c r="E43" s="641">
        <v>0</v>
      </c>
      <c r="F43" s="641">
        <v>0</v>
      </c>
      <c r="G43" s="641">
        <v>0</v>
      </c>
      <c r="H43" s="641">
        <f>'YGS Table A '!D51</f>
        <v>676175</v>
      </c>
      <c r="I43" s="643">
        <f t="shared" si="8"/>
        <v>676175</v>
      </c>
      <c r="J43" s="1329">
        <v>676175</v>
      </c>
      <c r="K43" s="1324">
        <f t="shared" si="0"/>
        <v>0</v>
      </c>
      <c r="N43" s="1336"/>
      <c r="T43" s="1336"/>
    </row>
    <row r="44" spans="1:32" ht="16.5" customHeight="1" thickBot="1" x14ac:dyDescent="0.3">
      <c r="A44" s="1145"/>
      <c r="B44" s="1365" t="s">
        <v>43</v>
      </c>
      <c r="C44" s="1177">
        <f>SUM(C37:C43)</f>
        <v>173670.49416117964</v>
      </c>
      <c r="D44" s="1177">
        <f t="shared" ref="D44:I44" si="9">SUM(D37:D43)</f>
        <v>0</v>
      </c>
      <c r="E44" s="1177">
        <f t="shared" si="9"/>
        <v>688200</v>
      </c>
      <c r="F44" s="1177">
        <f t="shared" si="9"/>
        <v>0</v>
      </c>
      <c r="G44" s="1177">
        <f t="shared" si="9"/>
        <v>0</v>
      </c>
      <c r="H44" s="1177">
        <f t="shared" si="9"/>
        <v>679054.5</v>
      </c>
      <c r="I44" s="1177">
        <f t="shared" si="9"/>
        <v>1540924.9941611798</v>
      </c>
      <c r="J44" s="1329">
        <f>SUM(J37:J43)</f>
        <v>1540925</v>
      </c>
      <c r="K44" s="1324">
        <f t="shared" si="0"/>
        <v>5.8388202451169491E-3</v>
      </c>
      <c r="N44" s="1336"/>
      <c r="T44" s="1336"/>
    </row>
    <row r="45" spans="1:32" s="1314" customFormat="1" ht="16.5" customHeight="1" x14ac:dyDescent="0.25">
      <c r="A45" s="1145"/>
      <c r="B45" s="1289"/>
      <c r="C45" s="652"/>
      <c r="D45" s="652"/>
      <c r="E45" s="652"/>
      <c r="F45" s="652"/>
      <c r="G45" s="652"/>
      <c r="H45" s="652"/>
      <c r="I45" s="653"/>
      <c r="J45" s="1335"/>
      <c r="K45" s="1324">
        <f t="shared" si="0"/>
        <v>0</v>
      </c>
      <c r="N45" s="1336"/>
      <c r="O45" s="1312"/>
      <c r="P45" s="1312"/>
      <c r="Q45" s="1312"/>
      <c r="T45" s="1336"/>
      <c r="U45" s="1312"/>
      <c r="V45" s="1312"/>
      <c r="W45" s="1312"/>
      <c r="X45" s="1312"/>
      <c r="Y45" s="1312"/>
      <c r="Z45" s="1312"/>
      <c r="AA45" s="1312"/>
      <c r="AB45" s="1312"/>
      <c r="AC45" s="1312"/>
      <c r="AD45" s="1312"/>
      <c r="AE45" s="1312"/>
      <c r="AF45" s="1312"/>
    </row>
    <row r="46" spans="1:32" ht="16.5" customHeight="1" thickBot="1" x14ac:dyDescent="0.3">
      <c r="A46" s="1145"/>
      <c r="B46" s="2897" t="s">
        <v>28</v>
      </c>
      <c r="C46" s="2898"/>
      <c r="D46" s="2898"/>
      <c r="E46" s="2898"/>
      <c r="F46" s="2898"/>
      <c r="G46" s="2898"/>
      <c r="H46" s="2898"/>
      <c r="I46" s="2899"/>
      <c r="J46" s="1315"/>
      <c r="K46" s="1324">
        <f t="shared" si="0"/>
        <v>0</v>
      </c>
      <c r="N46" s="1336"/>
      <c r="T46" s="1336"/>
    </row>
    <row r="47" spans="1:32" ht="16.5" customHeight="1" x14ac:dyDescent="0.25">
      <c r="A47" s="1145"/>
      <c r="B47" s="1366" t="s">
        <v>7</v>
      </c>
      <c r="C47" s="1367">
        <f t="shared" ref="C47:H47" si="10">C11+C27*0.8+C29+C30+C38*0.8</f>
        <v>642296.80834914604</v>
      </c>
      <c r="D47" s="1367">
        <f t="shared" si="10"/>
        <v>4548.0266725382262</v>
      </c>
      <c r="E47" s="1367">
        <f t="shared" si="10"/>
        <v>693330.13282732444</v>
      </c>
      <c r="F47" s="1367">
        <f t="shared" si="10"/>
        <v>6415872.1442444576</v>
      </c>
      <c r="G47" s="1367">
        <f t="shared" si="10"/>
        <v>130838.71023029159</v>
      </c>
      <c r="H47" s="1367">
        <f t="shared" si="10"/>
        <v>21614.828208576582</v>
      </c>
      <c r="I47" s="1368">
        <f>SUM(C47:H47)</f>
        <v>7908500.650532335</v>
      </c>
      <c r="K47" s="1324">
        <f t="shared" si="0"/>
        <v>-7908500.650532335</v>
      </c>
      <c r="N47" s="1336"/>
      <c r="T47" s="1336"/>
    </row>
    <row r="48" spans="1:32" ht="16.5" customHeight="1" x14ac:dyDescent="0.25">
      <c r="B48" s="1369" t="s">
        <v>8</v>
      </c>
      <c r="C48" s="1370">
        <f t="shared" ref="C48:H48" si="11">C22+C27*0.2+C31+C38*0.2</f>
        <v>451826.68853301037</v>
      </c>
      <c r="D48" s="1370">
        <f t="shared" si="11"/>
        <v>8619.8973554428158</v>
      </c>
      <c r="E48" s="1370">
        <f t="shared" si="11"/>
        <v>446323.01200372615</v>
      </c>
      <c r="F48" s="1370">
        <f t="shared" si="11"/>
        <v>3747815.3075004937</v>
      </c>
      <c r="G48" s="1370">
        <f t="shared" si="11"/>
        <v>132272.62008828321</v>
      </c>
      <c r="H48" s="1370">
        <f t="shared" si="11"/>
        <v>29142.615709696984</v>
      </c>
      <c r="I48" s="1371">
        <f>SUM(C48:H48)</f>
        <v>4816000.1411906527</v>
      </c>
      <c r="K48" s="1324">
        <f t="shared" si="0"/>
        <v>-4816000.1411906527</v>
      </c>
      <c r="L48" s="1372">
        <v>0.36290322580645162</v>
      </c>
      <c r="N48" s="1154">
        <v>0.63709677419354838</v>
      </c>
      <c r="O48" s="1314"/>
      <c r="P48" s="1314"/>
      <c r="Q48" s="1314"/>
      <c r="R48" s="1372">
        <v>0.36290322580645162</v>
      </c>
      <c r="T48" s="1154">
        <v>0.63709677419354838</v>
      </c>
      <c r="U48" s="1314"/>
      <c r="V48" s="1314"/>
      <c r="W48" s="1314"/>
      <c r="X48" s="1314"/>
      <c r="Y48" s="1314"/>
    </row>
    <row r="49" spans="1:32" ht="16.5" customHeight="1" thickBot="1" x14ac:dyDescent="0.3">
      <c r="A49" s="1373"/>
      <c r="B49" s="1374" t="s">
        <v>12</v>
      </c>
      <c r="C49" s="1375">
        <f t="shared" ref="C49:H49" si="12">C35+C37+SUM(C39:C43)</f>
        <v>173670.49416117964</v>
      </c>
      <c r="D49" s="1375">
        <f t="shared" si="12"/>
        <v>0</v>
      </c>
      <c r="E49" s="1375">
        <f t="shared" si="12"/>
        <v>647200</v>
      </c>
      <c r="F49" s="1375">
        <f t="shared" si="12"/>
        <v>0</v>
      </c>
      <c r="G49" s="1375">
        <f t="shared" si="12"/>
        <v>0</v>
      </c>
      <c r="H49" s="1375">
        <f t="shared" si="12"/>
        <v>679054.5</v>
      </c>
      <c r="I49" s="1376">
        <f>SUM(C49:H49)</f>
        <v>1499924.9941611798</v>
      </c>
      <c r="K49" s="1324">
        <f t="shared" si="0"/>
        <v>-1499924.9941611798</v>
      </c>
      <c r="L49" s="1336"/>
      <c r="N49" s="1336"/>
      <c r="R49" s="1336"/>
      <c r="T49" s="1336"/>
    </row>
    <row r="50" spans="1:32" ht="16.5" customHeight="1" thickBot="1" x14ac:dyDescent="0.3">
      <c r="A50" s="1145"/>
      <c r="B50" s="1328" t="s">
        <v>58</v>
      </c>
      <c r="C50" s="650">
        <f t="shared" ref="C50:I50" si="13">SUM(C47:C49)</f>
        <v>1267793.9910433362</v>
      </c>
      <c r="D50" s="650">
        <f t="shared" si="13"/>
        <v>13167.924027981042</v>
      </c>
      <c r="E50" s="650">
        <f t="shared" si="13"/>
        <v>1786853.1448310507</v>
      </c>
      <c r="F50" s="650">
        <f t="shared" si="13"/>
        <v>10163687.451744951</v>
      </c>
      <c r="G50" s="650">
        <f t="shared" si="13"/>
        <v>263111.33031857479</v>
      </c>
      <c r="H50" s="650">
        <f t="shared" si="13"/>
        <v>729811.94391827355</v>
      </c>
      <c r="I50" s="650">
        <f t="shared" si="13"/>
        <v>14224425.785884166</v>
      </c>
      <c r="J50" s="1329">
        <f>+J11+J22+J27+J32+J35+J44</f>
        <v>13424425</v>
      </c>
      <c r="K50" s="1324">
        <f t="shared" si="0"/>
        <v>-800000.78588416614</v>
      </c>
      <c r="N50" s="1336"/>
      <c r="T50" s="1336"/>
      <c r="AF50" s="1377"/>
    </row>
    <row r="51" spans="1:32" x14ac:dyDescent="0.25">
      <c r="A51" s="1378"/>
      <c r="B51" s="1379"/>
      <c r="I51" s="1381"/>
      <c r="J51" s="1329">
        <f>J50-I50</f>
        <v>-800000.78588416614</v>
      </c>
      <c r="N51" s="1336"/>
      <c r="O51" s="1314"/>
      <c r="P51" s="1314"/>
      <c r="Q51" s="1314"/>
      <c r="T51" s="1336"/>
      <c r="U51" s="1314"/>
      <c r="V51" s="1314"/>
      <c r="W51" s="1314"/>
      <c r="X51" s="1314"/>
      <c r="Y51" s="1314"/>
      <c r="AF51" s="1377"/>
    </row>
    <row r="52" spans="1:32" x14ac:dyDescent="0.25">
      <c r="A52" s="1378"/>
      <c r="B52" s="1382"/>
      <c r="C52" s="1383"/>
      <c r="D52" s="1384"/>
      <c r="E52" s="1383"/>
      <c r="F52" s="1384"/>
      <c r="G52" s="1384"/>
      <c r="H52" s="1384"/>
      <c r="I52" s="1381"/>
      <c r="K52" s="1330"/>
      <c r="L52" s="1315"/>
      <c r="N52" s="1336"/>
      <c r="R52" s="1315"/>
      <c r="T52" s="1336"/>
      <c r="AF52" s="1377"/>
    </row>
    <row r="53" spans="1:32" x14ac:dyDescent="0.25">
      <c r="A53" s="1378"/>
      <c r="B53" s="1093"/>
      <c r="C53" s="1385"/>
      <c r="N53" s="1336"/>
      <c r="T53" s="1336"/>
      <c r="AF53" s="1377"/>
    </row>
    <row r="54" spans="1:32" x14ac:dyDescent="0.25">
      <c r="A54" s="1378"/>
      <c r="B54" s="1093"/>
      <c r="L54" s="1329"/>
      <c r="N54" s="1336"/>
      <c r="R54" s="1329"/>
      <c r="T54" s="1336"/>
    </row>
    <row r="55" spans="1:32" x14ac:dyDescent="0.25">
      <c r="A55" s="1378"/>
      <c r="B55" s="1386"/>
      <c r="D55" s="1377"/>
      <c r="N55" s="1336"/>
      <c r="T55" s="1336"/>
    </row>
    <row r="56" spans="1:32" x14ac:dyDescent="0.25">
      <c r="B56" s="1386"/>
      <c r="N56" s="1336"/>
      <c r="T56" s="1336"/>
    </row>
    <row r="57" spans="1:32" x14ac:dyDescent="0.25">
      <c r="B57" s="1386"/>
    </row>
    <row r="58" spans="1:32" x14ac:dyDescent="0.25">
      <c r="B58" s="1386"/>
    </row>
    <row r="59" spans="1:32" x14ac:dyDescent="0.25">
      <c r="B59" s="1386"/>
    </row>
    <row r="60" spans="1:32" s="1377" customFormat="1" x14ac:dyDescent="0.25">
      <c r="A60" s="1312"/>
      <c r="B60" s="1386"/>
      <c r="D60" s="1380"/>
      <c r="F60" s="1312"/>
      <c r="G60" s="1312"/>
      <c r="H60" s="1312"/>
      <c r="I60" s="1312"/>
      <c r="J60" s="1314"/>
      <c r="K60" s="1315"/>
      <c r="L60" s="1314"/>
      <c r="M60" s="1314"/>
      <c r="N60" s="1314"/>
      <c r="O60" s="1312"/>
      <c r="P60" s="1312"/>
      <c r="Q60" s="1312"/>
      <c r="R60" s="1314"/>
      <c r="S60" s="1314"/>
      <c r="T60" s="1314"/>
      <c r="U60" s="1312"/>
      <c r="V60" s="1312"/>
      <c r="W60" s="1312"/>
      <c r="X60" s="1312"/>
      <c r="Y60" s="1312"/>
      <c r="Z60" s="1312"/>
      <c r="AA60" s="1312"/>
      <c r="AB60" s="1312"/>
      <c r="AC60" s="1312"/>
      <c r="AD60" s="1312"/>
      <c r="AE60" s="1312"/>
      <c r="AF60" s="1312"/>
    </row>
    <row r="61" spans="1:32" s="1377" customFormat="1" x14ac:dyDescent="0.25">
      <c r="A61" s="1312"/>
      <c r="B61" s="1386"/>
      <c r="D61" s="1380"/>
      <c r="F61" s="1312"/>
      <c r="G61" s="1312"/>
      <c r="H61" s="1312"/>
      <c r="I61" s="1312"/>
      <c r="J61" s="1314"/>
      <c r="K61" s="1315"/>
      <c r="L61" s="1314"/>
      <c r="M61" s="1314"/>
      <c r="N61" s="1314"/>
      <c r="O61" s="1312"/>
      <c r="P61" s="1312"/>
      <c r="Q61" s="1312"/>
      <c r="R61" s="1314"/>
      <c r="S61" s="1314"/>
      <c r="T61" s="1314"/>
      <c r="U61" s="1312"/>
      <c r="V61" s="1312"/>
      <c r="W61" s="1312"/>
      <c r="X61" s="1312"/>
      <c r="Y61" s="1312"/>
      <c r="Z61" s="1312"/>
      <c r="AA61" s="1312"/>
      <c r="AB61" s="1312"/>
      <c r="AC61" s="1312"/>
      <c r="AD61" s="1312"/>
      <c r="AE61" s="1312"/>
      <c r="AF61" s="1312"/>
    </row>
    <row r="62" spans="1:32" s="1377" customFormat="1" x14ac:dyDescent="0.25">
      <c r="A62" s="1312"/>
      <c r="B62" s="1386"/>
      <c r="D62" s="1380"/>
      <c r="F62" s="1312"/>
      <c r="G62" s="1312"/>
      <c r="H62" s="1312"/>
      <c r="I62" s="1312"/>
      <c r="J62" s="1314"/>
      <c r="K62" s="1315"/>
      <c r="L62" s="1314"/>
      <c r="M62" s="1314"/>
      <c r="N62" s="1314"/>
      <c r="O62" s="1312"/>
      <c r="P62" s="1312"/>
      <c r="Q62" s="1312"/>
      <c r="R62" s="1314"/>
      <c r="S62" s="1314"/>
      <c r="T62" s="1314"/>
      <c r="U62" s="1312"/>
      <c r="V62" s="1312"/>
      <c r="W62" s="1312"/>
      <c r="X62" s="1312"/>
      <c r="Y62" s="1312"/>
      <c r="Z62" s="1312"/>
      <c r="AA62" s="1312"/>
      <c r="AB62" s="1312"/>
      <c r="AC62" s="1312"/>
      <c r="AD62" s="1312"/>
      <c r="AE62" s="1312"/>
      <c r="AF62" s="1312"/>
    </row>
    <row r="63" spans="1:32" s="1377" customFormat="1" x14ac:dyDescent="0.25">
      <c r="A63" s="1312"/>
      <c r="B63" s="1386"/>
      <c r="D63" s="1380"/>
      <c r="F63" s="1312"/>
      <c r="G63" s="1312"/>
      <c r="H63" s="1312"/>
      <c r="I63" s="1312"/>
      <c r="J63" s="1314"/>
      <c r="K63" s="1315"/>
      <c r="L63" s="1314"/>
      <c r="M63" s="1314"/>
      <c r="N63" s="1314"/>
      <c r="O63" s="1312"/>
      <c r="P63" s="1312"/>
      <c r="Q63" s="1312"/>
      <c r="R63" s="1314"/>
      <c r="S63" s="1314"/>
      <c r="T63" s="1314"/>
      <c r="U63" s="1312"/>
      <c r="V63" s="1312"/>
      <c r="W63" s="1312"/>
      <c r="X63" s="1312"/>
      <c r="Y63" s="1312"/>
      <c r="Z63" s="1312"/>
      <c r="AA63" s="1312"/>
      <c r="AB63" s="1312"/>
      <c r="AC63" s="1312"/>
      <c r="AD63" s="1312"/>
      <c r="AE63" s="1312"/>
      <c r="AF63" s="1312"/>
    </row>
  </sheetData>
  <mergeCells count="13">
    <mergeCell ref="B16:I16"/>
    <mergeCell ref="B1:I1"/>
    <mergeCell ref="B2:I2"/>
    <mergeCell ref="B3:I3"/>
    <mergeCell ref="B6:I6"/>
    <mergeCell ref="B13:I13"/>
    <mergeCell ref="B46:I46"/>
    <mergeCell ref="B17:I17"/>
    <mergeCell ref="B23:I23"/>
    <mergeCell ref="B24:I24"/>
    <mergeCell ref="B28:I28"/>
    <mergeCell ref="B33:I33"/>
    <mergeCell ref="B36:I36"/>
  </mergeCells>
  <pageMargins left="0.7" right="0.7" top="0.75" bottom="0.75" header="0.3" footer="0.3"/>
  <pageSetup scale="61" orientation="landscape" r:id="rId1"/>
  <headerFooter>
    <oddFooter>&amp;C&amp;1#&amp;"Calibri"&amp;12&amp;K008000Internal Use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9">
    <tabColor rgb="FF00FF00"/>
  </sheetPr>
  <dimension ref="A1:F43"/>
  <sheetViews>
    <sheetView topLeftCell="A25" workbookViewId="0">
      <selection activeCell="H43" sqref="H43"/>
    </sheetView>
  </sheetViews>
  <sheetFormatPr defaultRowHeight="12.75" x14ac:dyDescent="0.2"/>
  <cols>
    <col min="1" max="1" width="22.7109375" style="1039" customWidth="1"/>
    <col min="2" max="2" width="14.85546875" style="1039" customWidth="1"/>
    <col min="3" max="3" width="10.7109375" style="1039" customWidth="1"/>
    <col min="4" max="4" width="14.42578125" style="1039" customWidth="1"/>
    <col min="5" max="5" width="22.7109375" style="1039" customWidth="1"/>
    <col min="6" max="6" width="19.140625" style="1039" customWidth="1"/>
    <col min="7" max="16384" width="9.140625" style="1039"/>
  </cols>
  <sheetData>
    <row r="1" spans="1:6" ht="20.25" x14ac:dyDescent="0.3">
      <c r="A1" s="2916" t="s">
        <v>59</v>
      </c>
      <c r="B1" s="2916"/>
      <c r="C1" s="2916"/>
      <c r="D1" s="2916"/>
      <c r="E1" s="2916"/>
      <c r="F1" s="1387"/>
    </row>
    <row r="2" spans="1:6" ht="20.25" x14ac:dyDescent="0.3">
      <c r="A2" s="2916" t="s">
        <v>416</v>
      </c>
      <c r="B2" s="2916"/>
      <c r="C2" s="2916"/>
      <c r="D2" s="2916"/>
      <c r="E2" s="2916"/>
      <c r="F2" s="1387"/>
    </row>
    <row r="3" spans="1:6" ht="20.25" x14ac:dyDescent="0.3">
      <c r="A3" s="2916" t="s">
        <v>60</v>
      </c>
      <c r="B3" s="2916"/>
      <c r="C3" s="2916"/>
      <c r="D3" s="2916"/>
      <c r="E3" s="2916"/>
      <c r="F3" s="1387"/>
    </row>
    <row r="4" spans="1:6" ht="15.75" x14ac:dyDescent="0.25">
      <c r="B4" s="2916"/>
      <c r="C4" s="2916"/>
      <c r="D4" s="2916"/>
    </row>
    <row r="32" spans="1:4" x14ac:dyDescent="0.2">
      <c r="A32" s="1194" t="s">
        <v>17</v>
      </c>
      <c r="B32" s="1388" t="s">
        <v>1</v>
      </c>
      <c r="C32" s="1194"/>
      <c r="D32" s="1389" t="s">
        <v>18</v>
      </c>
    </row>
    <row r="33" spans="1:4" x14ac:dyDescent="0.2">
      <c r="B33" s="1390"/>
      <c r="D33" s="1391"/>
    </row>
    <row r="34" spans="1:4" x14ac:dyDescent="0.2">
      <c r="A34" s="1039" t="s">
        <v>53</v>
      </c>
      <c r="B34" s="1311">
        <f>'YGS Table C 2014'!C50</f>
        <v>1267793.9910433362</v>
      </c>
      <c r="D34" s="1392">
        <f t="shared" ref="D34:D39" si="0">SUM(B34/$B$41)</f>
        <v>8.9127955681799931E-2</v>
      </c>
    </row>
    <row r="35" spans="1:4" x14ac:dyDescent="0.2">
      <c r="A35" s="1039" t="s">
        <v>19</v>
      </c>
      <c r="B35" s="1311">
        <f>'YGS Table C 2014'!D50</f>
        <v>13167.924027981042</v>
      </c>
      <c r="D35" s="1392">
        <f t="shared" si="0"/>
        <v>9.25726227982323E-4</v>
      </c>
    </row>
    <row r="36" spans="1:4" x14ac:dyDescent="0.2">
      <c r="A36" s="1039" t="s">
        <v>4</v>
      </c>
      <c r="B36" s="1311">
        <f>'YGS Table C 2014'!E50</f>
        <v>1786853.1448310507</v>
      </c>
      <c r="D36" s="1392">
        <f t="shared" si="0"/>
        <v>0.12561864863496019</v>
      </c>
    </row>
    <row r="37" spans="1:4" x14ac:dyDescent="0.2">
      <c r="A37" s="1039" t="s">
        <v>2</v>
      </c>
      <c r="B37" s="1311">
        <f>'YGS Table C 2014'!F50</f>
        <v>10163687.451744951</v>
      </c>
      <c r="D37" s="1392">
        <f t="shared" si="0"/>
        <v>0.71452356704838282</v>
      </c>
    </row>
    <row r="38" spans="1:4" x14ac:dyDescent="0.2">
      <c r="A38" s="1039" t="s">
        <v>14</v>
      </c>
      <c r="B38" s="1311">
        <f>'YGS Table C 2014'!G50</f>
        <v>263111.33031857479</v>
      </c>
      <c r="D38" s="1392">
        <f t="shared" si="0"/>
        <v>1.849714950038106E-2</v>
      </c>
    </row>
    <row r="39" spans="1:4" ht="15" x14ac:dyDescent="0.35">
      <c r="A39" s="1039" t="s">
        <v>15</v>
      </c>
      <c r="B39" s="1837">
        <f>'YGS Table C 2014'!H50</f>
        <v>729811.94391827355</v>
      </c>
      <c r="D39" s="1394">
        <f t="shared" si="0"/>
        <v>5.1306952906493695E-2</v>
      </c>
    </row>
    <row r="40" spans="1:4" x14ac:dyDescent="0.2">
      <c r="D40" s="1395"/>
    </row>
    <row r="41" spans="1:4" x14ac:dyDescent="0.2">
      <c r="A41" s="1396" t="s">
        <v>0</v>
      </c>
      <c r="B41" s="1397">
        <f>SUM(B34:B39)</f>
        <v>14224425.785884168</v>
      </c>
      <c r="D41" s="1398">
        <f>SUM(D34:D39)</f>
        <v>1</v>
      </c>
    </row>
    <row r="43" spans="1:4" x14ac:dyDescent="0.2">
      <c r="A43" s="1399"/>
    </row>
  </sheetData>
  <mergeCells count="4">
    <mergeCell ref="A1:E1"/>
    <mergeCell ref="A2:E2"/>
    <mergeCell ref="A3:E3"/>
    <mergeCell ref="B4:D4"/>
  </mergeCells>
  <pageMargins left="0.7" right="0.7" top="0.75" bottom="0.75" header="0.3" footer="0.3"/>
  <pageSetup orientation="portrait" r:id="rId1"/>
  <headerFooter>
    <oddFooter>&amp;C&amp;1#&amp;"Calibri"&amp;12&amp;K008000Internal Use</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0">
    <tabColor rgb="FF00FF00"/>
    <pageSetUpPr fitToPage="1"/>
  </sheetPr>
  <dimension ref="A1:Z63"/>
  <sheetViews>
    <sheetView topLeftCell="A28" zoomScale="70" zoomScaleNormal="70" workbookViewId="0">
      <selection activeCell="H43" sqref="H43"/>
    </sheetView>
  </sheetViews>
  <sheetFormatPr defaultRowHeight="15.75" x14ac:dyDescent="0.25"/>
  <cols>
    <col min="1" max="1" width="7.140625" style="1312" customWidth="1"/>
    <col min="2" max="2" width="54.5703125" style="1312" customWidth="1"/>
    <col min="3" max="3" width="19.85546875" style="1377" customWidth="1"/>
    <col min="4" max="4" width="18" style="1380" customWidth="1"/>
    <col min="5" max="5" width="20.85546875" style="1377" bestFit="1" customWidth="1"/>
    <col min="6" max="6" width="17.42578125" style="1312" customWidth="1"/>
    <col min="7" max="7" width="16.5703125" style="1312" customWidth="1"/>
    <col min="8" max="8" width="20.42578125" style="1312" customWidth="1"/>
    <col min="9" max="9" width="21.140625" style="1312" customWidth="1"/>
    <col min="10" max="10" width="20.42578125" style="1314" hidden="1" customWidth="1"/>
    <col min="11" max="11" width="20.42578125" style="1315" hidden="1" customWidth="1"/>
    <col min="12" max="12" width="16.28515625" style="1314" hidden="1" customWidth="1"/>
    <col min="13" max="14" width="10.7109375" style="1314" hidden="1" customWidth="1"/>
    <col min="15" max="15" width="10.7109375" style="1312" hidden="1" customWidth="1"/>
    <col min="16" max="16" width="13.42578125" style="1312" hidden="1" customWidth="1"/>
    <col min="17" max="17" width="10.7109375" style="1312" hidden="1" customWidth="1"/>
    <col min="18" max="18" width="12.85546875" style="1312" hidden="1" customWidth="1"/>
    <col min="19" max="19" width="10.7109375" style="1312" hidden="1" customWidth="1"/>
    <col min="20" max="20" width="19" style="1312" customWidth="1"/>
    <col min="21" max="21" width="9.140625" style="1312" customWidth="1"/>
    <col min="22" max="16384" width="9.140625" style="1312"/>
  </cols>
  <sheetData>
    <row r="1" spans="1:26" x14ac:dyDescent="0.25">
      <c r="B1" s="2916" t="s">
        <v>82</v>
      </c>
      <c r="C1" s="2916"/>
      <c r="D1" s="2916"/>
      <c r="E1" s="2916"/>
      <c r="F1" s="2916"/>
      <c r="G1" s="2916"/>
      <c r="H1" s="2916"/>
      <c r="I1" s="2916"/>
    </row>
    <row r="2" spans="1:26" x14ac:dyDescent="0.25">
      <c r="B2" s="2916" t="s">
        <v>417</v>
      </c>
      <c r="C2" s="2916"/>
      <c r="D2" s="2916"/>
      <c r="E2" s="2916"/>
      <c r="F2" s="2916"/>
      <c r="G2" s="2916"/>
      <c r="H2" s="2916"/>
      <c r="I2" s="2916"/>
    </row>
    <row r="3" spans="1:26" x14ac:dyDescent="0.25">
      <c r="B3" s="2916"/>
      <c r="C3" s="2916"/>
      <c r="D3" s="2916"/>
      <c r="E3" s="2916"/>
      <c r="F3" s="2916"/>
      <c r="G3" s="2916"/>
      <c r="H3" s="2916"/>
      <c r="I3" s="2916"/>
    </row>
    <row r="4" spans="1:26" ht="6.75" customHeight="1" thickBot="1" x14ac:dyDescent="0.3">
      <c r="B4" s="1316"/>
      <c r="C4" s="1317"/>
      <c r="D4" s="1318"/>
      <c r="E4" s="1319"/>
    </row>
    <row r="5" spans="1:26" ht="48" thickBot="1" x14ac:dyDescent="0.3">
      <c r="B5" s="1320" t="s">
        <v>42</v>
      </c>
      <c r="C5" s="1321" t="s">
        <v>53</v>
      </c>
      <c r="D5" s="1321" t="s">
        <v>13</v>
      </c>
      <c r="E5" s="1321" t="s">
        <v>4</v>
      </c>
      <c r="F5" s="1321" t="s">
        <v>2</v>
      </c>
      <c r="G5" s="1321" t="s">
        <v>14</v>
      </c>
      <c r="H5" s="1321" t="s">
        <v>15</v>
      </c>
      <c r="I5" s="1321" t="s">
        <v>16</v>
      </c>
    </row>
    <row r="6" spans="1:26" ht="16.5" thickBot="1" x14ac:dyDescent="0.3">
      <c r="B6" s="2917" t="s">
        <v>5</v>
      </c>
      <c r="C6" s="2918"/>
      <c r="D6" s="2918"/>
      <c r="E6" s="2918"/>
      <c r="F6" s="2918"/>
      <c r="G6" s="2918"/>
      <c r="H6" s="2918"/>
      <c r="I6" s="2919"/>
      <c r="J6" s="1322"/>
      <c r="K6" s="1323"/>
      <c r="L6" s="1315"/>
      <c r="M6" s="1315"/>
    </row>
    <row r="7" spans="1:26" ht="16.5" customHeight="1" x14ac:dyDescent="0.25">
      <c r="A7" s="1145"/>
      <c r="B7" s="1293" t="s">
        <v>222</v>
      </c>
      <c r="C7" s="633">
        <f>2662000*0.1</f>
        <v>266200</v>
      </c>
      <c r="D7" s="633">
        <v>1711.9034892105592</v>
      </c>
      <c r="E7" s="633">
        <v>71756.704220862404</v>
      </c>
      <c r="F7" s="633">
        <f>2861625.92399123-600000</f>
        <v>2261625.9239912299</v>
      </c>
      <c r="G7" s="633">
        <v>52100.695235799903</v>
      </c>
      <c r="H7" s="633">
        <v>8605</v>
      </c>
      <c r="I7" s="660">
        <f>SUM(C7:H7)</f>
        <v>2662000.2269371031</v>
      </c>
      <c r="J7" s="1322">
        <v>2662000</v>
      </c>
      <c r="K7" s="1324">
        <f>I7-J7</f>
        <v>0.22693710308521986</v>
      </c>
      <c r="L7" s="1162">
        <v>9.5000000000000001E-2</v>
      </c>
      <c r="M7" s="1162">
        <v>5.2480180539869997E-4</v>
      </c>
      <c r="N7" s="1147">
        <v>1.50694985349057E-2</v>
      </c>
      <c r="O7" s="1156">
        <f>1-SUM(L7,M7,N7,P7,Q7)</f>
        <v>0.87726116615304472</v>
      </c>
      <c r="P7" s="1156">
        <v>9.5066509E-3</v>
      </c>
      <c r="Q7" s="1156">
        <v>2.6378826066509064E-3</v>
      </c>
    </row>
    <row r="8" spans="1:26" ht="16.5" customHeight="1" x14ac:dyDescent="0.25">
      <c r="A8" s="1145"/>
      <c r="B8" s="1288" t="s">
        <v>149</v>
      </c>
      <c r="C8" s="638">
        <f>4592000*0.08</f>
        <v>367360</v>
      </c>
      <c r="D8" s="638">
        <v>2442.8508426720741</v>
      </c>
      <c r="E8" s="638">
        <f>4592000*0.035</f>
        <v>160720.00000000003</v>
      </c>
      <c r="F8" s="638">
        <f>4592000*0.86</f>
        <v>3949120</v>
      </c>
      <c r="G8" s="638">
        <v>101855</v>
      </c>
      <c r="H8" s="638">
        <v>10501.676575240848</v>
      </c>
      <c r="I8" s="640">
        <f>SUM(C8:H8)</f>
        <v>4591999.5274179131</v>
      </c>
      <c r="J8" s="1322">
        <v>3992000</v>
      </c>
      <c r="K8" s="1324">
        <f t="shared" ref="K8:K51" si="0">I8-J8</f>
        <v>599999.52741791308</v>
      </c>
      <c r="L8" s="1162">
        <v>8.8419999999999999E-2</v>
      </c>
      <c r="M8" s="1162">
        <v>6.1193658383568996E-4</v>
      </c>
      <c r="N8" s="1162">
        <v>1.15E-2</v>
      </c>
      <c r="O8" s="1162">
        <f>1-SUM(L8,M8,N8,P8,Q8)</f>
        <v>0.87157963657600179</v>
      </c>
      <c r="P8" s="1162">
        <v>2.5257746335342699E-2</v>
      </c>
      <c r="Q8" s="1162">
        <v>2.6306805048198515E-3</v>
      </c>
      <c r="R8" s="1325"/>
      <c r="S8" s="1312">
        <f>+F8/I8</f>
        <v>0.86000008850623622</v>
      </c>
    </row>
    <row r="9" spans="1:26" ht="16.5" customHeight="1" x14ac:dyDescent="0.25">
      <c r="A9" s="1145"/>
      <c r="B9" s="1288" t="s">
        <v>227</v>
      </c>
      <c r="C9" s="638">
        <v>29296.799999999999</v>
      </c>
      <c r="D9" s="638">
        <v>469.5</v>
      </c>
      <c r="E9" s="638">
        <v>49109.7</v>
      </c>
      <c r="F9" s="638">
        <v>845945.1</v>
      </c>
      <c r="G9" s="638">
        <v>9953.4</v>
      </c>
      <c r="H9" s="638">
        <v>4225.5</v>
      </c>
      <c r="I9" s="640">
        <f>SUM(C9:H9)</f>
        <v>939000</v>
      </c>
      <c r="J9" s="1322">
        <v>939000</v>
      </c>
      <c r="K9" s="1324">
        <f t="shared" si="0"/>
        <v>0</v>
      </c>
      <c r="L9" s="1162">
        <v>3.1199999999999999E-2</v>
      </c>
      <c r="M9" s="1147">
        <v>5.0000000000000001E-4</v>
      </c>
      <c r="N9" s="1156">
        <v>5.2299999999999999E-2</v>
      </c>
      <c r="O9" s="1156">
        <f>1-SUM(L9,M9,N9,P9,Q9)</f>
        <v>0.90090000000000003</v>
      </c>
      <c r="P9" s="1156">
        <v>1.06E-2</v>
      </c>
      <c r="Q9" s="1156">
        <v>4.4999999999999997E-3</v>
      </c>
    </row>
    <row r="10" spans="1:26" ht="16.5" customHeight="1" thickBot="1" x14ac:dyDescent="0.3">
      <c r="A10" s="1150"/>
      <c r="B10" s="1327" t="s">
        <v>150</v>
      </c>
      <c r="C10" s="641">
        <v>10879.354838709654</v>
      </c>
      <c r="D10" s="641">
        <v>483.87096774193549</v>
      </c>
      <c r="E10" s="641">
        <v>2230.6451612903224</v>
      </c>
      <c r="F10" s="641">
        <v>85328.709677419378</v>
      </c>
      <c r="G10" s="641">
        <v>2161.9354838709673</v>
      </c>
      <c r="H10" s="641">
        <v>915.4838709677424</v>
      </c>
      <c r="I10" s="643">
        <f>SUM(C10:H10)</f>
        <v>102000</v>
      </c>
      <c r="J10" s="1322">
        <v>102000</v>
      </c>
      <c r="K10" s="1324">
        <f t="shared" si="0"/>
        <v>0</v>
      </c>
      <c r="L10" s="1162">
        <v>0.10666034155597701</v>
      </c>
      <c r="M10" s="1147">
        <v>4.7438330170777986E-3</v>
      </c>
      <c r="N10" s="1156">
        <v>2.1869070208728653E-2</v>
      </c>
      <c r="O10" s="1156">
        <f>1-SUM(L10,M10,N10,P10,Q10)</f>
        <v>0.83655597722960173</v>
      </c>
      <c r="P10" s="1156">
        <v>2.1195445920303601E-2</v>
      </c>
      <c r="Q10" s="1156">
        <v>8.9753320683111995E-3</v>
      </c>
    </row>
    <row r="11" spans="1:26" ht="16.5" customHeight="1" thickBot="1" x14ac:dyDescent="0.3">
      <c r="A11" s="1150"/>
      <c r="B11" s="1328" t="s">
        <v>30</v>
      </c>
      <c r="C11" s="645">
        <f>SUM(C7:C10)</f>
        <v>673736.15483870974</v>
      </c>
      <c r="D11" s="645">
        <f t="shared" ref="D11:I11" si="1">SUM(D7:D10)</f>
        <v>5108.1252996245694</v>
      </c>
      <c r="E11" s="645">
        <f t="shared" si="1"/>
        <v>283817.04938215273</v>
      </c>
      <c r="F11" s="645">
        <f t="shared" si="1"/>
        <v>7142019.7336686486</v>
      </c>
      <c r="G11" s="645">
        <f t="shared" si="1"/>
        <v>166071.03071967087</v>
      </c>
      <c r="H11" s="645">
        <f t="shared" si="1"/>
        <v>24247.660446208589</v>
      </c>
      <c r="I11" s="645">
        <f t="shared" si="1"/>
        <v>8294999.7543550162</v>
      </c>
      <c r="J11" s="1329"/>
      <c r="K11" s="1324">
        <f t="shared" si="0"/>
        <v>8294999.7543550162</v>
      </c>
      <c r="L11" s="1330"/>
      <c r="M11" s="1315"/>
    </row>
    <row r="12" spans="1:26" s="1326" customFormat="1" ht="16.5" customHeight="1" x14ac:dyDescent="0.25">
      <c r="B12" s="1309"/>
      <c r="C12" s="1400"/>
      <c r="D12" s="1401"/>
      <c r="E12" s="1331"/>
      <c r="F12" s="1402"/>
      <c r="G12" s="1310"/>
      <c r="H12" s="1310"/>
      <c r="I12" s="1334"/>
      <c r="J12" s="1315"/>
      <c r="K12" s="1324"/>
      <c r="L12" s="1315"/>
      <c r="M12" s="1315"/>
      <c r="N12" s="1315"/>
      <c r="S12" s="1403"/>
      <c r="T12" s="1312"/>
      <c r="U12" s="1312"/>
      <c r="V12" s="1312"/>
      <c r="W12" s="1312"/>
      <c r="X12" s="1312"/>
      <c r="Y12" s="1312"/>
      <c r="Z12" s="1312"/>
    </row>
    <row r="13" spans="1:26" ht="16.5" customHeight="1" thickBot="1" x14ac:dyDescent="0.3">
      <c r="A13" s="1150"/>
      <c r="B13" s="2900" t="s">
        <v>151</v>
      </c>
      <c r="C13" s="2898"/>
      <c r="D13" s="2898"/>
      <c r="E13" s="2898"/>
      <c r="F13" s="2898"/>
      <c r="G13" s="2898"/>
      <c r="H13" s="2898"/>
      <c r="I13" s="2899"/>
      <c r="J13" s="1335"/>
      <c r="K13" s="1324">
        <f t="shared" si="0"/>
        <v>0</v>
      </c>
      <c r="L13" s="1336"/>
      <c r="S13" s="1404"/>
      <c r="T13" s="1326"/>
      <c r="U13" s="1326"/>
      <c r="V13" s="1326"/>
      <c r="W13" s="1326"/>
      <c r="X13" s="1326"/>
      <c r="Y13" s="1326"/>
      <c r="Z13" s="1326"/>
    </row>
    <row r="14" spans="1:26" ht="16.5" customHeight="1" thickBot="1" x14ac:dyDescent="0.3">
      <c r="A14" s="1145"/>
      <c r="B14" s="1337" t="s">
        <v>154</v>
      </c>
      <c r="C14" s="644">
        <v>270209.81063726312</v>
      </c>
      <c r="D14" s="644">
        <v>6185.3001848981521</v>
      </c>
      <c r="E14" s="644">
        <v>190316.928766097</v>
      </c>
      <c r="F14" s="644">
        <f>2320421.21027547+75000</f>
        <v>2395421.2102754698</v>
      </c>
      <c r="G14" s="644">
        <v>67592.980478810161</v>
      </c>
      <c r="H14" s="644">
        <v>14273.769657457275</v>
      </c>
      <c r="I14" s="634">
        <f>SUM(C14:H14)</f>
        <v>2943999.9999999953</v>
      </c>
      <c r="J14" s="1329">
        <v>2869000</v>
      </c>
      <c r="K14" s="1324">
        <f t="shared" si="0"/>
        <v>74999.999999995343</v>
      </c>
      <c r="L14" s="833">
        <v>9.4182576032507195E-2</v>
      </c>
      <c r="M14" s="833">
        <v>2.1559080463221165E-3</v>
      </c>
      <c r="N14" s="833">
        <v>6.6335632194526664E-2</v>
      </c>
      <c r="O14" s="833">
        <f>1-SUM(L14,M14,N14,P14,Q14)</f>
        <v>0.80879094119047545</v>
      </c>
      <c r="P14" s="833">
        <v>2.3559770121579001E-2</v>
      </c>
      <c r="Q14" s="833">
        <v>4.9751724145894998E-3</v>
      </c>
      <c r="R14" s="1156"/>
      <c r="S14" s="1344"/>
      <c r="T14" s="1889">
        <f>2869000-I14</f>
        <v>-74999.999999995343</v>
      </c>
    </row>
    <row r="15" spans="1:26" ht="16.5" customHeight="1" thickBot="1" x14ac:dyDescent="0.3">
      <c r="A15" s="1150"/>
      <c r="B15" s="1307" t="s">
        <v>152</v>
      </c>
      <c r="C15" s="645">
        <f>SUM(C14)</f>
        <v>270209.81063726312</v>
      </c>
      <c r="D15" s="645">
        <f t="shared" ref="D15:I15" si="2">SUM(D14)</f>
        <v>6185.3001848981521</v>
      </c>
      <c r="E15" s="645">
        <f t="shared" si="2"/>
        <v>190316.928766097</v>
      </c>
      <c r="F15" s="645">
        <f t="shared" si="2"/>
        <v>2395421.2102754698</v>
      </c>
      <c r="G15" s="645">
        <f t="shared" si="2"/>
        <v>67592.980478810161</v>
      </c>
      <c r="H15" s="645">
        <f t="shared" si="2"/>
        <v>14273.769657457275</v>
      </c>
      <c r="I15" s="645">
        <f t="shared" si="2"/>
        <v>2943999.9999999953</v>
      </c>
      <c r="J15" s="1329"/>
      <c r="K15" s="1324">
        <f t="shared" si="0"/>
        <v>2943999.9999999953</v>
      </c>
      <c r="L15" s="1336"/>
      <c r="M15" s="1339"/>
      <c r="N15" s="1339"/>
      <c r="O15" s="1147"/>
      <c r="P15" s="1156"/>
      <c r="Q15" s="1156"/>
    </row>
    <row r="16" spans="1:26" s="1326" customFormat="1" ht="16.5" customHeight="1" x14ac:dyDescent="0.25">
      <c r="A16" s="1145"/>
      <c r="B16" s="2901"/>
      <c r="C16" s="2902"/>
      <c r="D16" s="2902"/>
      <c r="E16" s="2902"/>
      <c r="F16" s="2902"/>
      <c r="G16" s="2902"/>
      <c r="H16" s="2902"/>
      <c r="I16" s="2903"/>
      <c r="J16" s="1335"/>
      <c r="K16" s="1324">
        <f t="shared" si="0"/>
        <v>0</v>
      </c>
      <c r="L16" s="1340"/>
      <c r="M16" s="1341"/>
      <c r="N16" s="1162"/>
      <c r="O16" s="1162"/>
      <c r="P16" s="1342"/>
      <c r="Q16" s="1163"/>
      <c r="T16" s="1312"/>
      <c r="U16" s="1312"/>
      <c r="V16" s="1312"/>
      <c r="W16" s="1312"/>
      <c r="X16" s="1312"/>
      <c r="Y16" s="1312"/>
      <c r="Z16" s="1312"/>
    </row>
    <row r="17" spans="1:26" ht="16.5" customHeight="1" thickBot="1" x14ac:dyDescent="0.3">
      <c r="A17" s="1150"/>
      <c r="B17" s="2900" t="s">
        <v>153</v>
      </c>
      <c r="C17" s="2898"/>
      <c r="D17" s="2898"/>
      <c r="E17" s="2898"/>
      <c r="F17" s="2898"/>
      <c r="G17" s="2898"/>
      <c r="H17" s="2898"/>
      <c r="I17" s="2899"/>
      <c r="J17" s="1335"/>
      <c r="K17" s="1324">
        <f t="shared" si="0"/>
        <v>0</v>
      </c>
      <c r="L17" s="1336"/>
      <c r="M17" s="1147"/>
      <c r="N17" s="1147"/>
      <c r="O17" s="1147"/>
      <c r="P17" s="1156"/>
      <c r="Q17" s="1156"/>
    </row>
    <row r="18" spans="1:26" ht="16.5" customHeight="1" thickBot="1" x14ac:dyDescent="0.3">
      <c r="A18" s="1145"/>
      <c r="B18" s="1337" t="s">
        <v>155</v>
      </c>
      <c r="C18" s="644">
        <v>204786.1304636992</v>
      </c>
      <c r="D18" s="644">
        <v>911.5762915815767</v>
      </c>
      <c r="E18" s="644">
        <v>151929.38193026278</v>
      </c>
      <c r="F18" s="644">
        <f>1469446.15220253+225000</f>
        <v>1694446.1522025301</v>
      </c>
      <c r="G18" s="644">
        <v>47229.407289538794</v>
      </c>
      <c r="H18" s="644">
        <v>5697.351822384855</v>
      </c>
      <c r="I18" s="634">
        <f>SUM(C18:H18)</f>
        <v>2104999.9999999972</v>
      </c>
      <c r="J18" s="1329">
        <v>1880000</v>
      </c>
      <c r="K18" s="1324">
        <f t="shared" si="0"/>
        <v>224999.99999999721</v>
      </c>
      <c r="L18" s="1343">
        <v>0.10892879279984</v>
      </c>
      <c r="M18" s="1343">
        <v>4.8488100616041316E-4</v>
      </c>
      <c r="N18" s="1343">
        <v>8.0813501026735526E-2</v>
      </c>
      <c r="O18" s="1343">
        <f>1-SUM(L18,M18,N18,P18,Q18)</f>
        <v>0.7816202937247515</v>
      </c>
      <c r="P18" s="1343">
        <v>2.5122025154009998E-2</v>
      </c>
      <c r="Q18" s="1343">
        <v>3.0305062885025826E-3</v>
      </c>
      <c r="S18" s="1344"/>
      <c r="T18" s="1889">
        <f>1880000-I18</f>
        <v>-224999.99999999721</v>
      </c>
    </row>
    <row r="19" spans="1:26" ht="16.5" customHeight="1" thickBot="1" x14ac:dyDescent="0.3">
      <c r="A19" s="1145"/>
      <c r="B19" s="1337" t="s">
        <v>156</v>
      </c>
      <c r="C19" s="644">
        <v>50669</v>
      </c>
      <c r="D19" s="644">
        <v>2165</v>
      </c>
      <c r="E19" s="644">
        <v>17575</v>
      </c>
      <c r="F19" s="644">
        <f>239865.280698079+113000</f>
        <v>352865.28069807903</v>
      </c>
      <c r="G19" s="644">
        <v>20472</v>
      </c>
      <c r="H19" s="644">
        <v>10254</v>
      </c>
      <c r="I19" s="634">
        <f>SUM(C19:H19)</f>
        <v>454000.28069807903</v>
      </c>
      <c r="J19" s="1329">
        <v>304000</v>
      </c>
      <c r="K19" s="1324">
        <f t="shared" si="0"/>
        <v>150000.28069807903</v>
      </c>
      <c r="L19" s="1162">
        <v>0.121614429914835</v>
      </c>
      <c r="M19" s="1162">
        <v>4.6218124899860729E-3</v>
      </c>
      <c r="N19" s="1162">
        <v>4.6218124899860727E-2</v>
      </c>
      <c r="O19" s="1162">
        <f>1-SUM(L19,M19,N19,P19,Q19)</f>
        <v>0.78903052861210099</v>
      </c>
      <c r="P19" s="1162">
        <v>1.540604163328691E-2</v>
      </c>
      <c r="Q19" s="1162">
        <v>2.3109062449930363E-2</v>
      </c>
      <c r="S19" s="1344"/>
    </row>
    <row r="20" spans="1:26" ht="16.5" customHeight="1" thickBot="1" x14ac:dyDescent="0.3">
      <c r="A20" s="1150"/>
      <c r="B20" s="1307" t="s">
        <v>299</v>
      </c>
      <c r="C20" s="645">
        <f>SUM(C18:C19)</f>
        <v>255455.1304636992</v>
      </c>
      <c r="D20" s="645">
        <f t="shared" ref="D20:I20" si="3">SUM(D18:D19)</f>
        <v>3076.5762915815767</v>
      </c>
      <c r="E20" s="645">
        <f t="shared" si="3"/>
        <v>169504.38193026278</v>
      </c>
      <c r="F20" s="645">
        <f t="shared" si="3"/>
        <v>2047311.432900609</v>
      </c>
      <c r="G20" s="645">
        <f t="shared" si="3"/>
        <v>67701.407289538794</v>
      </c>
      <c r="H20" s="645">
        <f t="shared" si="3"/>
        <v>15951.351822384855</v>
      </c>
      <c r="I20" s="645">
        <f t="shared" si="3"/>
        <v>2559000.2806980764</v>
      </c>
      <c r="J20" s="1329"/>
      <c r="K20" s="1324">
        <f t="shared" si="0"/>
        <v>2559000.2806980764</v>
      </c>
      <c r="L20" s="1330"/>
      <c r="M20" s="1341" t="s">
        <v>3</v>
      </c>
      <c r="N20" s="1147"/>
      <c r="O20" s="1147"/>
      <c r="P20" s="1345"/>
      <c r="S20" s="1344"/>
      <c r="U20" s="1314"/>
      <c r="V20" s="1314"/>
      <c r="W20" s="1314"/>
      <c r="X20" s="1314"/>
      <c r="Y20" s="1314"/>
      <c r="Z20" s="1314"/>
    </row>
    <row r="21" spans="1:26" ht="16.5" customHeight="1" thickBot="1" x14ac:dyDescent="0.3">
      <c r="A21" s="1150"/>
      <c r="B21" s="1346" t="s">
        <v>245</v>
      </c>
      <c r="C21" s="1347">
        <v>20466</v>
      </c>
      <c r="D21" s="1347">
        <v>1135</v>
      </c>
      <c r="E21" s="1347">
        <v>5267</v>
      </c>
      <c r="F21" s="1347">
        <f>280718.123871408-113000</f>
        <v>167718.123871408</v>
      </c>
      <c r="G21" s="1347">
        <v>23589</v>
      </c>
      <c r="H21" s="1347">
        <v>4825</v>
      </c>
      <c r="I21" s="1347">
        <f>SUM(C21:H21)</f>
        <v>223000.123871408</v>
      </c>
      <c r="J21" s="1329">
        <v>373000</v>
      </c>
      <c r="K21" s="1324">
        <f t="shared" si="0"/>
        <v>-149999.876128592</v>
      </c>
      <c r="L21" s="1162">
        <v>9.1592565049718994E-2</v>
      </c>
      <c r="M21" s="1162">
        <v>5.0796282524859697E-3</v>
      </c>
      <c r="N21" s="1162">
        <v>2.3569475091534901E-2</v>
      </c>
      <c r="O21" s="1162">
        <f>1-SUM(L21,M21,N21,P21,Q21)</f>
        <v>0.75259550635766315</v>
      </c>
      <c r="P21" s="1162">
        <v>0.105570260198878</v>
      </c>
      <c r="Q21" s="1162">
        <v>2.1592565049719001E-2</v>
      </c>
      <c r="S21" s="1344"/>
    </row>
    <row r="22" spans="1:26" ht="16.5" customHeight="1" thickBot="1" x14ac:dyDescent="0.3">
      <c r="A22" s="1150"/>
      <c r="B22" s="1307" t="s">
        <v>31</v>
      </c>
      <c r="C22" s="645">
        <f>C15+C20+C21</f>
        <v>546130.94110096234</v>
      </c>
      <c r="D22" s="645">
        <f t="shared" ref="D22:I22" si="4">D15+D20+D21</f>
        <v>10396.876476479729</v>
      </c>
      <c r="E22" s="645">
        <f t="shared" si="4"/>
        <v>365088.31069635978</v>
      </c>
      <c r="F22" s="645">
        <f t="shared" si="4"/>
        <v>4610450.7670474872</v>
      </c>
      <c r="G22" s="645">
        <f t="shared" si="4"/>
        <v>158883.38776834897</v>
      </c>
      <c r="H22" s="645">
        <f t="shared" si="4"/>
        <v>35050.121479842128</v>
      </c>
      <c r="I22" s="645">
        <f t="shared" si="4"/>
        <v>5726000.4045694806</v>
      </c>
      <c r="J22" s="1329"/>
      <c r="K22" s="1324">
        <f t="shared" si="0"/>
        <v>5726000.4045694806</v>
      </c>
      <c r="L22" s="517"/>
      <c r="M22" s="1341" t="s">
        <v>3</v>
      </c>
      <c r="N22" s="1147"/>
      <c r="O22" s="1147"/>
      <c r="P22" s="1156"/>
      <c r="Q22" s="1156"/>
      <c r="S22" s="1344"/>
    </row>
    <row r="23" spans="1:26" s="1326" customFormat="1" ht="16.5" customHeight="1" thickBot="1" x14ac:dyDescent="0.3">
      <c r="A23" s="1145"/>
      <c r="B23" s="2901"/>
      <c r="C23" s="2902"/>
      <c r="D23" s="2902"/>
      <c r="E23" s="2902"/>
      <c r="F23" s="2902"/>
      <c r="G23" s="2902"/>
      <c r="H23" s="2902"/>
      <c r="I23" s="2903"/>
      <c r="J23" s="1335"/>
      <c r="K23" s="1324">
        <f t="shared" si="0"/>
        <v>0</v>
      </c>
      <c r="L23" s="517"/>
      <c r="M23" s="1147"/>
      <c r="N23" s="1147"/>
      <c r="O23" s="1147"/>
      <c r="P23" s="1312"/>
      <c r="Q23" s="1156"/>
      <c r="R23" s="1312"/>
      <c r="S23" s="1344"/>
      <c r="T23" s="1312"/>
      <c r="U23" s="1314"/>
      <c r="V23" s="1314"/>
      <c r="W23" s="1314"/>
      <c r="X23" s="1314"/>
      <c r="Y23" s="1314"/>
      <c r="Z23" s="1314"/>
    </row>
    <row r="24" spans="1:26" ht="16.5" customHeight="1" thickBot="1" x14ac:dyDescent="0.3">
      <c r="A24" s="1145"/>
      <c r="B24" s="2920" t="s">
        <v>393</v>
      </c>
      <c r="C24" s="2921"/>
      <c r="D24" s="2921"/>
      <c r="E24" s="2921"/>
      <c r="F24" s="2921"/>
      <c r="G24" s="2921"/>
      <c r="H24" s="2921"/>
      <c r="I24" s="2922"/>
      <c r="J24" s="1348"/>
      <c r="K24" s="1324">
        <f t="shared" si="0"/>
        <v>0</v>
      </c>
      <c r="L24" s="517" t="s">
        <v>413</v>
      </c>
      <c r="M24" s="1147" t="s">
        <v>13</v>
      </c>
      <c r="N24" s="1147" t="s">
        <v>4</v>
      </c>
      <c r="O24" s="1147" t="s">
        <v>2</v>
      </c>
      <c r="P24" s="1325" t="s">
        <v>14</v>
      </c>
      <c r="Q24" s="1312" t="s">
        <v>15</v>
      </c>
      <c r="R24" s="1312" t="s">
        <v>15</v>
      </c>
      <c r="S24" s="1344"/>
    </row>
    <row r="25" spans="1:26" ht="16.5" customHeight="1" x14ac:dyDescent="0.25">
      <c r="A25" s="1150"/>
      <c r="B25" s="1291" t="s">
        <v>394</v>
      </c>
      <c r="C25" s="1856">
        <v>9000</v>
      </c>
      <c r="D25" s="1349">
        <v>0</v>
      </c>
      <c r="E25" s="1349">
        <v>141000</v>
      </c>
      <c r="F25" s="1349">
        <v>0</v>
      </c>
      <c r="G25" s="1349">
        <v>0</v>
      </c>
      <c r="H25" s="1349">
        <v>0</v>
      </c>
      <c r="I25" s="1350">
        <f>SUM(C25:H25)</f>
        <v>150000</v>
      </c>
      <c r="J25" s="1335">
        <v>150000</v>
      </c>
      <c r="K25" s="1324">
        <f t="shared" si="0"/>
        <v>0</v>
      </c>
      <c r="L25" s="1351">
        <v>0.06</v>
      </c>
      <c r="M25" s="1147">
        <v>0</v>
      </c>
      <c r="N25" s="1147">
        <v>0.94</v>
      </c>
      <c r="O25" s="1147">
        <v>0</v>
      </c>
      <c r="P25" s="1156">
        <v>0</v>
      </c>
      <c r="Q25" s="1156">
        <v>0</v>
      </c>
      <c r="R25" s="1156">
        <f>0.00215781980632976</f>
        <v>2.15781980632976E-3</v>
      </c>
      <c r="S25" s="1344">
        <v>1</v>
      </c>
    </row>
    <row r="26" spans="1:26" ht="16.5" customHeight="1" thickBot="1" x14ac:dyDescent="0.3">
      <c r="A26" s="1150"/>
      <c r="B26" s="1296" t="s">
        <v>414</v>
      </c>
      <c r="C26" s="1353">
        <v>3000</v>
      </c>
      <c r="D26" s="1353">
        <v>0</v>
      </c>
      <c r="E26" s="1353">
        <v>47000</v>
      </c>
      <c r="F26" s="1353">
        <v>0</v>
      </c>
      <c r="G26" s="1353">
        <v>0</v>
      </c>
      <c r="H26" s="1353">
        <v>0</v>
      </c>
      <c r="I26" s="1354">
        <f>SUM(C26:H26)</f>
        <v>50000</v>
      </c>
      <c r="J26" s="1335">
        <v>50000</v>
      </c>
      <c r="K26" s="1324">
        <f t="shared" si="0"/>
        <v>0</v>
      </c>
      <c r="L26" s="1351">
        <v>0.06</v>
      </c>
      <c r="M26" s="1147">
        <v>0</v>
      </c>
      <c r="N26" s="1147">
        <v>0.94</v>
      </c>
      <c r="O26" s="1147">
        <v>0</v>
      </c>
      <c r="P26" s="1156">
        <v>0</v>
      </c>
      <c r="Q26" s="1156">
        <v>0</v>
      </c>
      <c r="R26" s="1156">
        <v>5.4791579556121702E-3</v>
      </c>
      <c r="S26" s="1156">
        <v>1</v>
      </c>
      <c r="T26" s="1314"/>
    </row>
    <row r="27" spans="1:26" ht="16.5" customHeight="1" thickBot="1" x14ac:dyDescent="0.3">
      <c r="A27" s="1150"/>
      <c r="B27" s="1405" t="s">
        <v>395</v>
      </c>
      <c r="C27" s="1356">
        <f>SUM(C25:C26)</f>
        <v>12000</v>
      </c>
      <c r="D27" s="1356">
        <f t="shared" ref="D27:I27" si="5">SUM(D25:D26)</f>
        <v>0</v>
      </c>
      <c r="E27" s="1356">
        <f t="shared" si="5"/>
        <v>188000</v>
      </c>
      <c r="F27" s="1356">
        <f t="shared" si="5"/>
        <v>0</v>
      </c>
      <c r="G27" s="1356">
        <f t="shared" si="5"/>
        <v>0</v>
      </c>
      <c r="H27" s="1356">
        <f t="shared" si="5"/>
        <v>0</v>
      </c>
      <c r="I27" s="1356">
        <f t="shared" si="5"/>
        <v>200000</v>
      </c>
      <c r="J27" s="1335"/>
      <c r="K27" s="1324">
        <f t="shared" si="0"/>
        <v>200000</v>
      </c>
      <c r="L27" s="517"/>
      <c r="M27" s="1147"/>
      <c r="N27" s="1147"/>
      <c r="O27" s="1147"/>
      <c r="P27" s="1156"/>
      <c r="Q27" s="1156"/>
      <c r="T27" s="1314"/>
    </row>
    <row r="28" spans="1:26" s="1326" customFormat="1" ht="16.5" customHeight="1" thickBot="1" x14ac:dyDescent="0.3">
      <c r="A28" s="1150"/>
      <c r="B28" s="2910" t="s">
        <v>473</v>
      </c>
      <c r="C28" s="2911"/>
      <c r="D28" s="2911"/>
      <c r="E28" s="2911"/>
      <c r="F28" s="2911"/>
      <c r="G28" s="2911"/>
      <c r="H28" s="2911"/>
      <c r="I28" s="2912"/>
      <c r="J28" s="1348"/>
      <c r="K28" s="1324">
        <f t="shared" si="0"/>
        <v>0</v>
      </c>
      <c r="L28" s="517"/>
      <c r="M28" s="1162"/>
      <c r="N28" s="1162"/>
      <c r="O28" s="1162"/>
      <c r="P28" s="1163"/>
      <c r="Q28" s="1163"/>
      <c r="T28" s="1315"/>
    </row>
    <row r="29" spans="1:26" ht="16.5" customHeight="1" x14ac:dyDescent="0.25">
      <c r="A29" s="1150"/>
      <c r="B29" s="1293" t="s">
        <v>278</v>
      </c>
      <c r="C29" s="1166">
        <v>0</v>
      </c>
      <c r="D29" s="1166">
        <v>0</v>
      </c>
      <c r="E29" s="1349">
        <v>109000</v>
      </c>
      <c r="F29" s="1166">
        <v>0</v>
      </c>
      <c r="G29" s="1166">
        <v>0</v>
      </c>
      <c r="H29" s="1166">
        <v>0</v>
      </c>
      <c r="I29" s="1350">
        <f>SUM(E29:H29)</f>
        <v>109000</v>
      </c>
      <c r="J29" s="1335">
        <v>109000</v>
      </c>
      <c r="K29" s="1324">
        <f t="shared" si="0"/>
        <v>0</v>
      </c>
      <c r="L29" s="1330"/>
      <c r="M29" s="1147"/>
      <c r="N29" s="1147"/>
      <c r="O29" s="1147"/>
      <c r="P29" s="1156"/>
      <c r="Q29" s="1156"/>
      <c r="S29" s="1344"/>
    </row>
    <row r="30" spans="1:26" ht="16.5" customHeight="1" x14ac:dyDescent="0.25">
      <c r="A30" s="1150"/>
      <c r="B30" s="1300" t="s">
        <v>279</v>
      </c>
      <c r="C30" s="1166">
        <v>0</v>
      </c>
      <c r="D30" s="1166">
        <v>0</v>
      </c>
      <c r="E30" s="1358">
        <v>145000</v>
      </c>
      <c r="F30" s="1166">
        <v>0</v>
      </c>
      <c r="G30" s="1166">
        <v>0</v>
      </c>
      <c r="H30" s="1166">
        <v>0</v>
      </c>
      <c r="I30" s="1359">
        <f>SUM(E30:H30)</f>
        <v>145000</v>
      </c>
      <c r="J30" s="1335">
        <v>145000</v>
      </c>
      <c r="K30" s="1324">
        <f t="shared" si="0"/>
        <v>0</v>
      </c>
      <c r="L30" s="1330"/>
      <c r="M30" s="1147"/>
      <c r="N30" s="1147"/>
      <c r="O30" s="1147"/>
      <c r="P30" s="1156"/>
      <c r="Q30" s="1156"/>
      <c r="S30" s="1344"/>
    </row>
    <row r="31" spans="1:26" ht="16.5" customHeight="1" thickBot="1" x14ac:dyDescent="0.3">
      <c r="A31" s="1150"/>
      <c r="B31" s="1360" t="s">
        <v>280</v>
      </c>
      <c r="C31" s="1166">
        <v>0</v>
      </c>
      <c r="D31" s="1166">
        <v>0</v>
      </c>
      <c r="E31" s="1353">
        <v>109000</v>
      </c>
      <c r="F31" s="1166">
        <v>0</v>
      </c>
      <c r="G31" s="1166">
        <v>0</v>
      </c>
      <c r="H31" s="1166">
        <v>0</v>
      </c>
      <c r="I31" s="1354">
        <f>SUM(C31:H31)</f>
        <v>109000</v>
      </c>
      <c r="J31" s="1335">
        <v>109000</v>
      </c>
      <c r="K31" s="1324">
        <f t="shared" si="0"/>
        <v>0</v>
      </c>
      <c r="L31" s="1330"/>
      <c r="M31" s="1147"/>
      <c r="N31" s="1147"/>
      <c r="O31" s="1147"/>
      <c r="P31" s="1156"/>
      <c r="Q31" s="1156"/>
      <c r="S31" s="1344"/>
    </row>
    <row r="32" spans="1:26" s="1326" customFormat="1" ht="16.5" customHeight="1" thickBot="1" x14ac:dyDescent="0.3">
      <c r="A32" s="1150"/>
      <c r="B32" s="1361" t="s">
        <v>397</v>
      </c>
      <c r="C32" s="1362">
        <f>SUM(C29:C31)</f>
        <v>0</v>
      </c>
      <c r="D32" s="1362">
        <f t="shared" ref="D32:I32" si="6">SUM(D29:D31)</f>
        <v>0</v>
      </c>
      <c r="E32" s="1362">
        <f t="shared" si="6"/>
        <v>363000</v>
      </c>
      <c r="F32" s="1362">
        <f t="shared" si="6"/>
        <v>0</v>
      </c>
      <c r="G32" s="1362">
        <f t="shared" si="6"/>
        <v>0</v>
      </c>
      <c r="H32" s="1362">
        <f t="shared" si="6"/>
        <v>0</v>
      </c>
      <c r="I32" s="1362">
        <f t="shared" si="6"/>
        <v>363000</v>
      </c>
      <c r="J32" s="1335"/>
      <c r="K32" s="1324">
        <f t="shared" si="0"/>
        <v>363000</v>
      </c>
      <c r="L32" s="1330"/>
      <c r="M32" s="1162"/>
      <c r="N32" s="1162"/>
      <c r="O32" s="1162"/>
      <c r="P32" s="1163"/>
      <c r="Q32" s="1163"/>
      <c r="S32" s="1338"/>
    </row>
    <row r="33" spans="1:26" s="1326" customFormat="1" ht="16.5" customHeight="1" thickBot="1" x14ac:dyDescent="0.3">
      <c r="A33" s="1150"/>
      <c r="B33" s="2910" t="s">
        <v>398</v>
      </c>
      <c r="C33" s="2911"/>
      <c r="D33" s="2911"/>
      <c r="E33" s="2911"/>
      <c r="F33" s="2911"/>
      <c r="G33" s="2911"/>
      <c r="H33" s="2911"/>
      <c r="I33" s="2912"/>
      <c r="J33" s="1348"/>
      <c r="K33" s="1324">
        <f t="shared" si="0"/>
        <v>0</v>
      </c>
      <c r="L33" s="1330"/>
      <c r="M33" s="1162"/>
      <c r="N33" s="1162"/>
      <c r="O33" s="1162"/>
      <c r="P33" s="1163"/>
      <c r="Q33" s="1163"/>
      <c r="S33" s="1338"/>
    </row>
    <row r="34" spans="1:26" ht="16.5" customHeight="1" x14ac:dyDescent="0.25">
      <c r="A34" s="1150"/>
      <c r="B34" s="1295" t="s">
        <v>399</v>
      </c>
      <c r="C34" s="1349">
        <v>0</v>
      </c>
      <c r="D34" s="1349">
        <v>0</v>
      </c>
      <c r="E34" s="1349">
        <v>72000</v>
      </c>
      <c r="F34" s="1349">
        <v>0</v>
      </c>
      <c r="G34" s="1349">
        <v>0</v>
      </c>
      <c r="H34" s="1349">
        <v>0</v>
      </c>
      <c r="I34" s="1350">
        <f>SUM(C34:H34)</f>
        <v>72000</v>
      </c>
      <c r="J34" s="1335">
        <v>72000</v>
      </c>
      <c r="K34" s="1324">
        <f t="shared" si="0"/>
        <v>0</v>
      </c>
      <c r="L34" s="1351">
        <v>0</v>
      </c>
      <c r="M34" s="1147">
        <v>0</v>
      </c>
      <c r="N34" s="1147">
        <v>1</v>
      </c>
      <c r="O34" s="1147">
        <v>0</v>
      </c>
      <c r="P34" s="1156">
        <v>0</v>
      </c>
      <c r="Q34" s="1156">
        <v>0</v>
      </c>
      <c r="R34" s="1172">
        <v>9.8413810450015821E-3</v>
      </c>
      <c r="S34" s="1172">
        <f>SUM(L34:R34)</f>
        <v>1.0098413810450015</v>
      </c>
      <c r="T34" s="1172"/>
    </row>
    <row r="35" spans="1:26" ht="16.5" customHeight="1" thickBot="1" x14ac:dyDescent="0.3">
      <c r="A35" s="1150"/>
      <c r="B35" s="1363" t="s">
        <v>400</v>
      </c>
      <c r="C35" s="1364">
        <f>SUM(C34)</f>
        <v>0</v>
      </c>
      <c r="D35" s="1364">
        <f t="shared" ref="D35:I35" si="7">SUM(D34)</f>
        <v>0</v>
      </c>
      <c r="E35" s="1364">
        <f t="shared" si="7"/>
        <v>72000</v>
      </c>
      <c r="F35" s="1364">
        <f t="shared" si="7"/>
        <v>0</v>
      </c>
      <c r="G35" s="1364">
        <f t="shared" si="7"/>
        <v>0</v>
      </c>
      <c r="H35" s="1364">
        <f t="shared" si="7"/>
        <v>0</v>
      </c>
      <c r="I35" s="1364">
        <f t="shared" si="7"/>
        <v>72000</v>
      </c>
      <c r="J35" s="1335"/>
      <c r="K35" s="1324">
        <f t="shared" si="0"/>
        <v>72000</v>
      </c>
      <c r="L35" s="1351"/>
      <c r="M35" s="1147"/>
      <c r="N35" s="1147"/>
      <c r="O35" s="1147"/>
      <c r="P35" s="1156"/>
      <c r="Q35" s="1156"/>
      <c r="S35" s="1344"/>
    </row>
    <row r="36" spans="1:26" ht="16.5" customHeight="1" x14ac:dyDescent="0.25">
      <c r="A36" s="1150"/>
      <c r="B36" s="2913" t="s">
        <v>401</v>
      </c>
      <c r="C36" s="2914"/>
      <c r="D36" s="2914"/>
      <c r="E36" s="2914"/>
      <c r="F36" s="2914"/>
      <c r="G36" s="2914"/>
      <c r="H36" s="2914"/>
      <c r="I36" s="2915"/>
      <c r="J36" s="1348"/>
      <c r="K36" s="1324">
        <f t="shared" si="0"/>
        <v>0</v>
      </c>
      <c r="L36" s="1336"/>
      <c r="M36" s="1147"/>
      <c r="N36" s="1147"/>
      <c r="O36" s="1147"/>
      <c r="P36" s="1156"/>
      <c r="Q36" s="1156"/>
      <c r="S36" s="1344"/>
    </row>
    <row r="37" spans="1:26" ht="16.5" customHeight="1" x14ac:dyDescent="0.25">
      <c r="A37" s="1150"/>
      <c r="B37" s="1294" t="s">
        <v>402</v>
      </c>
      <c r="C37" s="638">
        <v>62120.494161179653</v>
      </c>
      <c r="D37" s="638">
        <v>0</v>
      </c>
      <c r="E37" s="638">
        <v>0</v>
      </c>
      <c r="F37" s="638">
        <v>0</v>
      </c>
      <c r="G37" s="638">
        <v>0</v>
      </c>
      <c r="H37" s="638">
        <v>2879.5</v>
      </c>
      <c r="I37" s="640">
        <f>SUM(C37:H37)</f>
        <v>64999.994161179653</v>
      </c>
      <c r="J37" s="1329">
        <v>65000</v>
      </c>
      <c r="K37" s="1324">
        <f t="shared" si="0"/>
        <v>-5.8388203469803557E-3</v>
      </c>
      <c r="L37" s="1147">
        <v>0.95565375632584082</v>
      </c>
      <c r="M37" s="1147">
        <v>0</v>
      </c>
      <c r="N37" s="1147">
        <v>0</v>
      </c>
      <c r="O37" s="1147">
        <v>0</v>
      </c>
      <c r="P37" s="1156">
        <v>0</v>
      </c>
      <c r="Q37" s="1156">
        <v>4.4299999999999999E-2</v>
      </c>
      <c r="R37" s="1156"/>
      <c r="S37" s="1344"/>
    </row>
    <row r="38" spans="1:26" ht="16.5" customHeight="1" x14ac:dyDescent="0.25">
      <c r="A38" s="1150"/>
      <c r="B38" s="1294" t="s">
        <v>403</v>
      </c>
      <c r="C38" s="638">
        <v>0</v>
      </c>
      <c r="D38" s="638">
        <v>0</v>
      </c>
      <c r="E38" s="638">
        <v>105000</v>
      </c>
      <c r="F38" s="638">
        <v>0</v>
      </c>
      <c r="G38" s="638">
        <v>0</v>
      </c>
      <c r="H38" s="638">
        <v>0</v>
      </c>
      <c r="I38" s="640">
        <f t="shared" ref="I38:I43" si="8">SUM(C38:H38)</f>
        <v>105000</v>
      </c>
      <c r="J38" s="1329">
        <v>105000</v>
      </c>
      <c r="K38" s="1324">
        <f t="shared" si="0"/>
        <v>0</v>
      </c>
      <c r="L38" s="1147">
        <v>0</v>
      </c>
      <c r="M38" s="1147">
        <v>0</v>
      </c>
      <c r="N38" s="1147">
        <v>1</v>
      </c>
      <c r="O38" s="1147">
        <v>0</v>
      </c>
      <c r="P38" s="1156">
        <v>0</v>
      </c>
      <c r="Q38" s="1156">
        <v>0</v>
      </c>
      <c r="R38" s="1156">
        <v>0</v>
      </c>
      <c r="S38" s="1344"/>
    </row>
    <row r="39" spans="1:26" ht="16.5" customHeight="1" x14ac:dyDescent="0.25">
      <c r="A39" s="1150"/>
      <c r="B39" s="1294" t="s">
        <v>404</v>
      </c>
      <c r="C39" s="638">
        <v>4800</v>
      </c>
      <c r="D39" s="638">
        <v>0</v>
      </c>
      <c r="E39" s="638">
        <v>55200</v>
      </c>
      <c r="F39" s="638">
        <v>0</v>
      </c>
      <c r="G39" s="638">
        <v>0</v>
      </c>
      <c r="H39" s="638">
        <v>0</v>
      </c>
      <c r="I39" s="640">
        <f t="shared" si="8"/>
        <v>60000</v>
      </c>
      <c r="J39" s="1329">
        <v>60000</v>
      </c>
      <c r="K39" s="1324">
        <f t="shared" si="0"/>
        <v>0</v>
      </c>
      <c r="L39" s="1147">
        <v>0.08</v>
      </c>
      <c r="M39" s="1147">
        <v>0</v>
      </c>
      <c r="N39" s="1147">
        <v>0.92</v>
      </c>
      <c r="O39" s="1147">
        <v>0</v>
      </c>
      <c r="P39" s="1156">
        <v>0</v>
      </c>
      <c r="Q39" s="1156">
        <v>0</v>
      </c>
      <c r="R39" s="1156">
        <v>0</v>
      </c>
      <c r="S39" s="1312">
        <v>4.5714285714285714E-2</v>
      </c>
    </row>
    <row r="40" spans="1:26" ht="16.5" customHeight="1" x14ac:dyDescent="0.25">
      <c r="A40" s="1150"/>
      <c r="B40" s="1294" t="s">
        <v>281</v>
      </c>
      <c r="C40" s="638">
        <v>85000</v>
      </c>
      <c r="D40" s="638">
        <v>0</v>
      </c>
      <c r="E40" s="638">
        <v>0</v>
      </c>
      <c r="F40" s="638">
        <v>0</v>
      </c>
      <c r="G40" s="638">
        <v>0</v>
      </c>
      <c r="H40" s="638">
        <v>0</v>
      </c>
      <c r="I40" s="640">
        <f t="shared" si="8"/>
        <v>85000</v>
      </c>
      <c r="J40" s="1329">
        <v>85000</v>
      </c>
      <c r="K40" s="1324">
        <f t="shared" si="0"/>
        <v>0</v>
      </c>
      <c r="L40" s="1147">
        <v>1</v>
      </c>
      <c r="M40" s="1147">
        <v>0</v>
      </c>
      <c r="N40" s="1147">
        <v>0</v>
      </c>
      <c r="O40" s="1147">
        <v>0</v>
      </c>
      <c r="P40" s="1156">
        <v>0</v>
      </c>
      <c r="Q40" s="1156">
        <v>0</v>
      </c>
      <c r="R40" s="1156"/>
      <c r="S40" s="1326"/>
      <c r="T40" s="1314"/>
    </row>
    <row r="41" spans="1:26" s="1314" customFormat="1" ht="16.5" customHeight="1" x14ac:dyDescent="0.25">
      <c r="A41" s="1145"/>
      <c r="B41" s="1294" t="s">
        <v>405</v>
      </c>
      <c r="C41" s="638">
        <v>26750</v>
      </c>
      <c r="D41" s="638">
        <v>0</v>
      </c>
      <c r="E41" s="638">
        <v>508250</v>
      </c>
      <c r="F41" s="638">
        <v>0</v>
      </c>
      <c r="G41" s="638">
        <v>0</v>
      </c>
      <c r="H41" s="638">
        <v>0</v>
      </c>
      <c r="I41" s="640">
        <f t="shared" si="8"/>
        <v>535000</v>
      </c>
      <c r="J41" s="1329">
        <v>535000</v>
      </c>
      <c r="K41" s="1324">
        <f t="shared" si="0"/>
        <v>0</v>
      </c>
      <c r="L41" s="1162">
        <v>0.05</v>
      </c>
      <c r="M41" s="1162">
        <v>0</v>
      </c>
      <c r="N41" s="1162">
        <v>0.95</v>
      </c>
      <c r="O41" s="1162">
        <v>0</v>
      </c>
      <c r="P41" s="1163">
        <v>0</v>
      </c>
      <c r="Q41" s="1163">
        <v>0</v>
      </c>
      <c r="R41" s="1163"/>
      <c r="S41" s="1312"/>
      <c r="T41" s="1312"/>
      <c r="U41" s="1312"/>
      <c r="V41" s="1312"/>
      <c r="W41" s="1312"/>
      <c r="X41" s="1312"/>
      <c r="Y41" s="1312"/>
      <c r="Z41" s="1312"/>
    </row>
    <row r="42" spans="1:26" ht="16.5" customHeight="1" x14ac:dyDescent="0.25">
      <c r="A42" s="1145"/>
      <c r="B42" s="1294" t="s">
        <v>406</v>
      </c>
      <c r="C42" s="638">
        <v>0</v>
      </c>
      <c r="D42" s="638">
        <v>0</v>
      </c>
      <c r="E42" s="638">
        <v>24750</v>
      </c>
      <c r="F42" s="638">
        <v>0</v>
      </c>
      <c r="G42" s="638">
        <v>0</v>
      </c>
      <c r="H42" s="638">
        <v>0</v>
      </c>
      <c r="I42" s="640">
        <f t="shared" si="8"/>
        <v>24750</v>
      </c>
      <c r="J42" s="1329">
        <v>24750</v>
      </c>
      <c r="K42" s="1324">
        <f t="shared" si="0"/>
        <v>0</v>
      </c>
      <c r="N42" s="1336"/>
      <c r="Q42" s="1312">
        <v>-7.9999999999999996E-6</v>
      </c>
    </row>
    <row r="43" spans="1:26" ht="16.5" customHeight="1" thickBot="1" x14ac:dyDescent="0.3">
      <c r="A43" s="1145"/>
      <c r="B43" s="1327" t="s">
        <v>407</v>
      </c>
      <c r="C43" s="638">
        <v>0</v>
      </c>
      <c r="D43" s="638">
        <v>0</v>
      </c>
      <c r="E43" s="638">
        <v>0</v>
      </c>
      <c r="F43" s="638">
        <v>0</v>
      </c>
      <c r="G43" s="638">
        <v>0</v>
      </c>
      <c r="H43" s="638">
        <f>'YGS Table A '!E51</f>
        <v>775300</v>
      </c>
      <c r="I43" s="640">
        <f t="shared" si="8"/>
        <v>775300</v>
      </c>
      <c r="J43" s="1329">
        <v>775300</v>
      </c>
      <c r="K43" s="1324">
        <f t="shared" si="0"/>
        <v>0</v>
      </c>
      <c r="N43" s="1336"/>
    </row>
    <row r="44" spans="1:26" ht="16.5" customHeight="1" thickBot="1" x14ac:dyDescent="0.3">
      <c r="A44" s="1145"/>
      <c r="B44" s="1365" t="s">
        <v>43</v>
      </c>
      <c r="C44" s="1177">
        <f>SUM(C37:C43)</f>
        <v>178670.49416117964</v>
      </c>
      <c r="D44" s="1177">
        <f t="shared" ref="D44:I44" si="9">SUM(D37:D43)</f>
        <v>0</v>
      </c>
      <c r="E44" s="1177">
        <f t="shared" si="9"/>
        <v>693200</v>
      </c>
      <c r="F44" s="1177">
        <f t="shared" si="9"/>
        <v>0</v>
      </c>
      <c r="G44" s="1177">
        <f t="shared" si="9"/>
        <v>0</v>
      </c>
      <c r="H44" s="1177">
        <f t="shared" si="9"/>
        <v>778179.5</v>
      </c>
      <c r="I44" s="1177">
        <f t="shared" si="9"/>
        <v>1650049.9941611798</v>
      </c>
      <c r="J44" s="1329"/>
      <c r="K44" s="1324">
        <f t="shared" si="0"/>
        <v>1650049.9941611798</v>
      </c>
      <c r="N44" s="1336"/>
    </row>
    <row r="45" spans="1:26" s="1314" customFormat="1" ht="16.5" customHeight="1" x14ac:dyDescent="0.25">
      <c r="A45" s="1145"/>
      <c r="B45" s="1289"/>
      <c r="C45" s="652"/>
      <c r="D45" s="652"/>
      <c r="E45" s="652"/>
      <c r="F45" s="652"/>
      <c r="G45" s="652"/>
      <c r="H45" s="652"/>
      <c r="I45" s="653"/>
      <c r="J45" s="1335"/>
      <c r="K45" s="1324">
        <f t="shared" si="0"/>
        <v>0</v>
      </c>
      <c r="N45" s="1336"/>
      <c r="O45" s="1312"/>
      <c r="P45" s="1312"/>
      <c r="Q45" s="1312"/>
      <c r="R45" s="1312"/>
      <c r="S45" s="1312"/>
      <c r="T45" s="1312"/>
      <c r="U45" s="1312"/>
      <c r="V45" s="1312"/>
      <c r="W45" s="1312"/>
      <c r="X45" s="1312"/>
      <c r="Y45" s="1312"/>
      <c r="Z45" s="1312"/>
    </row>
    <row r="46" spans="1:26" ht="16.5" customHeight="1" thickBot="1" x14ac:dyDescent="0.3">
      <c r="A46" s="1145"/>
      <c r="B46" s="2897" t="s">
        <v>28</v>
      </c>
      <c r="C46" s="2898"/>
      <c r="D46" s="2898"/>
      <c r="E46" s="2898"/>
      <c r="F46" s="2898"/>
      <c r="G46" s="2898"/>
      <c r="H46" s="2898"/>
      <c r="I46" s="2899"/>
      <c r="J46" s="1315"/>
      <c r="K46" s="1324">
        <f t="shared" si="0"/>
        <v>0</v>
      </c>
      <c r="N46" s="1336"/>
    </row>
    <row r="47" spans="1:26" ht="16.5" customHeight="1" x14ac:dyDescent="0.25">
      <c r="A47" s="1145"/>
      <c r="B47" s="1366" t="s">
        <v>7</v>
      </c>
      <c r="C47" s="1367">
        <f t="shared" ref="C47:H47" si="10">C11+C27*0.8+C29+C30+C38*0.8</f>
        <v>683336.15483870974</v>
      </c>
      <c r="D47" s="1367">
        <f t="shared" si="10"/>
        <v>5108.1252996245694</v>
      </c>
      <c r="E47" s="1367">
        <f t="shared" si="10"/>
        <v>772217.04938215273</v>
      </c>
      <c r="F47" s="1367">
        <f t="shared" si="10"/>
        <v>7142019.7336686486</v>
      </c>
      <c r="G47" s="1367">
        <f t="shared" si="10"/>
        <v>166071.03071967087</v>
      </c>
      <c r="H47" s="1367">
        <f t="shared" si="10"/>
        <v>24247.660446208589</v>
      </c>
      <c r="I47" s="1368">
        <f>SUM(C47:H47)</f>
        <v>8792999.7543550152</v>
      </c>
      <c r="K47" s="1324">
        <f t="shared" si="0"/>
        <v>8792999.7543550152</v>
      </c>
      <c r="N47" s="1336"/>
    </row>
    <row r="48" spans="1:26" ht="16.5" customHeight="1" x14ac:dyDescent="0.25">
      <c r="B48" s="1369" t="s">
        <v>8</v>
      </c>
      <c r="C48" s="1370">
        <f t="shared" ref="C48:H48" si="11">C22+C27*0.2+C31+C38*0.2</f>
        <v>548530.94110096234</v>
      </c>
      <c r="D48" s="1370">
        <f t="shared" si="11"/>
        <v>10396.876476479729</v>
      </c>
      <c r="E48" s="1370">
        <f t="shared" si="11"/>
        <v>532688.31069635972</v>
      </c>
      <c r="F48" s="1370">
        <f t="shared" si="11"/>
        <v>4610450.7670474872</v>
      </c>
      <c r="G48" s="1370">
        <f t="shared" si="11"/>
        <v>158883.38776834897</v>
      </c>
      <c r="H48" s="1370">
        <f t="shared" si="11"/>
        <v>35050.121479842128</v>
      </c>
      <c r="I48" s="1371">
        <f>SUM(C48:H48)</f>
        <v>5896000.4045694796</v>
      </c>
      <c r="K48" s="1324">
        <f t="shared" si="0"/>
        <v>5896000.4045694796</v>
      </c>
      <c r="L48" s="1372">
        <v>0.36290322580645162</v>
      </c>
      <c r="N48" s="1154">
        <v>0.63709677419354838</v>
      </c>
      <c r="O48" s="1314"/>
      <c r="P48" s="1314"/>
      <c r="Q48" s="1314"/>
      <c r="R48" s="1314"/>
      <c r="S48" s="1314"/>
    </row>
    <row r="49" spans="1:26" ht="16.5" customHeight="1" thickBot="1" x14ac:dyDescent="0.3">
      <c r="A49" s="1373"/>
      <c r="B49" s="1374" t="s">
        <v>12</v>
      </c>
      <c r="C49" s="1375">
        <f t="shared" ref="C49:H49" si="12">C35+C37+SUM(C39:C43)</f>
        <v>178670.49416117964</v>
      </c>
      <c r="D49" s="1375">
        <f t="shared" si="12"/>
        <v>0</v>
      </c>
      <c r="E49" s="1375">
        <f t="shared" si="12"/>
        <v>660200</v>
      </c>
      <c r="F49" s="1375">
        <f t="shared" si="12"/>
        <v>0</v>
      </c>
      <c r="G49" s="1375">
        <f t="shared" si="12"/>
        <v>0</v>
      </c>
      <c r="H49" s="1375">
        <f t="shared" si="12"/>
        <v>778179.5</v>
      </c>
      <c r="I49" s="1376">
        <f>SUM(C49:H49)</f>
        <v>1617049.9941611798</v>
      </c>
      <c r="K49" s="1324">
        <f t="shared" si="0"/>
        <v>1617049.9941611798</v>
      </c>
      <c r="L49" s="1336"/>
      <c r="N49" s="1336"/>
    </row>
    <row r="50" spans="1:26" ht="16.5" customHeight="1" thickBot="1" x14ac:dyDescent="0.3">
      <c r="A50" s="1145"/>
      <c r="B50" s="1328" t="s">
        <v>58</v>
      </c>
      <c r="C50" s="650">
        <f t="shared" ref="C50:I50" si="13">SUM(C47:C49)</f>
        <v>1410537.5901008518</v>
      </c>
      <c r="D50" s="650">
        <f t="shared" si="13"/>
        <v>15505.001776104298</v>
      </c>
      <c r="E50" s="650">
        <f t="shared" si="13"/>
        <v>1965105.3600785125</v>
      </c>
      <c r="F50" s="650">
        <f t="shared" si="13"/>
        <v>11752470.500716135</v>
      </c>
      <c r="G50" s="650">
        <f t="shared" si="13"/>
        <v>324954.41848801984</v>
      </c>
      <c r="H50" s="650">
        <f t="shared" si="13"/>
        <v>837477.28192605067</v>
      </c>
      <c r="I50" s="650">
        <f t="shared" si="13"/>
        <v>16306050.153085673</v>
      </c>
      <c r="J50" s="1329">
        <f>SUM(J7:J49)</f>
        <v>15406050</v>
      </c>
      <c r="K50" s="1324">
        <f t="shared" si="0"/>
        <v>900000.15308567323</v>
      </c>
      <c r="N50" s="1336"/>
      <c r="Z50" s="1377"/>
    </row>
    <row r="51" spans="1:26" x14ac:dyDescent="0.25">
      <c r="A51" s="1378"/>
      <c r="B51" s="1379"/>
      <c r="C51" s="1886"/>
      <c r="D51" s="1887"/>
      <c r="E51" s="1886"/>
      <c r="F51" s="1888"/>
      <c r="G51" s="1888"/>
      <c r="H51" s="1888"/>
      <c r="I51" s="1381"/>
      <c r="J51" s="1329">
        <f>J50-I50</f>
        <v>-900000.15308567323</v>
      </c>
      <c r="K51" s="1324">
        <f t="shared" si="0"/>
        <v>900000.15308567323</v>
      </c>
      <c r="N51" s="1336"/>
      <c r="O51" s="1314"/>
      <c r="P51" s="1314"/>
      <c r="Q51" s="1314"/>
      <c r="R51" s="1314"/>
      <c r="S51" s="1314"/>
      <c r="Z51" s="1377"/>
    </row>
    <row r="52" spans="1:26" x14ac:dyDescent="0.25">
      <c r="A52" s="1378"/>
      <c r="B52" s="1382"/>
      <c r="C52" s="1383"/>
      <c r="D52" s="1383"/>
      <c r="E52" s="1383"/>
      <c r="F52" s="1383"/>
      <c r="G52" s="1383"/>
      <c r="H52" s="1383"/>
      <c r="I52" s="1381"/>
      <c r="K52" s="1330"/>
      <c r="L52" s="1315"/>
      <c r="N52" s="1336"/>
      <c r="Z52" s="1377"/>
    </row>
    <row r="53" spans="1:26" x14ac:dyDescent="0.25">
      <c r="A53" s="1378"/>
      <c r="B53" s="1093"/>
      <c r="C53" s="1385"/>
      <c r="N53" s="1336"/>
      <c r="Z53" s="1377"/>
    </row>
    <row r="54" spans="1:26" x14ac:dyDescent="0.25">
      <c r="A54" s="1378"/>
      <c r="B54" s="1093"/>
      <c r="L54" s="1329"/>
      <c r="N54" s="1336"/>
    </row>
    <row r="55" spans="1:26" x14ac:dyDescent="0.25">
      <c r="A55" s="1378"/>
      <c r="B55" s="1386"/>
      <c r="D55" s="1377"/>
      <c r="N55" s="1336"/>
    </row>
    <row r="56" spans="1:26" x14ac:dyDescent="0.25">
      <c r="B56" s="1386"/>
      <c r="N56" s="1336"/>
    </row>
    <row r="57" spans="1:26" x14ac:dyDescent="0.25">
      <c r="B57" s="1386"/>
    </row>
    <row r="58" spans="1:26" x14ac:dyDescent="0.25">
      <c r="B58" s="1386"/>
    </row>
    <row r="59" spans="1:26" x14ac:dyDescent="0.25">
      <c r="B59" s="1386"/>
    </row>
    <row r="60" spans="1:26" s="1377" customFormat="1" x14ac:dyDescent="0.25">
      <c r="A60" s="1312"/>
      <c r="B60" s="1386"/>
      <c r="D60" s="1380"/>
      <c r="F60" s="1312"/>
      <c r="G60" s="1312"/>
      <c r="H60" s="1312"/>
      <c r="I60" s="1312"/>
      <c r="J60" s="1314"/>
      <c r="K60" s="1315"/>
      <c r="L60" s="1314"/>
      <c r="M60" s="1314"/>
      <c r="N60" s="1314"/>
      <c r="O60" s="1312"/>
      <c r="P60" s="1312"/>
      <c r="Q60" s="1312"/>
      <c r="R60" s="1312"/>
      <c r="S60" s="1312"/>
      <c r="T60" s="1312"/>
      <c r="U60" s="1312"/>
      <c r="V60" s="1312"/>
      <c r="W60" s="1312"/>
      <c r="X60" s="1312"/>
      <c r="Y60" s="1312"/>
      <c r="Z60" s="1312"/>
    </row>
    <row r="61" spans="1:26" s="1377" customFormat="1" x14ac:dyDescent="0.25">
      <c r="A61" s="1312"/>
      <c r="B61" s="1386"/>
      <c r="D61" s="1380"/>
      <c r="F61" s="1312"/>
      <c r="G61" s="1312"/>
      <c r="H61" s="1312"/>
      <c r="I61" s="1312"/>
      <c r="J61" s="1314"/>
      <c r="K61" s="1315"/>
      <c r="L61" s="1314"/>
      <c r="M61" s="1314"/>
      <c r="N61" s="1314"/>
      <c r="O61" s="1312"/>
      <c r="P61" s="1312"/>
      <c r="Q61" s="1312"/>
      <c r="R61" s="1312"/>
      <c r="S61" s="1312"/>
      <c r="T61" s="1312"/>
      <c r="U61" s="1312"/>
      <c r="V61" s="1312"/>
      <c r="W61" s="1312"/>
      <c r="X61" s="1312"/>
      <c r="Y61" s="1312"/>
      <c r="Z61" s="1312"/>
    </row>
    <row r="62" spans="1:26" s="1377" customFormat="1" x14ac:dyDescent="0.25">
      <c r="A62" s="1312"/>
      <c r="B62" s="1386"/>
      <c r="D62" s="1380"/>
      <c r="F62" s="1312"/>
      <c r="G62" s="1312"/>
      <c r="H62" s="1312"/>
      <c r="I62" s="1312"/>
      <c r="J62" s="1314"/>
      <c r="K62" s="1315"/>
      <c r="L62" s="1314"/>
      <c r="M62" s="1314"/>
      <c r="N62" s="1314"/>
      <c r="O62" s="1312"/>
      <c r="P62" s="1312"/>
      <c r="Q62" s="1312"/>
      <c r="R62" s="1312"/>
      <c r="S62" s="1312"/>
      <c r="T62" s="1312"/>
      <c r="U62" s="1312"/>
      <c r="V62" s="1312"/>
      <c r="W62" s="1312"/>
      <c r="X62" s="1312"/>
      <c r="Y62" s="1312"/>
      <c r="Z62" s="1312"/>
    </row>
    <row r="63" spans="1:26" s="1377" customFormat="1" x14ac:dyDescent="0.25">
      <c r="A63" s="1312"/>
      <c r="B63" s="1386"/>
      <c r="D63" s="1380"/>
      <c r="F63" s="1312"/>
      <c r="G63" s="1312"/>
      <c r="H63" s="1312"/>
      <c r="I63" s="1312"/>
      <c r="J63" s="1314"/>
      <c r="K63" s="1315"/>
      <c r="L63" s="1314"/>
      <c r="M63" s="1314"/>
      <c r="N63" s="1314"/>
      <c r="O63" s="1312"/>
      <c r="P63" s="1312"/>
      <c r="Q63" s="1312"/>
      <c r="R63" s="1312"/>
      <c r="S63" s="1312"/>
      <c r="T63" s="1312"/>
      <c r="U63" s="1312"/>
      <c r="V63" s="1312"/>
      <c r="W63" s="1312"/>
      <c r="X63" s="1312"/>
      <c r="Y63" s="1312"/>
      <c r="Z63" s="1312"/>
    </row>
  </sheetData>
  <mergeCells count="13">
    <mergeCell ref="B16:I16"/>
    <mergeCell ref="B1:I1"/>
    <mergeCell ref="B2:I2"/>
    <mergeCell ref="B3:I3"/>
    <mergeCell ref="B6:I6"/>
    <mergeCell ref="B13:I13"/>
    <mergeCell ref="B46:I46"/>
    <mergeCell ref="B17:I17"/>
    <mergeCell ref="B23:I23"/>
    <mergeCell ref="B24:I24"/>
    <mergeCell ref="B28:I28"/>
    <mergeCell ref="B33:I33"/>
    <mergeCell ref="B36:I36"/>
  </mergeCells>
  <pageMargins left="0.7" right="0.7" top="0.75" bottom="0.75" header="0.3" footer="0.3"/>
  <pageSetup scale="61" orientation="landscape" r:id="rId1"/>
  <headerFooter>
    <oddFooter>&amp;C&amp;1#&amp;"Calibri"&amp;12&amp;K008000Internal Use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tabColor rgb="FF00FF00"/>
  </sheetPr>
  <dimension ref="A1:F43"/>
  <sheetViews>
    <sheetView workbookViewId="0">
      <selection activeCell="H43" sqref="H43"/>
    </sheetView>
  </sheetViews>
  <sheetFormatPr defaultRowHeight="12.75" x14ac:dyDescent="0.2"/>
  <cols>
    <col min="1" max="1" width="22.7109375" style="1039" customWidth="1"/>
    <col min="2" max="2" width="14.85546875" style="1039" customWidth="1"/>
    <col min="3" max="3" width="10.7109375" style="1039" customWidth="1"/>
    <col min="4" max="4" width="14.42578125" style="1039" customWidth="1"/>
    <col min="5" max="5" width="22.7109375" style="1039" customWidth="1"/>
    <col min="6" max="6" width="19.140625" style="1039" customWidth="1"/>
    <col min="7" max="16384" width="9.140625" style="1039"/>
  </cols>
  <sheetData>
    <row r="1" spans="1:6" ht="20.25" x14ac:dyDescent="0.3">
      <c r="A1" s="2916" t="s">
        <v>59</v>
      </c>
      <c r="B1" s="2916"/>
      <c r="C1" s="2916"/>
      <c r="D1" s="2916"/>
      <c r="E1" s="2916"/>
      <c r="F1" s="1387"/>
    </row>
    <row r="2" spans="1:6" ht="20.25" x14ac:dyDescent="0.3">
      <c r="A2" s="2916" t="s">
        <v>418</v>
      </c>
      <c r="B2" s="2916"/>
      <c r="C2" s="2916"/>
      <c r="D2" s="2916"/>
      <c r="E2" s="2916"/>
      <c r="F2" s="1387"/>
    </row>
    <row r="3" spans="1:6" ht="20.25" x14ac:dyDescent="0.3">
      <c r="A3" s="2916" t="s">
        <v>60</v>
      </c>
      <c r="B3" s="2916"/>
      <c r="C3" s="2916"/>
      <c r="D3" s="2916"/>
      <c r="E3" s="2916"/>
      <c r="F3" s="1387"/>
    </row>
    <row r="4" spans="1:6" ht="15.75" x14ac:dyDescent="0.25">
      <c r="B4" s="2916"/>
      <c r="C4" s="2916"/>
      <c r="D4" s="2916"/>
    </row>
    <row r="32" spans="1:4" x14ac:dyDescent="0.2">
      <c r="A32" s="1194" t="s">
        <v>17</v>
      </c>
      <c r="B32" s="1388" t="s">
        <v>1</v>
      </c>
      <c r="C32" s="1194"/>
      <c r="D32" s="1389" t="s">
        <v>18</v>
      </c>
    </row>
    <row r="33" spans="1:5" x14ac:dyDescent="0.2">
      <c r="B33" s="1390"/>
      <c r="D33" s="1391"/>
    </row>
    <row r="34" spans="1:5" ht="15.75" x14ac:dyDescent="0.25">
      <c r="A34" s="1039" t="s">
        <v>53</v>
      </c>
      <c r="B34" s="1311">
        <f>'YGS Table C 2015'!C50</f>
        <v>1410537.5901008518</v>
      </c>
      <c r="D34" s="1392">
        <f t="shared" ref="D34:D39" si="0">SUM(B34/$B$41)</f>
        <v>8.6503940369270171E-2</v>
      </c>
      <c r="E34" s="1886"/>
    </row>
    <row r="35" spans="1:5" ht="15.75" x14ac:dyDescent="0.25">
      <c r="A35" s="1039" t="s">
        <v>19</v>
      </c>
      <c r="B35" s="1311">
        <f>'YGS Table C 2015'!D50</f>
        <v>15505.001776104298</v>
      </c>
      <c r="D35" s="1392">
        <f t="shared" si="0"/>
        <v>9.5087416207720982E-4</v>
      </c>
      <c r="E35" s="1887"/>
    </row>
    <row r="36" spans="1:5" ht="15.75" x14ac:dyDescent="0.25">
      <c r="A36" s="1039" t="s">
        <v>4</v>
      </c>
      <c r="B36" s="1311">
        <f>'YGS Table C 2015'!E50</f>
        <v>1965105.3600785125</v>
      </c>
      <c r="D36" s="1392">
        <f t="shared" si="0"/>
        <v>0.12051387930428056</v>
      </c>
      <c r="E36" s="1886"/>
    </row>
    <row r="37" spans="1:5" ht="15.75" x14ac:dyDescent="0.25">
      <c r="A37" s="1039" t="s">
        <v>2</v>
      </c>
      <c r="B37" s="1311">
        <f>'YGS Table C 2015'!F50</f>
        <v>11752470.500716135</v>
      </c>
      <c r="D37" s="1392">
        <f t="shared" si="0"/>
        <v>0.72074293838058368</v>
      </c>
      <c r="E37" s="1888"/>
    </row>
    <row r="38" spans="1:5" ht="15.75" x14ac:dyDescent="0.25">
      <c r="A38" s="1039" t="s">
        <v>14</v>
      </c>
      <c r="B38" s="1311">
        <f>'YGS Table C 2015'!G50</f>
        <v>324954.41848801984</v>
      </c>
      <c r="D38" s="1392">
        <f t="shared" si="0"/>
        <v>1.9928456949246359E-2</v>
      </c>
      <c r="E38" s="1888"/>
    </row>
    <row r="39" spans="1:5" ht="17.25" x14ac:dyDescent="0.35">
      <c r="A39" s="1039" t="s">
        <v>15</v>
      </c>
      <c r="B39" s="1837">
        <f>'YGS Table C 2015'!H50</f>
        <v>837477.28192605067</v>
      </c>
      <c r="D39" s="1394">
        <f t="shared" si="0"/>
        <v>5.1359910834542034E-2</v>
      </c>
      <c r="E39" s="1888"/>
    </row>
    <row r="40" spans="1:5" x14ac:dyDescent="0.2">
      <c r="D40" s="1395"/>
    </row>
    <row r="41" spans="1:5" x14ac:dyDescent="0.2">
      <c r="A41" s="1396" t="s">
        <v>0</v>
      </c>
      <c r="B41" s="1397">
        <f>SUM(B34:B39)</f>
        <v>16306050.153085673</v>
      </c>
      <c r="D41" s="1398">
        <f>SUM(D34:D39)</f>
        <v>1</v>
      </c>
    </row>
    <row r="43" spans="1:5" x14ac:dyDescent="0.2">
      <c r="A43" s="1399"/>
    </row>
  </sheetData>
  <mergeCells count="4">
    <mergeCell ref="A1:E1"/>
    <mergeCell ref="A2:E2"/>
    <mergeCell ref="A3:E3"/>
    <mergeCell ref="B4:D4"/>
  </mergeCells>
  <pageMargins left="0.7" right="0.7" top="0.75" bottom="0.75" header="0.3" footer="0.3"/>
  <pageSetup orientation="portrait" r:id="rId1"/>
  <headerFooter>
    <oddFooter>&amp;C&amp;1#&amp;"Calibri"&amp;12&amp;K008000Internal Use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34"/>
    <pageSetUpPr fitToPage="1"/>
  </sheetPr>
  <dimension ref="A1:N57"/>
  <sheetViews>
    <sheetView zoomScale="75" workbookViewId="0">
      <pane xSplit="2" ySplit="11" topLeftCell="D24" activePane="bottomRight" state="frozen"/>
      <selection activeCell="A13" sqref="A13"/>
      <selection pane="topRight" activeCell="A13" sqref="A13"/>
      <selection pane="bottomLeft" activeCell="A13" sqref="A13"/>
      <selection pane="bottomRight" activeCell="G38" sqref="G38:I41"/>
    </sheetView>
  </sheetViews>
  <sheetFormatPr defaultRowHeight="12.75" x14ac:dyDescent="0.2"/>
  <cols>
    <col min="1" max="1" width="4.5703125" customWidth="1"/>
    <col min="2" max="2" width="60.7109375" customWidth="1"/>
    <col min="3" max="5" width="20.85546875" customWidth="1"/>
    <col min="6" max="6" width="20.85546875" style="2" customWidth="1"/>
    <col min="7" max="10" width="20.7109375" customWidth="1"/>
    <col min="12" max="12" width="23.140625" customWidth="1"/>
    <col min="14" max="14" width="12.5703125" customWidth="1"/>
  </cols>
  <sheetData>
    <row r="1" spans="1:12" ht="23.25" x14ac:dyDescent="0.35">
      <c r="B1" s="501"/>
      <c r="C1" s="501"/>
      <c r="D1" s="501"/>
      <c r="E1" s="501"/>
      <c r="F1" s="501"/>
    </row>
    <row r="2" spans="1:12" ht="20.25" customHeight="1" x14ac:dyDescent="0.3">
      <c r="B2" s="2848" t="s">
        <v>75</v>
      </c>
      <c r="C2" s="2848"/>
      <c r="D2" s="2848"/>
      <c r="E2" s="2848"/>
      <c r="F2" s="2848"/>
      <c r="G2" s="2848"/>
      <c r="H2" s="2848"/>
      <c r="I2" s="2848"/>
      <c r="J2" s="2848"/>
    </row>
    <row r="3" spans="1:12" ht="20.25" customHeight="1" x14ac:dyDescent="0.3">
      <c r="A3" s="3"/>
      <c r="B3" s="2848" t="s">
        <v>61</v>
      </c>
      <c r="C3" s="2848"/>
      <c r="D3" s="2848"/>
      <c r="E3" s="2848"/>
      <c r="F3" s="2848"/>
      <c r="G3" s="2848"/>
      <c r="H3" s="2848"/>
      <c r="I3" s="2848"/>
      <c r="J3" s="2848"/>
    </row>
    <row r="4" spans="1:12" ht="20.25" customHeight="1" x14ac:dyDescent="0.3">
      <c r="A4" s="3"/>
      <c r="B4" s="2848" t="s">
        <v>297</v>
      </c>
      <c r="C4" s="2848"/>
      <c r="D4" s="2848"/>
      <c r="E4" s="2848"/>
      <c r="F4" s="2848"/>
      <c r="G4" s="2848"/>
      <c r="H4" s="2848"/>
      <c r="I4" s="2848"/>
      <c r="J4" s="2848"/>
    </row>
    <row r="5" spans="1:12" ht="20.25" customHeight="1" thickBot="1" x14ac:dyDescent="0.35">
      <c r="A5" s="3"/>
      <c r="B5" s="213"/>
      <c r="C5" s="213"/>
      <c r="D5" s="213"/>
      <c r="E5" s="502"/>
      <c r="F5" s="502"/>
      <c r="G5" s="502"/>
      <c r="H5" s="502"/>
    </row>
    <row r="6" spans="1:12" ht="22.5" customHeight="1" thickBot="1" x14ac:dyDescent="0.35">
      <c r="A6" s="5"/>
      <c r="B6" s="91"/>
      <c r="C6" s="2850" t="s">
        <v>289</v>
      </c>
      <c r="D6" s="2851"/>
      <c r="E6" s="2851"/>
      <c r="F6" s="2852"/>
      <c r="G6" s="2850" t="s">
        <v>293</v>
      </c>
      <c r="H6" s="2851"/>
      <c r="I6" s="2851"/>
      <c r="J6" s="2852"/>
    </row>
    <row r="7" spans="1:12" s="6" customFormat="1" ht="17.25" customHeight="1" x14ac:dyDescent="0.25">
      <c r="A7" s="15"/>
      <c r="B7" s="92"/>
      <c r="C7" s="157">
        <v>2012</v>
      </c>
      <c r="D7" s="158">
        <v>2012</v>
      </c>
      <c r="E7" s="159">
        <v>2012</v>
      </c>
      <c r="F7" s="160">
        <v>2012</v>
      </c>
      <c r="G7" s="157">
        <v>2012</v>
      </c>
      <c r="H7" s="158">
        <v>2012</v>
      </c>
      <c r="I7" s="159">
        <v>2012</v>
      </c>
      <c r="J7" s="160">
        <v>2012</v>
      </c>
    </row>
    <row r="8" spans="1:12" ht="17.25" customHeight="1" x14ac:dyDescent="0.25">
      <c r="A8" s="15"/>
      <c r="B8" s="93"/>
      <c r="C8" s="94" t="s">
        <v>36</v>
      </c>
      <c r="D8" s="149" t="s">
        <v>37</v>
      </c>
      <c r="E8" s="153" t="s">
        <v>38</v>
      </c>
      <c r="F8" s="151" t="s">
        <v>39</v>
      </c>
      <c r="G8" s="94" t="s">
        <v>36</v>
      </c>
      <c r="H8" s="149" t="s">
        <v>37</v>
      </c>
      <c r="I8" s="153" t="s">
        <v>38</v>
      </c>
      <c r="J8" s="151" t="s">
        <v>39</v>
      </c>
    </row>
    <row r="9" spans="1:12" ht="16.5" customHeight="1" x14ac:dyDescent="0.25">
      <c r="A9" s="15"/>
      <c r="B9" s="95" t="s">
        <v>109</v>
      </c>
      <c r="C9" s="94" t="s">
        <v>287</v>
      </c>
      <c r="D9" s="147" t="s">
        <v>287</v>
      </c>
      <c r="E9" s="148" t="s">
        <v>287</v>
      </c>
      <c r="F9" s="151" t="s">
        <v>40</v>
      </c>
      <c r="G9" s="94" t="s">
        <v>288</v>
      </c>
      <c r="H9" s="149" t="s">
        <v>288</v>
      </c>
      <c r="I9" s="153" t="s">
        <v>288</v>
      </c>
      <c r="J9" s="151" t="s">
        <v>40</v>
      </c>
    </row>
    <row r="10" spans="1:12" ht="18" customHeight="1" thickBot="1" x14ac:dyDescent="0.3">
      <c r="A10" s="15"/>
      <c r="B10" s="96"/>
      <c r="C10" s="145" t="s">
        <v>27</v>
      </c>
      <c r="D10" s="150" t="s">
        <v>27</v>
      </c>
      <c r="E10" s="154" t="s">
        <v>27</v>
      </c>
      <c r="F10" s="152" t="s">
        <v>0</v>
      </c>
      <c r="G10" s="145" t="s">
        <v>294</v>
      </c>
      <c r="H10" s="150" t="s">
        <v>294</v>
      </c>
      <c r="I10" s="154" t="s">
        <v>294</v>
      </c>
      <c r="J10" s="152" t="s">
        <v>0</v>
      </c>
    </row>
    <row r="11" spans="1:12" s="13" customFormat="1" ht="17.25" customHeight="1" thickBot="1" x14ac:dyDescent="0.3">
      <c r="A11" s="15"/>
      <c r="B11" s="697" t="s">
        <v>115</v>
      </c>
      <c r="C11" s="698"/>
      <c r="D11" s="698"/>
      <c r="E11" s="698"/>
      <c r="F11" s="698"/>
      <c r="G11" s="3"/>
      <c r="H11" s="3"/>
      <c r="I11" s="3"/>
      <c r="J11"/>
    </row>
    <row r="12" spans="1:12" s="15" customFormat="1" ht="15" x14ac:dyDescent="0.2">
      <c r="A12" s="16" t="s">
        <v>3</v>
      </c>
      <c r="B12" s="100" t="s">
        <v>222</v>
      </c>
      <c r="C12" s="770">
        <f>'2012-2013 Combined Table A1 '!G12</f>
        <v>2429000</v>
      </c>
      <c r="D12" s="770" t="e">
        <f>'2012-2013 Combined Table A1 '!H12</f>
        <v>#REF!</v>
      </c>
      <c r="E12" s="770" t="e">
        <f>'2012-2013 Combined Table A1 '!I12</f>
        <v>#REF!</v>
      </c>
      <c r="F12" s="770" t="e">
        <f>C12+D12+E12</f>
        <v>#REF!</v>
      </c>
      <c r="G12" s="770">
        <f>'YGS Table C 2012 Increased Fund'!I7</f>
        <v>2181500</v>
      </c>
      <c r="H12" s="770" t="e">
        <f>'CNG Table A'!#REF!</f>
        <v>#REF!</v>
      </c>
      <c r="I12" s="770" t="e">
        <f>'SCG Table A'!#REF!</f>
        <v>#REF!</v>
      </c>
      <c r="J12" s="771" t="e">
        <f t="shared" ref="J12:J17" si="0">SUM(G12:I12)</f>
        <v>#REF!</v>
      </c>
      <c r="L12" s="486"/>
    </row>
    <row r="13" spans="1:12" s="3" customFormat="1" ht="19.5" customHeight="1" thickBot="1" x14ac:dyDescent="0.25">
      <c r="A13" s="17" t="s">
        <v>9</v>
      </c>
      <c r="B13" s="621" t="s">
        <v>223</v>
      </c>
      <c r="C13" s="762" t="e">
        <f>'2012-2013 Combined Table A1 '!#REF!</f>
        <v>#REF!</v>
      </c>
      <c r="D13" s="762" t="e">
        <f>'2012-2013 Combined Table A1 '!#REF!</f>
        <v>#REF!</v>
      </c>
      <c r="E13" s="762" t="e">
        <f>'2012-2013 Combined Table A1 '!#REF!</f>
        <v>#REF!</v>
      </c>
      <c r="F13" s="762" t="e">
        <f>C13+D13+E13</f>
        <v>#REF!</v>
      </c>
      <c r="G13" s="762">
        <f>'YGS Table C 2012 Increased Fund'!I8</f>
        <v>35000</v>
      </c>
      <c r="H13" s="762" t="e">
        <f>'CNG Table A'!#REF!</f>
        <v>#REF!</v>
      </c>
      <c r="I13" s="762" t="e">
        <f>'SCG Table A'!#REF!</f>
        <v>#REF!</v>
      </c>
      <c r="J13" s="776" t="e">
        <f t="shared" si="0"/>
        <v>#REF!</v>
      </c>
      <c r="K13" s="15"/>
      <c r="L13" s="174"/>
    </row>
    <row r="14" spans="1:12" s="3" customFormat="1" ht="19.5" customHeight="1" thickBot="1" x14ac:dyDescent="0.3">
      <c r="A14" s="17" t="s">
        <v>9</v>
      </c>
      <c r="B14" s="487" t="s">
        <v>224</v>
      </c>
      <c r="C14" s="778" t="e">
        <f t="shared" ref="C14:I14" si="1">SUM(C12:C13)</f>
        <v>#REF!</v>
      </c>
      <c r="D14" s="764" t="e">
        <f t="shared" si="1"/>
        <v>#REF!</v>
      </c>
      <c r="E14" s="764" t="e">
        <f t="shared" si="1"/>
        <v>#REF!</v>
      </c>
      <c r="F14" s="764" t="e">
        <f t="shared" si="1"/>
        <v>#REF!</v>
      </c>
      <c r="G14" s="764">
        <f t="shared" si="1"/>
        <v>2216500</v>
      </c>
      <c r="H14" s="764" t="e">
        <f t="shared" si="1"/>
        <v>#REF!</v>
      </c>
      <c r="I14" s="764" t="e">
        <f t="shared" si="1"/>
        <v>#REF!</v>
      </c>
      <c r="J14" s="785" t="e">
        <f t="shared" si="0"/>
        <v>#REF!</v>
      </c>
      <c r="K14" s="15"/>
      <c r="L14" s="174"/>
    </row>
    <row r="15" spans="1:12" s="3" customFormat="1" ht="24" customHeight="1" x14ac:dyDescent="0.2">
      <c r="A15" s="16" t="s">
        <v>9</v>
      </c>
      <c r="B15" s="871" t="s">
        <v>149</v>
      </c>
      <c r="C15" s="763">
        <f>'2012-2013 Combined Table A1 '!G13</f>
        <v>3635000</v>
      </c>
      <c r="D15" s="763" t="e">
        <f>'2012-2013 Combined Table A1 '!H13</f>
        <v>#REF!</v>
      </c>
      <c r="E15" s="763" t="e">
        <f>'2012-2013 Combined Table A1 '!I13</f>
        <v>#REF!</v>
      </c>
      <c r="F15" s="763" t="e">
        <f>C15+D15+E15</f>
        <v>#REF!</v>
      </c>
      <c r="G15" s="763">
        <f>'YGS Table C 2012 Increased Fund'!I10</f>
        <v>3101859</v>
      </c>
      <c r="H15" s="763" t="e">
        <f>'CNG Table A'!#REF!</f>
        <v>#REF!</v>
      </c>
      <c r="I15" s="763" t="e">
        <f>'SCG Table A'!#REF!</f>
        <v>#REF!</v>
      </c>
      <c r="J15" s="777" t="e">
        <f t="shared" si="0"/>
        <v>#REF!</v>
      </c>
      <c r="L15" s="174"/>
    </row>
    <row r="16" spans="1:12" s="3" customFormat="1" ht="18" customHeight="1" x14ac:dyDescent="0.2">
      <c r="A16" s="16" t="s">
        <v>9</v>
      </c>
      <c r="B16" s="871" t="s">
        <v>227</v>
      </c>
      <c r="C16" s="760">
        <f>'2012-2013 Combined Table A1 '!G14</f>
        <v>650000</v>
      </c>
      <c r="D16" s="760" t="e">
        <f>'2012-2013 Combined Table A1 '!H14</f>
        <v>#REF!</v>
      </c>
      <c r="E16" s="760" t="e">
        <f>'2012-2013 Combined Table A1 '!I14</f>
        <v>#REF!</v>
      </c>
      <c r="F16" s="760" t="e">
        <f>C16+D16+E16</f>
        <v>#REF!</v>
      </c>
      <c r="G16" s="760">
        <f>'YGS Table C 2012 Increased Fund'!I11</f>
        <v>599999.80000000005</v>
      </c>
      <c r="H16" s="760" t="e">
        <f>'CNG Table A'!#REF!</f>
        <v>#REF!</v>
      </c>
      <c r="I16" s="760" t="e">
        <f>'SCG Table A'!#REF!</f>
        <v>#REF!</v>
      </c>
      <c r="J16" s="772" t="e">
        <f t="shared" si="0"/>
        <v>#REF!</v>
      </c>
      <c r="L16" s="174"/>
    </row>
    <row r="17" spans="1:12" s="3" customFormat="1" ht="18" customHeight="1" thickBot="1" x14ac:dyDescent="0.25">
      <c r="A17" s="16" t="s">
        <v>9</v>
      </c>
      <c r="B17" s="99" t="s">
        <v>110</v>
      </c>
      <c r="C17" s="762">
        <f>'2012-2013 Combined Table A1 '!G15</f>
        <v>70000</v>
      </c>
      <c r="D17" s="762" t="e">
        <f>'2012-2013 Combined Table A1 '!H15</f>
        <v>#REF!</v>
      </c>
      <c r="E17" s="762" t="e">
        <f>'2012-2013 Combined Table A1 '!I15</f>
        <v>#REF!</v>
      </c>
      <c r="F17" s="762" t="e">
        <f>C17+D17+E17</f>
        <v>#REF!</v>
      </c>
      <c r="G17" s="762">
        <f>'YGS Table C 2012 Increased Fund'!I12</f>
        <v>70000</v>
      </c>
      <c r="H17" s="762" t="e">
        <f>'CNG Table A'!#REF!</f>
        <v>#REF!</v>
      </c>
      <c r="I17" s="762" t="e">
        <f>'SCG Table A'!#REF!</f>
        <v>#REF!</v>
      </c>
      <c r="J17" s="776" t="e">
        <f t="shared" si="0"/>
        <v>#REF!</v>
      </c>
      <c r="L17" s="174"/>
    </row>
    <row r="18" spans="1:12" ht="16.5" thickBot="1" x14ac:dyDescent="0.3">
      <c r="A18" s="15"/>
      <c r="B18" s="233" t="s">
        <v>30</v>
      </c>
      <c r="C18" s="927" t="e">
        <f t="shared" ref="C18:J18" si="2">SUM(C14:C17)</f>
        <v>#REF!</v>
      </c>
      <c r="D18" s="928" t="e">
        <f t="shared" si="2"/>
        <v>#REF!</v>
      </c>
      <c r="E18" s="928" t="e">
        <f t="shared" si="2"/>
        <v>#REF!</v>
      </c>
      <c r="F18" s="928" t="e">
        <f t="shared" si="2"/>
        <v>#REF!</v>
      </c>
      <c r="G18" s="928">
        <f t="shared" si="2"/>
        <v>5988358.7999999998</v>
      </c>
      <c r="H18" s="928" t="e">
        <f t="shared" si="2"/>
        <v>#REF!</v>
      </c>
      <c r="I18" s="928" t="e">
        <f t="shared" si="2"/>
        <v>#REF!</v>
      </c>
      <c r="J18" s="929" t="e">
        <f t="shared" si="2"/>
        <v>#REF!</v>
      </c>
      <c r="L18" s="174"/>
    </row>
    <row r="19" spans="1:12" s="3" customFormat="1" ht="15.75" x14ac:dyDescent="0.25">
      <c r="A19" s="15"/>
      <c r="B19" s="164"/>
      <c r="C19" s="161"/>
      <c r="D19" s="161"/>
      <c r="E19" s="161"/>
      <c r="F19" s="161"/>
      <c r="G19" s="162"/>
      <c r="H19" s="162"/>
      <c r="I19" s="162"/>
      <c r="J19" s="161"/>
      <c r="L19" s="174"/>
    </row>
    <row r="20" spans="1:12" s="3" customFormat="1" ht="15.75" x14ac:dyDescent="0.25">
      <c r="A20" s="13"/>
      <c r="B20" s="27" t="s">
        <v>6</v>
      </c>
      <c r="C20" s="161"/>
      <c r="D20" s="161"/>
      <c r="E20" s="161"/>
      <c r="F20" s="162"/>
      <c r="L20" s="174"/>
    </row>
    <row r="21" spans="1:12" ht="17.25" customHeight="1" thickBot="1" x14ac:dyDescent="0.3">
      <c r="A21" s="13"/>
      <c r="B21" s="2853" t="s">
        <v>111</v>
      </c>
      <c r="C21" s="2853"/>
      <c r="D21" s="2853"/>
      <c r="E21" s="2853"/>
      <c r="F21" s="2853"/>
      <c r="L21" s="174"/>
    </row>
    <row r="22" spans="1:12" ht="15.75" thickBot="1" x14ac:dyDescent="0.25">
      <c r="A22" s="18" t="s">
        <v>10</v>
      </c>
      <c r="B22" s="179" t="s">
        <v>112</v>
      </c>
      <c r="C22" s="214">
        <f>'2012-2013 Combined Table A1 '!G20</f>
        <v>2009000</v>
      </c>
      <c r="D22" s="214" t="e">
        <f>'2012-2013 Combined Table A1 '!H20</f>
        <v>#REF!</v>
      </c>
      <c r="E22" s="214" t="e">
        <f>'2012-2013 Combined Table A1 '!I20</f>
        <v>#REF!</v>
      </c>
      <c r="F22" s="214" t="e">
        <f>C22+D22+E22</f>
        <v>#REF!</v>
      </c>
      <c r="G22" s="214">
        <f>'YGS Table C 2012 Increased Fund'!I16</f>
        <v>3136612</v>
      </c>
      <c r="H22" s="214" t="e">
        <f>'CNG Table A'!#REF!</f>
        <v>#REF!</v>
      </c>
      <c r="I22" s="467" t="e">
        <f>'SCG Table A'!#REF!</f>
        <v>#REF!</v>
      </c>
      <c r="J22" s="469" t="e">
        <f>G22+H22+I22</f>
        <v>#REF!</v>
      </c>
      <c r="L22" s="174"/>
    </row>
    <row r="23" spans="1:12" s="163" customFormat="1" ht="16.5" thickBot="1" x14ac:dyDescent="0.3">
      <c r="A23" s="15"/>
      <c r="B23" s="227" t="s">
        <v>113</v>
      </c>
      <c r="C23" s="215">
        <f>SUM(C22)</f>
        <v>2009000</v>
      </c>
      <c r="D23" s="229" t="e">
        <f>SUM(D22)</f>
        <v>#REF!</v>
      </c>
      <c r="E23" s="215" t="e">
        <f>SUM(E22)</f>
        <v>#REF!</v>
      </c>
      <c r="F23" s="216" t="e">
        <f>F22</f>
        <v>#REF!</v>
      </c>
      <c r="G23" s="215">
        <f>SUM(G22)</f>
        <v>3136612</v>
      </c>
      <c r="H23" s="229" t="e">
        <f>SUM(H22)</f>
        <v>#REF!</v>
      </c>
      <c r="I23" s="215" t="e">
        <f>SUM(I22)</f>
        <v>#REF!</v>
      </c>
      <c r="J23" s="216" t="e">
        <f>SUM(G23:I23)</f>
        <v>#REF!</v>
      </c>
      <c r="L23" s="174"/>
    </row>
    <row r="24" spans="1:12" s="163" customFormat="1" ht="16.5" thickBot="1" x14ac:dyDescent="0.3">
      <c r="A24" s="15"/>
      <c r="B24" s="27" t="s">
        <v>114</v>
      </c>
      <c r="F24" s="162"/>
      <c r="L24" s="174"/>
    </row>
    <row r="25" spans="1:12" ht="17.25" customHeight="1" x14ac:dyDescent="0.2">
      <c r="A25" s="18" t="s">
        <v>10</v>
      </c>
      <c r="B25" s="100" t="s">
        <v>116</v>
      </c>
      <c r="C25" s="214">
        <f>'2012-2013 Combined Table A1 '!G23</f>
        <v>1375000</v>
      </c>
      <c r="D25" s="214" t="e">
        <f>'2012-2013 Combined Table A1 '!H23</f>
        <v>#REF!</v>
      </c>
      <c r="E25" s="214" t="e">
        <f>'2012-2013 Combined Table A1 '!I23</f>
        <v>#REF!</v>
      </c>
      <c r="F25" s="467" t="e">
        <f>C25+D25+E25</f>
        <v>#REF!</v>
      </c>
      <c r="G25" s="214">
        <f>'YGS Table C 2012 Increased Fund'!I20</f>
        <v>2474834</v>
      </c>
      <c r="H25" s="770" t="e">
        <f>'CNG Table A'!#REF!</f>
        <v>#REF!</v>
      </c>
      <c r="I25" s="770" t="e">
        <f>'SCG Table A'!#REF!</f>
        <v>#REF!</v>
      </c>
      <c r="J25" s="771" t="e">
        <f>SUM(G25:I25)</f>
        <v>#REF!</v>
      </c>
      <c r="L25" s="174"/>
    </row>
    <row r="26" spans="1:12" ht="17.25" customHeight="1" thickBot="1" x14ac:dyDescent="0.25">
      <c r="A26" s="18" t="s">
        <v>10</v>
      </c>
      <c r="B26" s="99" t="s">
        <v>117</v>
      </c>
      <c r="C26" s="466">
        <f>'2012-2013 Combined Table A1 '!G24</f>
        <v>360000</v>
      </c>
      <c r="D26" s="466" t="e">
        <f>'2012-2013 Combined Table A1 '!H24</f>
        <v>#REF!</v>
      </c>
      <c r="E26" s="466" t="e">
        <f>'2012-2013 Combined Table A1 '!I24</f>
        <v>#REF!</v>
      </c>
      <c r="F26" s="471" t="e">
        <f>C26+D26+E26</f>
        <v>#REF!</v>
      </c>
      <c r="G26" s="466">
        <f>'YGS Table C 2012 Increased Fund'!I21</f>
        <v>324548</v>
      </c>
      <c r="H26" s="773" t="e">
        <f>'CNG Table A'!#REF!</f>
        <v>#REF!</v>
      </c>
      <c r="I26" s="773" t="e">
        <f>'SCG Table A'!#REF!</f>
        <v>#REF!</v>
      </c>
      <c r="J26" s="774" t="e">
        <f>SUM(G26:I26)</f>
        <v>#REF!</v>
      </c>
      <c r="L26" s="174"/>
    </row>
    <row r="27" spans="1:12" ht="16.5" thickBot="1" x14ac:dyDescent="0.3">
      <c r="A27" s="15"/>
      <c r="B27" s="226" t="s">
        <v>118</v>
      </c>
      <c r="C27" s="689">
        <f>C25+C26</f>
        <v>1735000</v>
      </c>
      <c r="D27" s="689" t="e">
        <f>D25+D26</f>
        <v>#REF!</v>
      </c>
      <c r="E27" s="689" t="e">
        <f>E25+E26</f>
        <v>#REF!</v>
      </c>
      <c r="F27" s="689" t="e">
        <f>F25+F26</f>
        <v>#REF!</v>
      </c>
      <c r="G27" s="689">
        <f>SUM(G25:G26)</f>
        <v>2799382</v>
      </c>
      <c r="H27" s="689" t="e">
        <f>SUM(H25:H26)</f>
        <v>#REF!</v>
      </c>
      <c r="I27" s="689" t="e">
        <f>SUM(I25:I26)</f>
        <v>#REF!</v>
      </c>
      <c r="J27" s="897" t="e">
        <f>SUM(G27:I27)</f>
        <v>#REF!</v>
      </c>
      <c r="L27" s="174"/>
    </row>
    <row r="28" spans="1:12" ht="15.75" thickBot="1" x14ac:dyDescent="0.25">
      <c r="A28" s="18" t="s">
        <v>10</v>
      </c>
      <c r="B28" s="690" t="s">
        <v>245</v>
      </c>
      <c r="C28" s="466">
        <f>'2012-2013 Combined Table A1 '!G26</f>
        <v>147000</v>
      </c>
      <c r="D28" s="466" t="e">
        <f>'2012-2013 Combined Table A1 '!H26</f>
        <v>#REF!</v>
      </c>
      <c r="E28" s="466" t="e">
        <f>'2012-2013 Combined Table A1 '!I26</f>
        <v>#REF!</v>
      </c>
      <c r="F28" s="466" t="e">
        <f>SUM(C28:E28)</f>
        <v>#REF!</v>
      </c>
      <c r="G28" s="691">
        <f>'YGS Table C 2012 Increased Fund'!I23</f>
        <v>246081</v>
      </c>
      <c r="H28" s="691" t="e">
        <f>'CNG Table A'!#REF!</f>
        <v>#REF!</v>
      </c>
      <c r="I28" s="467" t="e">
        <f>'SCG Table A'!#REF!</f>
        <v>#REF!</v>
      </c>
      <c r="J28" s="696" t="e">
        <f>SUM(G28:I28)</f>
        <v>#REF!</v>
      </c>
      <c r="L28" s="174"/>
    </row>
    <row r="29" spans="1:12" s="1" customFormat="1" ht="16.5" thickBot="1" x14ac:dyDescent="0.3">
      <c r="A29" s="19"/>
      <c r="B29" s="26" t="s">
        <v>206</v>
      </c>
      <c r="C29" s="101">
        <f t="shared" ref="C29:J29" si="3">C28+C27+C23</f>
        <v>3891000</v>
      </c>
      <c r="D29" s="101" t="e">
        <f t="shared" si="3"/>
        <v>#REF!</v>
      </c>
      <c r="E29" s="101" t="e">
        <f t="shared" si="3"/>
        <v>#REF!</v>
      </c>
      <c r="F29" s="101" t="e">
        <f t="shared" si="3"/>
        <v>#REF!</v>
      </c>
      <c r="G29" s="101">
        <f t="shared" si="3"/>
        <v>6182075</v>
      </c>
      <c r="H29" s="101" t="e">
        <f t="shared" si="3"/>
        <v>#REF!</v>
      </c>
      <c r="I29" s="101" t="e">
        <f t="shared" si="3"/>
        <v>#REF!</v>
      </c>
      <c r="J29" s="101" t="e">
        <f t="shared" si="3"/>
        <v>#REF!</v>
      </c>
      <c r="L29" s="174"/>
    </row>
    <row r="30" spans="1:12" s="1" customFormat="1" ht="15.75" x14ac:dyDescent="0.25">
      <c r="A30" s="19"/>
      <c r="B30" s="27"/>
      <c r="C30" s="161"/>
      <c r="D30" s="161"/>
      <c r="E30" s="161"/>
      <c r="F30" s="161"/>
      <c r="G30" s="485"/>
      <c r="L30" s="174"/>
    </row>
    <row r="31" spans="1:12" ht="16.5" thickBot="1" x14ac:dyDescent="0.3">
      <c r="A31" s="15"/>
      <c r="B31" s="27" t="s">
        <v>108</v>
      </c>
      <c r="C31" s="146"/>
      <c r="D31" s="146"/>
      <c r="E31" s="146"/>
      <c r="F31" s="146"/>
      <c r="G31" s="13"/>
      <c r="H31" s="13"/>
      <c r="I31" s="13"/>
      <c r="J31" s="13"/>
      <c r="K31" s="13"/>
      <c r="L31" s="174"/>
    </row>
    <row r="32" spans="1:12" s="3" customFormat="1" ht="15.75" x14ac:dyDescent="0.2">
      <c r="A32" s="17" t="s">
        <v>9</v>
      </c>
      <c r="B32" s="692" t="s">
        <v>147</v>
      </c>
      <c r="C32" s="214">
        <f>'2012-2013 Combined Table A1 '!G35</f>
        <v>75000</v>
      </c>
      <c r="D32" s="214" t="e">
        <f>'2012-2013 Combined Table A1 '!H35</f>
        <v>#REF!</v>
      </c>
      <c r="E32" s="214" t="e">
        <f>'2012-2013 Combined Table A1 '!I35</f>
        <v>#REF!</v>
      </c>
      <c r="F32" s="467" t="e">
        <f>C32+D32+E32</f>
        <v>#REF!</v>
      </c>
      <c r="G32" s="214">
        <f>'YGS Table C 2012 Increased Fund'!I27</f>
        <v>75000</v>
      </c>
      <c r="H32" s="770" t="e">
        <f>'CNG Table A'!#REF!</f>
        <v>#REF!</v>
      </c>
      <c r="I32" s="770" t="e">
        <f>'SCG Table A'!#REF!</f>
        <v>#REF!</v>
      </c>
      <c r="J32" s="771" t="e">
        <f>SUM(G32:I32)</f>
        <v>#REF!</v>
      </c>
      <c r="K32" s="15"/>
      <c r="L32" s="174"/>
    </row>
    <row r="33" spans="1:14" s="3" customFormat="1" ht="15" x14ac:dyDescent="0.2">
      <c r="A33" s="17" t="s">
        <v>9</v>
      </c>
      <c r="B33" s="693" t="s">
        <v>178</v>
      </c>
      <c r="C33" s="465">
        <f>'2012-2013 Combined Table A1 '!G36</f>
        <v>100000</v>
      </c>
      <c r="D33" s="465" t="e">
        <f>'2012-2013 Combined Table A1 '!H36</f>
        <v>#REF!</v>
      </c>
      <c r="E33" s="465" t="e">
        <f>'2012-2013 Combined Table A1 '!I36</f>
        <v>#REF!</v>
      </c>
      <c r="F33" s="470" t="e">
        <f>C33+D33+E33</f>
        <v>#REF!</v>
      </c>
      <c r="G33" s="465">
        <f>'YGS Table C 2012 Increased Fund'!I28</f>
        <v>135000</v>
      </c>
      <c r="H33" s="760" t="e">
        <f>'CNG Table A'!#REF!</f>
        <v>#REF!</v>
      </c>
      <c r="I33" s="760" t="e">
        <f>'SCG Table A'!#REF!</f>
        <v>#REF!</v>
      </c>
      <c r="J33" s="772" t="e">
        <f>SUM(G33:I33)</f>
        <v>#REF!</v>
      </c>
      <c r="K33" s="15"/>
      <c r="L33" s="174"/>
    </row>
    <row r="34" spans="1:14" s="3" customFormat="1" ht="16.5" thickBot="1" x14ac:dyDescent="0.25">
      <c r="A34" s="17" t="s">
        <v>10</v>
      </c>
      <c r="B34" s="694" t="s">
        <v>179</v>
      </c>
      <c r="C34" s="466">
        <f>'2012-2013 Combined Table A1 '!G37</f>
        <v>75000</v>
      </c>
      <c r="D34" s="466" t="e">
        <f>'2012-2013 Combined Table A1 '!H37</f>
        <v>#REF!</v>
      </c>
      <c r="E34" s="466" t="e">
        <f>'2012-2013 Combined Table A1 '!I37</f>
        <v>#REF!</v>
      </c>
      <c r="F34" s="471" t="e">
        <f>C34+D34+E34</f>
        <v>#REF!</v>
      </c>
      <c r="G34" s="466">
        <f>'YGS Table C 2012 Increased Fund'!I29</f>
        <v>75000</v>
      </c>
      <c r="H34" s="773" t="e">
        <f>'CNG Table A'!#REF!</f>
        <v>#REF!</v>
      </c>
      <c r="I34" s="773" t="e">
        <f>'SCG Table A'!#REF!</f>
        <v>#REF!</v>
      </c>
      <c r="J34" s="774" t="e">
        <f>SUM(G34:I34)</f>
        <v>#REF!</v>
      </c>
      <c r="K34" s="15"/>
      <c r="L34" s="174"/>
    </row>
    <row r="35" spans="1:14" s="1" customFormat="1" ht="16.5" thickBot="1" x14ac:dyDescent="0.3">
      <c r="A35" s="19"/>
      <c r="B35" s="232" t="s">
        <v>119</v>
      </c>
      <c r="C35" s="489">
        <f t="shared" ref="C35:J35" si="4">SUM(C32:C34)</f>
        <v>250000</v>
      </c>
      <c r="D35" s="489" t="e">
        <f t="shared" si="4"/>
        <v>#REF!</v>
      </c>
      <c r="E35" s="489" t="e">
        <f t="shared" si="4"/>
        <v>#REF!</v>
      </c>
      <c r="F35" s="489" t="e">
        <f t="shared" si="4"/>
        <v>#REF!</v>
      </c>
      <c r="G35" s="489">
        <f t="shared" si="4"/>
        <v>285000</v>
      </c>
      <c r="H35" s="489" t="e">
        <f t="shared" si="4"/>
        <v>#REF!</v>
      </c>
      <c r="I35" s="489" t="e">
        <f t="shared" si="4"/>
        <v>#REF!</v>
      </c>
      <c r="J35" s="489" t="e">
        <f t="shared" si="4"/>
        <v>#REF!</v>
      </c>
      <c r="L35" s="174"/>
    </row>
    <row r="36" spans="1:14" s="1" customFormat="1" ht="15.75" x14ac:dyDescent="0.25">
      <c r="A36" s="19"/>
      <c r="B36" s="27"/>
      <c r="C36" s="161"/>
      <c r="D36" s="161"/>
      <c r="E36" s="161"/>
      <c r="F36" s="161"/>
      <c r="L36" s="174"/>
    </row>
    <row r="37" spans="1:14" s="163" customFormat="1" ht="16.5" thickBot="1" x14ac:dyDescent="0.3">
      <c r="A37" s="13"/>
      <c r="B37" s="27" t="s">
        <v>120</v>
      </c>
      <c r="C37" s="161"/>
      <c r="D37" s="161"/>
      <c r="E37" s="161"/>
      <c r="F37" s="161"/>
      <c r="J37" s="518"/>
      <c r="L37" s="174"/>
    </row>
    <row r="38" spans="1:14" s="163" customFormat="1" ht="15" x14ac:dyDescent="0.2">
      <c r="A38" s="15" t="s">
        <v>11</v>
      </c>
      <c r="B38" s="695" t="s">
        <v>168</v>
      </c>
      <c r="C38" s="214">
        <f>'2012-2013 Combined Table A1 '!G47</f>
        <v>60000</v>
      </c>
      <c r="D38" s="214" t="e">
        <f>'2012-2013 Combined Table A1 '!H47</f>
        <v>#REF!</v>
      </c>
      <c r="E38" s="467" t="e">
        <f>'2012-2013 Combined Table A1 '!I47</f>
        <v>#REF!</v>
      </c>
      <c r="F38" s="467" t="e">
        <f>C38+D38+E38</f>
        <v>#REF!</v>
      </c>
      <c r="G38" s="214">
        <f>'YGS Table C 2012 Increased Fund'!I30</f>
        <v>52500</v>
      </c>
      <c r="H38" s="770" t="e">
        <f>'CNG Table A'!#REF!</f>
        <v>#REF!</v>
      </c>
      <c r="I38" s="770" t="e">
        <f>'SCG Table A'!#REF!</f>
        <v>#REF!</v>
      </c>
      <c r="J38" s="97" t="e">
        <f>SUM(G38:I38)</f>
        <v>#REF!</v>
      </c>
      <c r="L38" s="174"/>
    </row>
    <row r="39" spans="1:14" s="163" customFormat="1" ht="15" x14ac:dyDescent="0.2">
      <c r="A39" s="15" t="s">
        <v>11</v>
      </c>
      <c r="B39" s="99" t="s">
        <v>121</v>
      </c>
      <c r="C39" s="465">
        <f>'2012-2013 Combined Table A1 '!G48</f>
        <v>76500</v>
      </c>
      <c r="D39" s="465" t="e">
        <f>'2012-2013 Combined Table A1 '!H48</f>
        <v>#REF!</v>
      </c>
      <c r="E39" s="470" t="e">
        <f>'2012-2013 Combined Table A1 '!I48</f>
        <v>#REF!</v>
      </c>
      <c r="F39" s="470" t="e">
        <f>C39+D39+E39</f>
        <v>#REF!</v>
      </c>
      <c r="G39" s="465">
        <f>'YGS Table C 2012 Increased Fund'!I31</f>
        <v>88500</v>
      </c>
      <c r="H39" s="760" t="e">
        <f>'CNG Table A'!#REF!</f>
        <v>#REF!</v>
      </c>
      <c r="I39" s="760" t="e">
        <f>'SCG Table A'!#REF!</f>
        <v>#REF!</v>
      </c>
      <c r="J39" s="766" t="e">
        <f>SUM(G39:I39)</f>
        <v>#REF!</v>
      </c>
      <c r="L39" s="174"/>
    </row>
    <row r="40" spans="1:14" s="163" customFormat="1" ht="15" x14ac:dyDescent="0.2">
      <c r="A40" s="15" t="s">
        <v>11</v>
      </c>
      <c r="B40" s="99" t="s">
        <v>122</v>
      </c>
      <c r="C40" s="465">
        <f>'2012-2013 Combined Table A1 '!G49</f>
        <v>535000</v>
      </c>
      <c r="D40" s="465">
        <f>'2012-2013 Combined Table A1 '!H49</f>
        <v>486000</v>
      </c>
      <c r="E40" s="470">
        <f>'2012-2013 Combined Table A1 '!I49</f>
        <v>486000</v>
      </c>
      <c r="F40" s="470">
        <f>C40+D40+E40</f>
        <v>1507000</v>
      </c>
      <c r="G40" s="465">
        <f>'YGS Table C 2012 Increased Fund'!I32</f>
        <v>426000</v>
      </c>
      <c r="H40" s="760" t="e">
        <f>'CNG Table A'!#REF!</f>
        <v>#REF!</v>
      </c>
      <c r="I40" s="760" t="e">
        <f>'SCG Table A'!#REF!</f>
        <v>#REF!</v>
      </c>
      <c r="J40" s="766" t="e">
        <f>SUM(G40:I40)</f>
        <v>#REF!</v>
      </c>
      <c r="L40" s="174"/>
    </row>
    <row r="41" spans="1:14" s="163" customFormat="1" ht="15.75" thickBot="1" x14ac:dyDescent="0.25">
      <c r="A41" s="15" t="s">
        <v>11</v>
      </c>
      <c r="B41" s="490" t="s">
        <v>221</v>
      </c>
      <c r="C41" s="466">
        <f>'2012-2013 Combined Table A1 '!G50</f>
        <v>24750</v>
      </c>
      <c r="D41" s="466" t="e">
        <f>'2012-2013 Combined Table A1 '!H50</f>
        <v>#REF!</v>
      </c>
      <c r="E41" s="466" t="e">
        <f>'2012-2013 Combined Table A1 '!I50</f>
        <v>#REF!</v>
      </c>
      <c r="F41" s="471" t="e">
        <f>C41+D41+E41</f>
        <v>#REF!</v>
      </c>
      <c r="G41" s="466">
        <f>'YGS Table C 2012 Increased Fund'!I33</f>
        <v>24750</v>
      </c>
      <c r="H41" s="773" t="e">
        <f>'CNG Table A'!#REF!</f>
        <v>#REF!</v>
      </c>
      <c r="I41" s="773" t="e">
        <f>'SCG Table A'!#REF!</f>
        <v>#REF!</v>
      </c>
      <c r="J41" s="896" t="e">
        <f>SUM(G41:I41)</f>
        <v>#REF!</v>
      </c>
      <c r="L41" s="174"/>
    </row>
    <row r="42" spans="1:14" s="1" customFormat="1" ht="16.5" thickBot="1" x14ac:dyDescent="0.3">
      <c r="A42" s="19"/>
      <c r="B42" s="26" t="s">
        <v>207</v>
      </c>
      <c r="C42" s="101">
        <f t="shared" ref="C42:J42" si="5">SUM(C38:C41)</f>
        <v>696250</v>
      </c>
      <c r="D42" s="101" t="e">
        <f t="shared" si="5"/>
        <v>#REF!</v>
      </c>
      <c r="E42" s="468" t="e">
        <f t="shared" si="5"/>
        <v>#REF!</v>
      </c>
      <c r="F42" s="101" t="e">
        <f t="shared" si="5"/>
        <v>#REF!</v>
      </c>
      <c r="G42" s="489">
        <f t="shared" si="5"/>
        <v>591750</v>
      </c>
      <c r="H42" s="489" t="e">
        <f t="shared" si="5"/>
        <v>#REF!</v>
      </c>
      <c r="I42" s="489" t="e">
        <f t="shared" si="5"/>
        <v>#REF!</v>
      </c>
      <c r="J42" s="489" t="e">
        <f t="shared" si="5"/>
        <v>#REF!</v>
      </c>
      <c r="L42" s="174"/>
    </row>
    <row r="43" spans="1:14" s="163" customFormat="1" ht="16.5" thickBot="1" x14ac:dyDescent="0.3">
      <c r="A43" s="13"/>
      <c r="B43" s="226" t="s">
        <v>123</v>
      </c>
      <c r="C43" s="161"/>
      <c r="D43" s="161"/>
      <c r="E43" s="161"/>
      <c r="F43" s="161"/>
      <c r="L43" s="174"/>
    </row>
    <row r="44" spans="1:14" s="4" customFormat="1" ht="15.75" x14ac:dyDescent="0.25">
      <c r="A44" s="20"/>
      <c r="B44" s="223" t="s">
        <v>7</v>
      </c>
      <c r="C44" s="224" t="e">
        <f t="shared" ref="C44:J44" si="6">C18+C32+C33</f>
        <v>#REF!</v>
      </c>
      <c r="D44" s="224" t="e">
        <f t="shared" si="6"/>
        <v>#REF!</v>
      </c>
      <c r="E44" s="472" t="e">
        <f t="shared" si="6"/>
        <v>#REF!</v>
      </c>
      <c r="F44" s="476" t="e">
        <f t="shared" si="6"/>
        <v>#REF!</v>
      </c>
      <c r="G44" s="476">
        <f t="shared" si="6"/>
        <v>6198358.7999999998</v>
      </c>
      <c r="H44" s="476" t="e">
        <f t="shared" si="6"/>
        <v>#REF!</v>
      </c>
      <c r="I44" s="476" t="e">
        <f t="shared" si="6"/>
        <v>#REF!</v>
      </c>
      <c r="J44" s="476" t="e">
        <f t="shared" si="6"/>
        <v>#REF!</v>
      </c>
      <c r="L44" s="174"/>
      <c r="N44" s="484"/>
    </row>
    <row r="45" spans="1:14" s="4" customFormat="1" ht="15.75" x14ac:dyDescent="0.25">
      <c r="A45" s="20"/>
      <c r="B45" s="225" t="s">
        <v>8</v>
      </c>
      <c r="C45" s="218">
        <f t="shared" ref="C45:J45" si="7">C29+C34</f>
        <v>3966000</v>
      </c>
      <c r="D45" s="218" t="e">
        <f t="shared" si="7"/>
        <v>#REF!</v>
      </c>
      <c r="E45" s="473" t="e">
        <f t="shared" si="7"/>
        <v>#REF!</v>
      </c>
      <c r="F45" s="477" t="e">
        <f t="shared" si="7"/>
        <v>#REF!</v>
      </c>
      <c r="G45" s="477">
        <f t="shared" si="7"/>
        <v>6257075</v>
      </c>
      <c r="H45" s="477" t="e">
        <f t="shared" si="7"/>
        <v>#REF!</v>
      </c>
      <c r="I45" s="477" t="e">
        <f t="shared" si="7"/>
        <v>#REF!</v>
      </c>
      <c r="J45" s="477" t="e">
        <f t="shared" si="7"/>
        <v>#REF!</v>
      </c>
      <c r="L45" s="174"/>
    </row>
    <row r="46" spans="1:14" s="4" customFormat="1" ht="16.5" thickBot="1" x14ac:dyDescent="0.3">
      <c r="A46" s="13"/>
      <c r="B46" s="491" t="s">
        <v>12</v>
      </c>
      <c r="C46" s="235">
        <f>C42</f>
        <v>696250</v>
      </c>
      <c r="D46" s="219" t="e">
        <f>D42</f>
        <v>#REF!</v>
      </c>
      <c r="E46" s="474" t="e">
        <f>E42</f>
        <v>#REF!</v>
      </c>
      <c r="F46" s="477" t="e">
        <f>SUM(C46:E46)</f>
        <v>#REF!</v>
      </c>
      <c r="G46" s="479">
        <f>G42</f>
        <v>591750</v>
      </c>
      <c r="H46" s="481" t="e">
        <f>H42</f>
        <v>#REF!</v>
      </c>
      <c r="I46" s="481" t="e">
        <f>I42</f>
        <v>#REF!</v>
      </c>
      <c r="J46" s="477" t="e">
        <f>SUM(G46:I46)</f>
        <v>#REF!</v>
      </c>
      <c r="L46" s="174"/>
    </row>
    <row r="47" spans="1:14" s="1" customFormat="1" ht="16.5" thickBot="1" x14ac:dyDescent="0.3">
      <c r="A47" s="13"/>
      <c r="B47" s="26" t="s">
        <v>33</v>
      </c>
      <c r="C47" s="234" t="e">
        <f t="shared" ref="C47:J47" si="8">SUM(C44:C46)</f>
        <v>#REF!</v>
      </c>
      <c r="D47" s="188" t="e">
        <f t="shared" si="8"/>
        <v>#REF!</v>
      </c>
      <c r="E47" s="475" t="e">
        <f t="shared" si="8"/>
        <v>#REF!</v>
      </c>
      <c r="F47" s="478" t="e">
        <f t="shared" si="8"/>
        <v>#REF!</v>
      </c>
      <c r="G47" s="480">
        <f t="shared" si="8"/>
        <v>13047183.800000001</v>
      </c>
      <c r="H47" s="482" t="e">
        <f t="shared" si="8"/>
        <v>#REF!</v>
      </c>
      <c r="I47" s="483" t="e">
        <f t="shared" si="8"/>
        <v>#REF!</v>
      </c>
      <c r="J47" s="478" t="e">
        <f t="shared" si="8"/>
        <v>#REF!</v>
      </c>
      <c r="L47" s="174"/>
    </row>
    <row r="48" spans="1:14" x14ac:dyDescent="0.2">
      <c r="A48" s="19"/>
      <c r="C48" s="12"/>
      <c r="D48" s="12"/>
      <c r="E48" s="12"/>
      <c r="F48" s="48"/>
      <c r="G48" s="787"/>
      <c r="H48" s="14"/>
      <c r="I48" s="14"/>
    </row>
    <row r="49" spans="2:9" ht="15" x14ac:dyDescent="0.2">
      <c r="C49" s="503"/>
      <c r="D49" s="239"/>
      <c r="E49" s="503"/>
      <c r="F49" s="240"/>
      <c r="G49" s="14"/>
      <c r="H49" s="14"/>
      <c r="I49" s="14"/>
    </row>
    <row r="50" spans="2:9" x14ac:dyDescent="0.2">
      <c r="B50" s="15"/>
      <c r="C50" s="3"/>
      <c r="D50" s="174"/>
      <c r="E50" s="3"/>
      <c r="F50" s="609"/>
    </row>
    <row r="51" spans="2:9" x14ac:dyDescent="0.2">
      <c r="B51" s="15"/>
      <c r="C51" s="14"/>
      <c r="D51" s="14"/>
    </row>
    <row r="52" spans="2:9" x14ac:dyDescent="0.2">
      <c r="B52" s="3"/>
      <c r="C52" s="3"/>
      <c r="D52" s="3"/>
      <c r="E52" s="3"/>
    </row>
    <row r="53" spans="2:9" x14ac:dyDescent="0.2">
      <c r="B53" s="3"/>
      <c r="C53" s="14"/>
    </row>
    <row r="54" spans="2:9" x14ac:dyDescent="0.2">
      <c r="B54" s="3"/>
    </row>
    <row r="55" spans="2:9" ht="20.25" x14ac:dyDescent="0.3">
      <c r="B55" s="91"/>
      <c r="C55" s="91"/>
      <c r="D55" s="91"/>
      <c r="E55" s="91"/>
      <c r="F55" s="91"/>
    </row>
    <row r="56" spans="2:9" ht="20.25" x14ac:dyDescent="0.3">
      <c r="B56" s="91"/>
      <c r="C56" s="91"/>
      <c r="D56" s="91"/>
      <c r="E56" s="91"/>
      <c r="F56" s="91"/>
    </row>
    <row r="57" spans="2:9" ht="20.25" x14ac:dyDescent="0.3">
      <c r="B57" s="91"/>
      <c r="C57" s="91"/>
      <c r="D57" s="91"/>
      <c r="E57" s="91"/>
      <c r="F57" s="91"/>
    </row>
  </sheetData>
  <mergeCells count="6">
    <mergeCell ref="C6:F6"/>
    <mergeCell ref="G6:J6"/>
    <mergeCell ref="B21:F21"/>
    <mergeCell ref="B2:J2"/>
    <mergeCell ref="B3:J3"/>
    <mergeCell ref="B4:J4"/>
  </mergeCells>
  <phoneticPr fontId="10" type="noConversion"/>
  <printOptions horizontalCentered="1" verticalCentered="1"/>
  <pageMargins left="0.5" right="0.5" top="0.22" bottom="1.18" header="0.22" footer="0.23"/>
  <pageSetup scale="57" orientation="landscape" r:id="rId1"/>
  <headerFooter alignWithMargins="0">
    <oddFooter>&amp;R&amp;14
&amp;C&amp;"Arial"&amp;11&amp;K000000
Totals may vary due to rounding_x000D_&amp;1#&amp;"Calibri"&amp;12&amp;K008000Internal Use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9">
    <tabColor indexed="47"/>
    <pageSetUpPr fitToPage="1"/>
  </sheetPr>
  <dimension ref="A1:Y80"/>
  <sheetViews>
    <sheetView topLeftCell="B1" zoomScale="75" workbookViewId="0">
      <selection activeCell="I9" sqref="I9"/>
    </sheetView>
  </sheetViews>
  <sheetFormatPr defaultRowHeight="12.75" x14ac:dyDescent="0.2"/>
  <cols>
    <col min="1" max="1" width="7.140625" style="49" customWidth="1"/>
    <col min="2" max="2" width="56.85546875" style="49" bestFit="1"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3.42578125" style="50" customWidth="1"/>
    <col min="11" max="11" width="12.28515625" style="50" bestFit="1" customWidth="1"/>
    <col min="12" max="13" width="10.7109375" style="50" customWidth="1"/>
    <col min="14" max="19" width="10.7109375" style="49" customWidth="1"/>
    <col min="20" max="16384" width="9.140625" style="49"/>
  </cols>
  <sheetData>
    <row r="1" spans="1:18" ht="26.25" x14ac:dyDescent="0.4">
      <c r="B1" s="2884" t="s">
        <v>82</v>
      </c>
      <c r="C1" s="2884"/>
      <c r="D1" s="2884"/>
      <c r="E1" s="2884"/>
      <c r="F1" s="2884"/>
      <c r="G1" s="2884"/>
      <c r="H1" s="2884"/>
      <c r="I1" s="2884"/>
    </row>
    <row r="2" spans="1:18" ht="26.25" x14ac:dyDescent="0.4">
      <c r="B2" s="2884" t="s">
        <v>489</v>
      </c>
      <c r="C2" s="2884"/>
      <c r="D2" s="2884"/>
      <c r="E2" s="2884"/>
      <c r="F2" s="2884"/>
      <c r="G2" s="2884"/>
      <c r="H2" s="2884"/>
      <c r="I2" s="2884"/>
    </row>
    <row r="3" spans="1:18" ht="6.75" customHeight="1" x14ac:dyDescent="0.25">
      <c r="B3" s="11"/>
      <c r="C3" s="10"/>
      <c r="D3" s="8"/>
      <c r="E3" s="8"/>
      <c r="F3" s="9"/>
      <c r="G3" s="9"/>
      <c r="H3" s="9"/>
      <c r="I3" s="9"/>
    </row>
    <row r="4" spans="1:18" ht="6.75" customHeight="1" thickBot="1" x14ac:dyDescent="0.3">
      <c r="B4" s="11"/>
      <c r="C4" s="10"/>
      <c r="D4" s="8"/>
      <c r="E4" s="8"/>
      <c r="F4" s="9"/>
      <c r="G4" s="9"/>
      <c r="H4" s="9"/>
      <c r="I4" s="9"/>
    </row>
    <row r="5" spans="1:18" ht="48.75" thickBot="1" x14ac:dyDescent="0.35">
      <c r="A5" s="21"/>
      <c r="B5" s="630" t="s">
        <v>42</v>
      </c>
      <c r="C5" s="631" t="s">
        <v>53</v>
      </c>
      <c r="D5" s="631" t="s">
        <v>13</v>
      </c>
      <c r="E5" s="631" t="s">
        <v>4</v>
      </c>
      <c r="F5" s="631" t="s">
        <v>2</v>
      </c>
      <c r="G5" s="631" t="s">
        <v>14</v>
      </c>
      <c r="H5" s="631" t="s">
        <v>15</v>
      </c>
      <c r="I5" s="631" t="s">
        <v>16</v>
      </c>
      <c r="J5" s="45"/>
    </row>
    <row r="6" spans="1:18" ht="21" thickBot="1" x14ac:dyDescent="0.35">
      <c r="A6" s="21"/>
      <c r="B6" s="2938" t="s">
        <v>5</v>
      </c>
      <c r="C6" s="2939"/>
      <c r="D6" s="2939"/>
      <c r="E6" s="2939"/>
      <c r="F6" s="2939"/>
      <c r="G6" s="2939"/>
      <c r="H6" s="2939"/>
      <c r="I6" s="2940"/>
      <c r="J6" s="82"/>
      <c r="K6" s="52"/>
      <c r="L6" s="52"/>
    </row>
    <row r="7" spans="1:18" ht="20.25" x14ac:dyDescent="0.3">
      <c r="A7" s="83"/>
      <c r="B7" s="156" t="s">
        <v>342</v>
      </c>
      <c r="C7" s="633">
        <v>168743.75</v>
      </c>
      <c r="D7" s="633">
        <v>3500</v>
      </c>
      <c r="E7" s="633">
        <v>62721.86</v>
      </c>
      <c r="F7" s="633">
        <v>1436469</v>
      </c>
      <c r="G7" s="633">
        <v>12535</v>
      </c>
      <c r="H7" s="633">
        <v>2600</v>
      </c>
      <c r="I7" s="660">
        <f>SUM(C7:H7)</f>
        <v>1686569.6099999999</v>
      </c>
      <c r="J7" s="519"/>
      <c r="K7" s="583"/>
      <c r="L7" s="583"/>
      <c r="M7" s="572"/>
      <c r="N7" s="584"/>
      <c r="O7" s="584"/>
      <c r="P7" s="584"/>
    </row>
    <row r="8" spans="1:18" ht="20.25" x14ac:dyDescent="0.3">
      <c r="A8" s="83"/>
      <c r="B8" s="972" t="s">
        <v>149</v>
      </c>
      <c r="C8" s="844">
        <v>209482</v>
      </c>
      <c r="D8" s="661">
        <v>5040</v>
      </c>
      <c r="E8" s="661">
        <v>68263</v>
      </c>
      <c r="F8" s="661">
        <v>1590085</v>
      </c>
      <c r="G8" s="661">
        <v>25000</v>
      </c>
      <c r="H8" s="661">
        <v>7560</v>
      </c>
      <c r="I8" s="926">
        <f>SUM(C8:H8)</f>
        <v>1905430</v>
      </c>
      <c r="J8" s="585"/>
      <c r="K8" s="583"/>
      <c r="L8" s="583"/>
      <c r="M8" s="583"/>
      <c r="N8" s="583"/>
      <c r="O8" s="583"/>
      <c r="P8" s="583"/>
      <c r="Q8" s="586"/>
      <c r="R8" s="587"/>
    </row>
    <row r="9" spans="1:18" ht="20.25" x14ac:dyDescent="0.3">
      <c r="A9" s="83"/>
      <c r="B9" s="614" t="s">
        <v>227</v>
      </c>
      <c r="C9" s="844">
        <v>33250</v>
      </c>
      <c r="D9" s="661">
        <v>840</v>
      </c>
      <c r="E9" s="661">
        <v>53305.000000000007</v>
      </c>
      <c r="F9" s="661">
        <v>1289408.9999999998</v>
      </c>
      <c r="G9" s="661">
        <v>8260</v>
      </c>
      <c r="H9" s="638">
        <v>2800</v>
      </c>
      <c r="I9" s="640">
        <f>SUM(C9:H9)</f>
        <v>1387863.9999999998</v>
      </c>
      <c r="J9" s="585"/>
      <c r="K9" s="601"/>
      <c r="L9" s="601"/>
      <c r="M9" s="601"/>
      <c r="N9" s="601"/>
      <c r="O9" s="601"/>
      <c r="P9" s="601"/>
    </row>
    <row r="10" spans="1:18" ht="21" thickBot="1" x14ac:dyDescent="0.35">
      <c r="A10" s="84"/>
      <c r="B10" s="616" t="s">
        <v>150</v>
      </c>
      <c r="C10" s="845">
        <v>5000</v>
      </c>
      <c r="D10" s="635">
        <v>499.99968200000001</v>
      </c>
      <c r="E10" s="635">
        <v>2304.9999780000003</v>
      </c>
      <c r="F10" s="635">
        <v>23800</v>
      </c>
      <c r="G10" s="635">
        <v>6450</v>
      </c>
      <c r="H10" s="641">
        <v>1999.9997819999999</v>
      </c>
      <c r="I10" s="789">
        <f>SUM(C10:H10)</f>
        <v>40054.999442</v>
      </c>
      <c r="J10" s="588"/>
      <c r="K10" s="602"/>
      <c r="L10" s="602"/>
      <c r="M10" s="602"/>
      <c r="N10" s="602"/>
      <c r="O10" s="602"/>
      <c r="P10" s="602"/>
    </row>
    <row r="11" spans="1:18" ht="21" thickBot="1" x14ac:dyDescent="0.35">
      <c r="A11" s="84"/>
      <c r="B11" s="232" t="s">
        <v>30</v>
      </c>
      <c r="C11" s="645">
        <f t="shared" ref="C11:I11" si="0">SUM(C7:C10)</f>
        <v>416475.75</v>
      </c>
      <c r="D11" s="645">
        <f t="shared" si="0"/>
        <v>9879.9996819999997</v>
      </c>
      <c r="E11" s="645">
        <f t="shared" si="0"/>
        <v>186594.85997800002</v>
      </c>
      <c r="F11" s="645">
        <f t="shared" si="0"/>
        <v>4339763</v>
      </c>
      <c r="G11" s="645">
        <f t="shared" si="0"/>
        <v>52245</v>
      </c>
      <c r="H11" s="645">
        <f t="shared" si="0"/>
        <v>14959.999781999999</v>
      </c>
      <c r="I11" s="645">
        <f t="shared" si="0"/>
        <v>5019918.6094419993</v>
      </c>
      <c r="J11" s="520"/>
      <c r="K11" s="520"/>
      <c r="L11" s="52"/>
    </row>
    <row r="12" spans="1:18" s="51" customFormat="1" ht="15" x14ac:dyDescent="0.2">
      <c r="B12" s="663"/>
      <c r="C12" s="664"/>
      <c r="D12" s="622"/>
      <c r="E12" s="622"/>
      <c r="F12" s="665"/>
      <c r="G12" s="665"/>
      <c r="H12" s="665"/>
      <c r="I12" s="666"/>
      <c r="J12" s="52"/>
      <c r="K12" s="52"/>
      <c r="L12" s="52"/>
      <c r="M12" s="52"/>
    </row>
    <row r="13" spans="1:18" ht="21" thickBot="1" x14ac:dyDescent="0.35">
      <c r="A13" s="84"/>
      <c r="B13" s="2891" t="s">
        <v>151</v>
      </c>
      <c r="C13" s="2892"/>
      <c r="D13" s="2892"/>
      <c r="E13" s="2892"/>
      <c r="F13" s="2892"/>
      <c r="G13" s="2892"/>
      <c r="H13" s="2892"/>
      <c r="I13" s="2893"/>
      <c r="J13" s="166"/>
      <c r="K13" s="141"/>
    </row>
    <row r="14" spans="1:18" ht="21" thickBot="1" x14ac:dyDescent="0.35">
      <c r="A14" s="83"/>
      <c r="B14" s="100" t="s">
        <v>154</v>
      </c>
      <c r="C14" s="644">
        <v>150290</v>
      </c>
      <c r="D14" s="644">
        <v>3150</v>
      </c>
      <c r="E14" s="644">
        <v>107507.4</v>
      </c>
      <c r="F14" s="644">
        <v>970322.6</v>
      </c>
      <c r="G14" s="644">
        <v>3060</v>
      </c>
      <c r="H14" s="644">
        <v>5670</v>
      </c>
      <c r="I14" s="634">
        <f>SUM(C14:H14)</f>
        <v>1240000</v>
      </c>
      <c r="J14" s="519"/>
      <c r="K14" s="1902"/>
      <c r="L14" s="1902"/>
      <c r="M14" s="1902"/>
      <c r="N14" s="1902"/>
      <c r="O14" s="1902"/>
      <c r="P14" s="1902"/>
    </row>
    <row r="15" spans="1:18" ht="21" thickBot="1" x14ac:dyDescent="0.35">
      <c r="A15" s="84"/>
      <c r="B15" s="26" t="s">
        <v>152</v>
      </c>
      <c r="C15" s="645">
        <f>SUM(C14)</f>
        <v>150290</v>
      </c>
      <c r="D15" s="645">
        <f t="shared" ref="D15:I15" si="1">SUM(D14)</f>
        <v>3150</v>
      </c>
      <c r="E15" s="645">
        <f t="shared" si="1"/>
        <v>107507.4</v>
      </c>
      <c r="F15" s="645">
        <f t="shared" si="1"/>
        <v>970322.6</v>
      </c>
      <c r="G15" s="645">
        <f t="shared" si="1"/>
        <v>3060</v>
      </c>
      <c r="H15" s="645">
        <f t="shared" si="1"/>
        <v>5670</v>
      </c>
      <c r="I15" s="645">
        <f t="shared" si="1"/>
        <v>1240000</v>
      </c>
      <c r="J15" s="520"/>
      <c r="K15" s="1903"/>
      <c r="L15" s="743"/>
      <c r="M15" s="1903"/>
      <c r="N15" s="1904"/>
      <c r="O15" s="1904"/>
      <c r="P15" s="1905"/>
    </row>
    <row r="16" spans="1:18" s="51" customFormat="1" ht="20.25" x14ac:dyDescent="0.3">
      <c r="A16" s="83"/>
      <c r="B16" s="2888"/>
      <c r="C16" s="2889"/>
      <c r="D16" s="2889"/>
      <c r="E16" s="2889"/>
      <c r="F16" s="2889"/>
      <c r="G16" s="2889"/>
      <c r="H16" s="2889"/>
      <c r="I16" s="2890"/>
      <c r="J16" s="166"/>
      <c r="K16" s="1906"/>
      <c r="L16" s="518"/>
      <c r="M16" s="1907"/>
      <c r="N16" s="201"/>
      <c r="O16" s="201"/>
      <c r="P16" s="34"/>
    </row>
    <row r="17" spans="1:19" ht="21" thickBot="1" x14ac:dyDescent="0.35">
      <c r="A17" s="84"/>
      <c r="B17" s="2891" t="s">
        <v>153</v>
      </c>
      <c r="C17" s="2892"/>
      <c r="D17" s="2892"/>
      <c r="E17" s="2892"/>
      <c r="F17" s="2892"/>
      <c r="G17" s="2892"/>
      <c r="H17" s="2892"/>
      <c r="I17" s="2893"/>
      <c r="J17" s="166"/>
      <c r="K17" s="1906"/>
      <c r="L17" s="1908"/>
      <c r="M17" s="706"/>
      <c r="N17" s="704"/>
      <c r="O17" s="704"/>
      <c r="P17" s="37"/>
    </row>
    <row r="18" spans="1:19" ht="21" thickBot="1" x14ac:dyDescent="0.35">
      <c r="A18" s="83"/>
      <c r="B18" s="100" t="s">
        <v>155</v>
      </c>
      <c r="C18" s="644">
        <v>103180</v>
      </c>
      <c r="D18" s="644">
        <v>198</v>
      </c>
      <c r="E18" s="644">
        <v>51194</v>
      </c>
      <c r="F18" s="644">
        <v>698948</v>
      </c>
      <c r="G18" s="644">
        <v>1980</v>
      </c>
      <c r="H18" s="644">
        <v>4500</v>
      </c>
      <c r="I18" s="634">
        <f>SUM(C18:H18)</f>
        <v>860000</v>
      </c>
      <c r="J18" s="600"/>
      <c r="K18" s="1902"/>
      <c r="L18" s="1902"/>
      <c r="M18" s="1902"/>
      <c r="N18" s="1902"/>
      <c r="O18" s="1902"/>
      <c r="P18" s="1902"/>
    </row>
    <row r="19" spans="1:19" ht="21" thickBot="1" x14ac:dyDescent="0.35">
      <c r="A19" s="83"/>
      <c r="B19" s="100" t="s">
        <v>156</v>
      </c>
      <c r="C19" s="644">
        <v>33180</v>
      </c>
      <c r="D19" s="644">
        <v>50</v>
      </c>
      <c r="E19" s="644">
        <v>5000</v>
      </c>
      <c r="F19" s="644">
        <v>60970</v>
      </c>
      <c r="G19" s="644">
        <v>300</v>
      </c>
      <c r="H19" s="644">
        <v>500</v>
      </c>
      <c r="I19" s="634">
        <f>SUM(C19:H19)</f>
        <v>100000</v>
      </c>
      <c r="J19" s="600"/>
      <c r="K19" s="1902"/>
      <c r="L19" s="1902"/>
      <c r="M19" s="1902"/>
      <c r="N19" s="1902"/>
      <c r="O19" s="1902"/>
      <c r="P19" s="1902"/>
    </row>
    <row r="20" spans="1:19" ht="21" thickBot="1" x14ac:dyDescent="0.35">
      <c r="A20" s="84"/>
      <c r="B20" s="26" t="s">
        <v>152</v>
      </c>
      <c r="C20" s="645">
        <f t="shared" ref="C20:H20" si="2">SUM(C18:C19)</f>
        <v>136360</v>
      </c>
      <c r="D20" s="645">
        <f t="shared" si="2"/>
        <v>248</v>
      </c>
      <c r="E20" s="645">
        <f t="shared" si="2"/>
        <v>56194</v>
      </c>
      <c r="F20" s="645">
        <f t="shared" si="2"/>
        <v>759918</v>
      </c>
      <c r="G20" s="645">
        <f t="shared" si="2"/>
        <v>2280</v>
      </c>
      <c r="H20" s="645">
        <f t="shared" si="2"/>
        <v>5000</v>
      </c>
      <c r="I20" s="645">
        <f>SUM(I18:I19)</f>
        <v>960000</v>
      </c>
      <c r="J20" s="600"/>
      <c r="K20" s="705"/>
      <c r="L20" s="627"/>
      <c r="M20" s="706"/>
      <c r="N20" s="704"/>
      <c r="O20" s="704"/>
      <c r="P20" s="37"/>
    </row>
    <row r="21" spans="1:19" ht="21" thickBot="1" x14ac:dyDescent="0.35">
      <c r="A21" s="84"/>
      <c r="B21" s="690" t="s">
        <v>245</v>
      </c>
      <c r="C21" s="703">
        <v>10664.289975168358</v>
      </c>
      <c r="D21" s="703">
        <v>135.48303060522667</v>
      </c>
      <c r="E21" s="703">
        <v>1680.0559520856341</v>
      </c>
      <c r="F21" s="703">
        <v>76901</v>
      </c>
      <c r="G21" s="703">
        <v>995.58871234704236</v>
      </c>
      <c r="H21" s="703">
        <v>9624</v>
      </c>
      <c r="I21" s="703">
        <f>SUM(C21:H21)</f>
        <v>100000.41767020627</v>
      </c>
      <c r="K21" s="1909"/>
      <c r="L21" s="1910"/>
      <c r="M21" s="1910"/>
      <c r="N21" s="1911"/>
      <c r="O21" s="1911"/>
      <c r="P21" s="1911"/>
    </row>
    <row r="22" spans="1:19" ht="21" thickBot="1" x14ac:dyDescent="0.35">
      <c r="A22" s="84"/>
      <c r="B22" s="26" t="s">
        <v>31</v>
      </c>
      <c r="C22" s="645">
        <f>C15+C20+C21</f>
        <v>297314.28997516836</v>
      </c>
      <c r="D22" s="645">
        <f t="shared" ref="D22:I22" si="3">D15+D20+D21</f>
        <v>3533.4830306052268</v>
      </c>
      <c r="E22" s="645">
        <f t="shared" si="3"/>
        <v>165381.45595208564</v>
      </c>
      <c r="F22" s="645">
        <f t="shared" si="3"/>
        <v>1807141.6</v>
      </c>
      <c r="G22" s="645">
        <f t="shared" si="3"/>
        <v>6335.588712347042</v>
      </c>
      <c r="H22" s="645">
        <f t="shared" si="3"/>
        <v>20294</v>
      </c>
      <c r="I22" s="645">
        <f t="shared" si="3"/>
        <v>2300000.4176702062</v>
      </c>
      <c r="J22" s="520"/>
      <c r="K22" s="141"/>
    </row>
    <row r="23" spans="1:19" s="51" customFormat="1" ht="20.25" x14ac:dyDescent="0.3">
      <c r="A23" s="83"/>
      <c r="B23" s="2888"/>
      <c r="C23" s="2889"/>
      <c r="D23" s="2889"/>
      <c r="E23" s="2889"/>
      <c r="F23" s="2889"/>
      <c r="G23" s="2889"/>
      <c r="H23" s="2889"/>
      <c r="I23" s="2890"/>
      <c r="K23" s="167"/>
      <c r="L23" s="52"/>
      <c r="M23" s="52"/>
    </row>
    <row r="24" spans="1:19" ht="21" thickBot="1" x14ac:dyDescent="0.35">
      <c r="A24" s="83"/>
      <c r="B24" s="2891" t="s">
        <v>158</v>
      </c>
      <c r="C24" s="2892"/>
      <c r="D24" s="2892"/>
      <c r="E24" s="2892"/>
      <c r="F24" s="2892"/>
      <c r="G24" s="2892"/>
      <c r="H24" s="2892"/>
      <c r="I24" s="2893"/>
      <c r="M24" s="141"/>
    </row>
    <row r="25" spans="1:19" s="9" customFormat="1" ht="16.5" customHeight="1" thickBot="1" x14ac:dyDescent="0.3">
      <c r="A25" s="1145"/>
      <c r="B25" s="2926" t="s">
        <v>393</v>
      </c>
      <c r="C25" s="2927"/>
      <c r="D25" s="2927"/>
      <c r="E25" s="2927"/>
      <c r="F25" s="2927"/>
      <c r="G25" s="2927"/>
      <c r="H25" s="2927"/>
      <c r="I25" s="2928"/>
      <c r="J25" s="1146"/>
      <c r="K25" s="517"/>
      <c r="L25" s="1147"/>
      <c r="M25" s="1147"/>
      <c r="N25" s="1148"/>
      <c r="R25" s="1149"/>
    </row>
    <row r="26" spans="1:19" s="9" customFormat="1" ht="16.5" customHeight="1" x14ac:dyDescent="0.25">
      <c r="A26" s="1150"/>
      <c r="B26" s="1151" t="s">
        <v>394</v>
      </c>
      <c r="C26" s="669"/>
      <c r="D26" s="669"/>
      <c r="E26" s="669">
        <v>0</v>
      </c>
      <c r="F26" s="669"/>
      <c r="G26" s="669"/>
      <c r="H26" s="669"/>
      <c r="I26" s="668">
        <f>SUM(C26:H26)</f>
        <v>0</v>
      </c>
      <c r="J26" s="1146"/>
      <c r="K26" s="1152"/>
      <c r="L26" s="1153"/>
      <c r="M26" s="1154"/>
      <c r="N26" s="1154"/>
      <c r="O26" s="1155"/>
      <c r="P26" s="1155"/>
      <c r="Q26" s="1156"/>
      <c r="R26" s="1149"/>
    </row>
    <row r="27" spans="1:19" s="9" customFormat="1" ht="16.5" customHeight="1" thickBot="1" x14ac:dyDescent="0.3">
      <c r="A27" s="1150"/>
      <c r="B27" s="1296" t="s">
        <v>414</v>
      </c>
      <c r="C27" s="669">
        <v>6000</v>
      </c>
      <c r="D27" s="669"/>
      <c r="E27" s="669">
        <v>44000</v>
      </c>
      <c r="F27" s="669"/>
      <c r="G27" s="669"/>
      <c r="H27" s="669"/>
      <c r="I27" s="1157">
        <f>SUM(C27:H27)</f>
        <v>50000</v>
      </c>
      <c r="J27" s="1146"/>
      <c r="K27" s="1158"/>
      <c r="M27" s="1147"/>
      <c r="N27" s="1147"/>
      <c r="O27" s="1156"/>
      <c r="P27" s="1156"/>
      <c r="Q27" s="1156"/>
      <c r="R27" s="1156"/>
      <c r="S27" s="1159"/>
    </row>
    <row r="28" spans="1:19" s="9" customFormat="1" ht="16.5" customHeight="1" thickBot="1" x14ac:dyDescent="0.3">
      <c r="A28" s="1150"/>
      <c r="B28" s="1160" t="s">
        <v>395</v>
      </c>
      <c r="C28" s="1161">
        <f t="shared" ref="C28:I28" si="4">SUM(C26:C27)</f>
        <v>6000</v>
      </c>
      <c r="D28" s="1161">
        <f t="shared" si="4"/>
        <v>0</v>
      </c>
      <c r="E28" s="1161">
        <f t="shared" si="4"/>
        <v>44000</v>
      </c>
      <c r="F28" s="1161">
        <f t="shared" si="4"/>
        <v>0</v>
      </c>
      <c r="G28" s="1161">
        <f t="shared" si="4"/>
        <v>0</v>
      </c>
      <c r="H28" s="1161">
        <f t="shared" si="4"/>
        <v>0</v>
      </c>
      <c r="I28" s="1161">
        <f t="shared" si="4"/>
        <v>50000</v>
      </c>
      <c r="J28" s="1146"/>
      <c r="K28" s="517"/>
      <c r="L28" s="1147"/>
      <c r="M28" s="1147"/>
      <c r="N28" s="1147"/>
      <c r="O28" s="1156"/>
      <c r="P28" s="1156"/>
      <c r="S28" s="1159"/>
    </row>
    <row r="29" spans="1:19" s="1164" customFormat="1" ht="16.5" customHeight="1" thickBot="1" x14ac:dyDescent="0.3">
      <c r="A29" s="1150"/>
      <c r="B29" s="2929" t="s">
        <v>396</v>
      </c>
      <c r="C29" s="2930"/>
      <c r="D29" s="2930"/>
      <c r="E29" s="2930"/>
      <c r="F29" s="2930"/>
      <c r="G29" s="2930"/>
      <c r="H29" s="2930"/>
      <c r="I29" s="2931"/>
      <c r="J29" s="1146"/>
      <c r="K29" s="517"/>
      <c r="L29" s="1162"/>
      <c r="M29" s="1162"/>
      <c r="N29" s="1162"/>
      <c r="O29" s="1163"/>
      <c r="P29" s="1163"/>
      <c r="S29" s="1165"/>
    </row>
    <row r="30" spans="1:19" s="9" customFormat="1" ht="16.5" customHeight="1" x14ac:dyDescent="0.25">
      <c r="A30" s="1150"/>
      <c r="B30" s="156" t="s">
        <v>278</v>
      </c>
      <c r="C30" s="1166">
        <v>0</v>
      </c>
      <c r="D30" s="1166">
        <v>0</v>
      </c>
      <c r="E30" s="667">
        <v>75000</v>
      </c>
      <c r="F30" s="1166">
        <v>0</v>
      </c>
      <c r="G30" s="1166">
        <v>0</v>
      </c>
      <c r="H30" s="1166">
        <v>0</v>
      </c>
      <c r="I30" s="668">
        <f>SUM(E30:H30)</f>
        <v>75000</v>
      </c>
      <c r="J30" s="1146"/>
      <c r="K30" s="852"/>
      <c r="L30" s="1147"/>
      <c r="M30" s="1147"/>
      <c r="N30" s="1147"/>
      <c r="O30" s="1156"/>
      <c r="P30" s="1156"/>
      <c r="R30" s="1149"/>
    </row>
    <row r="31" spans="1:19" s="9" customFormat="1" ht="16.5" customHeight="1" x14ac:dyDescent="0.25">
      <c r="A31" s="1150"/>
      <c r="B31" s="693" t="s">
        <v>279</v>
      </c>
      <c r="C31" s="1166">
        <v>0</v>
      </c>
      <c r="D31" s="1166">
        <v>0</v>
      </c>
      <c r="E31" s="669">
        <v>90000</v>
      </c>
      <c r="F31" s="1166">
        <v>0</v>
      </c>
      <c r="G31" s="1166">
        <v>0</v>
      </c>
      <c r="H31" s="1166">
        <v>0</v>
      </c>
      <c r="I31" s="670">
        <f>SUM(E31:H31)</f>
        <v>90000</v>
      </c>
      <c r="J31" s="1146"/>
      <c r="K31" s="852"/>
      <c r="L31" s="1147"/>
      <c r="M31" s="1147"/>
      <c r="N31" s="1147"/>
      <c r="O31" s="1156"/>
      <c r="P31" s="1156"/>
      <c r="R31" s="1149"/>
    </row>
    <row r="32" spans="1:19" s="9" customFormat="1" ht="16.5" customHeight="1" thickBot="1" x14ac:dyDescent="0.3">
      <c r="A32" s="1150"/>
      <c r="B32" s="1167" t="s">
        <v>280</v>
      </c>
      <c r="C32" s="1166">
        <v>0</v>
      </c>
      <c r="D32" s="1166">
        <v>0</v>
      </c>
      <c r="E32" s="913">
        <v>50000</v>
      </c>
      <c r="F32" s="1166">
        <v>0</v>
      </c>
      <c r="G32" s="1166">
        <v>0</v>
      </c>
      <c r="H32" s="1166">
        <v>0</v>
      </c>
      <c r="I32" s="1157">
        <f>SUM(C32:H32)</f>
        <v>50000</v>
      </c>
      <c r="J32" s="1146"/>
      <c r="K32" s="852"/>
      <c r="L32" s="1147"/>
      <c r="M32" s="1147"/>
      <c r="N32" s="1147"/>
      <c r="O32" s="1156"/>
      <c r="P32" s="1156"/>
      <c r="R32" s="1149"/>
    </row>
    <row r="33" spans="1:25" s="1164" customFormat="1" ht="16.5" customHeight="1" thickBot="1" x14ac:dyDescent="0.3">
      <c r="A33" s="1150"/>
      <c r="B33" s="1168" t="s">
        <v>397</v>
      </c>
      <c r="C33" s="1169">
        <f t="shared" ref="C33:I33" si="5">SUM(C30:C32)</f>
        <v>0</v>
      </c>
      <c r="D33" s="1169">
        <f t="shared" si="5"/>
        <v>0</v>
      </c>
      <c r="E33" s="1169">
        <f t="shared" si="5"/>
        <v>215000</v>
      </c>
      <c r="F33" s="1169">
        <f t="shared" si="5"/>
        <v>0</v>
      </c>
      <c r="G33" s="1169">
        <f t="shared" si="5"/>
        <v>0</v>
      </c>
      <c r="H33" s="1169">
        <f t="shared" si="5"/>
        <v>0</v>
      </c>
      <c r="I33" s="1169">
        <f t="shared" si="5"/>
        <v>215000</v>
      </c>
      <c r="J33" s="1146"/>
      <c r="K33" s="852"/>
      <c r="L33" s="1162"/>
      <c r="M33" s="1162"/>
      <c r="N33" s="1162"/>
      <c r="O33" s="1163"/>
      <c r="P33" s="1163"/>
      <c r="R33" s="1170"/>
    </row>
    <row r="34" spans="1:25" s="1164" customFormat="1" ht="16.5" customHeight="1" thickBot="1" x14ac:dyDescent="0.3">
      <c r="A34" s="1150"/>
      <c r="B34" s="2929" t="s">
        <v>398</v>
      </c>
      <c r="C34" s="2930"/>
      <c r="D34" s="2930"/>
      <c r="E34" s="2930"/>
      <c r="F34" s="2930"/>
      <c r="G34" s="2930"/>
      <c r="H34" s="2930"/>
      <c r="I34" s="2931"/>
      <c r="J34" s="1146"/>
      <c r="K34" s="852"/>
      <c r="L34" s="1162"/>
      <c r="M34" s="1162"/>
      <c r="N34" s="1162"/>
      <c r="O34" s="1163"/>
      <c r="P34" s="1163"/>
      <c r="R34" s="1170"/>
    </row>
    <row r="35" spans="1:25" s="9" customFormat="1" ht="16.5" customHeight="1" x14ac:dyDescent="0.25">
      <c r="A35" s="1150"/>
      <c r="B35" s="953" t="s">
        <v>399</v>
      </c>
      <c r="C35" s="1171">
        <v>0</v>
      </c>
      <c r="D35" s="1171">
        <v>0</v>
      </c>
      <c r="E35" s="1171">
        <v>50000</v>
      </c>
      <c r="F35" s="1171">
        <v>0</v>
      </c>
      <c r="G35" s="1171">
        <v>0</v>
      </c>
      <c r="H35" s="1171">
        <v>0</v>
      </c>
      <c r="I35" s="668">
        <f>SUM(C35:H35)</f>
        <v>50000</v>
      </c>
      <c r="J35" s="1146"/>
      <c r="K35" s="1172"/>
      <c r="L35" s="1172"/>
      <c r="M35" s="1172"/>
      <c r="N35" s="1172"/>
      <c r="O35" s="1172"/>
      <c r="P35" s="1172"/>
      <c r="Q35" s="1172"/>
      <c r="R35" s="1172"/>
      <c r="S35" s="1172"/>
    </row>
    <row r="36" spans="1:25" s="9" customFormat="1" ht="16.5" customHeight="1" thickBot="1" x14ac:dyDescent="0.3">
      <c r="A36" s="1150"/>
      <c r="B36" s="1173" t="s">
        <v>400</v>
      </c>
      <c r="C36" s="1174">
        <f t="shared" ref="C36:I36" si="6">SUM(C35)</f>
        <v>0</v>
      </c>
      <c r="D36" s="1174">
        <f t="shared" si="6"/>
        <v>0</v>
      </c>
      <c r="E36" s="1174">
        <f t="shared" si="6"/>
        <v>50000</v>
      </c>
      <c r="F36" s="1174">
        <f t="shared" si="6"/>
        <v>0</v>
      </c>
      <c r="G36" s="1174">
        <f t="shared" si="6"/>
        <v>0</v>
      </c>
      <c r="H36" s="1174">
        <f t="shared" si="6"/>
        <v>0</v>
      </c>
      <c r="I36" s="1174">
        <f t="shared" si="6"/>
        <v>50000</v>
      </c>
      <c r="J36" s="1146"/>
      <c r="K36" s="852"/>
      <c r="L36" s="1147"/>
      <c r="M36" s="1147"/>
      <c r="N36" s="1147"/>
      <c r="O36" s="1156"/>
      <c r="P36" s="1156"/>
      <c r="R36" s="1149"/>
    </row>
    <row r="37" spans="1:25" s="9" customFormat="1" ht="16.5" customHeight="1" x14ac:dyDescent="0.3">
      <c r="A37" s="1150"/>
      <c r="B37" s="2932" t="s">
        <v>401</v>
      </c>
      <c r="C37" s="2933"/>
      <c r="D37" s="2933"/>
      <c r="E37" s="2933"/>
      <c r="F37" s="2933"/>
      <c r="G37" s="2933"/>
      <c r="H37" s="2933"/>
      <c r="I37" s="2934"/>
      <c r="J37" s="1146"/>
      <c r="K37" s="1175"/>
      <c r="L37" s="1175"/>
      <c r="M37" s="1175"/>
      <c r="N37" s="1175"/>
      <c r="O37" s="1175"/>
      <c r="P37" s="1175"/>
      <c r="R37" s="1149"/>
    </row>
    <row r="38" spans="1:25" s="9" customFormat="1" ht="16.5" customHeight="1" x14ac:dyDescent="0.25">
      <c r="A38" s="1150"/>
      <c r="B38" s="615" t="s">
        <v>402</v>
      </c>
      <c r="C38" s="638">
        <v>50000</v>
      </c>
      <c r="D38" s="638"/>
      <c r="E38" s="638">
        <v>10000</v>
      </c>
      <c r="F38" s="638"/>
      <c r="G38" s="638"/>
      <c r="H38" s="638"/>
      <c r="I38" s="640">
        <f>SUM(C38:H38)</f>
        <v>60000</v>
      </c>
      <c r="J38" s="1146"/>
      <c r="K38" s="582"/>
      <c r="L38" s="582"/>
      <c r="M38" s="582"/>
      <c r="N38" s="582"/>
      <c r="O38" s="582"/>
      <c r="P38" s="584"/>
      <c r="Q38" s="1156"/>
      <c r="R38" s="1149"/>
    </row>
    <row r="39" spans="1:25" s="9" customFormat="1" ht="16.5" customHeight="1" x14ac:dyDescent="0.25">
      <c r="A39" s="1150"/>
      <c r="B39" s="615" t="s">
        <v>403</v>
      </c>
      <c r="C39" s="638"/>
      <c r="D39" s="638"/>
      <c r="E39" s="638">
        <v>50000</v>
      </c>
      <c r="F39" s="638"/>
      <c r="G39" s="638"/>
      <c r="H39" s="638"/>
      <c r="I39" s="640">
        <f t="shared" ref="I39:I44" si="7">SUM(C39:H39)</f>
        <v>50000</v>
      </c>
      <c r="J39" s="1146"/>
      <c r="K39" s="582"/>
      <c r="L39" s="582"/>
      <c r="M39" s="582"/>
      <c r="N39" s="582"/>
      <c r="O39" s="582"/>
      <c r="P39" s="584"/>
      <c r="Q39" s="1156"/>
      <c r="R39" s="1149"/>
    </row>
    <row r="40" spans="1:25" s="9" customFormat="1" ht="16.5" customHeight="1" x14ac:dyDescent="0.25">
      <c r="A40" s="1150"/>
      <c r="B40" s="615" t="s">
        <v>404</v>
      </c>
      <c r="C40" s="638"/>
      <c r="D40" s="638"/>
      <c r="E40" s="638">
        <v>45000</v>
      </c>
      <c r="F40" s="638"/>
      <c r="G40" s="638"/>
      <c r="H40" s="638"/>
      <c r="I40" s="640">
        <f t="shared" si="7"/>
        <v>45000</v>
      </c>
      <c r="J40" s="1146"/>
      <c r="K40" s="582"/>
      <c r="L40" s="582"/>
      <c r="M40" s="582"/>
      <c r="N40" s="582"/>
      <c r="O40" s="582"/>
      <c r="P40" s="584"/>
      <c r="Q40" s="1156"/>
    </row>
    <row r="41" spans="1:25" s="9" customFormat="1" ht="16.5" customHeight="1" x14ac:dyDescent="0.25">
      <c r="A41" s="1150"/>
      <c r="B41" s="615" t="s">
        <v>281</v>
      </c>
      <c r="C41" s="638">
        <v>60000</v>
      </c>
      <c r="D41" s="638"/>
      <c r="E41" s="638"/>
      <c r="F41" s="638"/>
      <c r="G41" s="638"/>
      <c r="H41" s="638"/>
      <c r="I41" s="640">
        <f t="shared" si="7"/>
        <v>60000</v>
      </c>
      <c r="J41" s="1146"/>
      <c r="K41" s="582"/>
      <c r="L41" s="582"/>
      <c r="M41" s="582"/>
      <c r="N41" s="582"/>
      <c r="O41" s="582"/>
      <c r="P41" s="584"/>
      <c r="Q41" s="1156"/>
      <c r="R41" s="1164"/>
      <c r="S41" s="1159"/>
    </row>
    <row r="42" spans="1:25" s="1159" customFormat="1" ht="16.5" customHeight="1" x14ac:dyDescent="0.25">
      <c r="A42" s="1145"/>
      <c r="B42" s="615" t="s">
        <v>405</v>
      </c>
      <c r="C42" s="638">
        <v>25270</v>
      </c>
      <c r="D42" s="638"/>
      <c r="E42" s="638">
        <v>279730</v>
      </c>
      <c r="F42" s="638"/>
      <c r="G42" s="638"/>
      <c r="H42" s="638"/>
      <c r="I42" s="640">
        <f t="shared" si="7"/>
        <v>305000</v>
      </c>
      <c r="J42" s="1146"/>
      <c r="K42" s="582"/>
      <c r="L42" s="582"/>
      <c r="M42" s="582"/>
      <c r="N42" s="582"/>
      <c r="O42" s="582"/>
      <c r="P42" s="584"/>
      <c r="Q42" s="1163"/>
      <c r="R42" s="9"/>
      <c r="S42" s="9"/>
      <c r="T42" s="9"/>
      <c r="U42" s="9"/>
      <c r="V42" s="9"/>
      <c r="W42" s="9"/>
      <c r="X42" s="9"/>
      <c r="Y42" s="9"/>
    </row>
    <row r="43" spans="1:25" s="9" customFormat="1" ht="16.5" customHeight="1" x14ac:dyDescent="0.25">
      <c r="A43" s="1145"/>
      <c r="B43" s="615" t="s">
        <v>406</v>
      </c>
      <c r="C43" s="638"/>
      <c r="D43" s="638"/>
      <c r="E43" s="638">
        <v>24750</v>
      </c>
      <c r="F43" s="638"/>
      <c r="G43" s="638"/>
      <c r="H43" s="638"/>
      <c r="I43" s="640">
        <f t="shared" si="7"/>
        <v>24750</v>
      </c>
      <c r="J43" s="1146"/>
      <c r="K43" s="1159"/>
      <c r="L43" s="1159"/>
      <c r="M43" s="848"/>
      <c r="P43" s="1176"/>
    </row>
    <row r="44" spans="1:25" s="9" customFormat="1" ht="16.5" customHeight="1" thickBot="1" x14ac:dyDescent="0.3">
      <c r="A44" s="1145"/>
      <c r="B44" s="616" t="s">
        <v>407</v>
      </c>
      <c r="C44" s="638"/>
      <c r="D44" s="638"/>
      <c r="E44" s="638"/>
      <c r="F44" s="638"/>
      <c r="G44" s="638"/>
      <c r="H44" s="638">
        <v>407745.95</v>
      </c>
      <c r="I44" s="640">
        <f t="shared" si="7"/>
        <v>407745.95</v>
      </c>
      <c r="J44" s="1146"/>
      <c r="K44" s="1159"/>
      <c r="L44" s="1159"/>
      <c r="M44" s="848"/>
    </row>
    <row r="45" spans="1:25" s="9" customFormat="1" ht="16.5" customHeight="1" thickBot="1" x14ac:dyDescent="0.3">
      <c r="A45" s="1145"/>
      <c r="B45" s="232" t="s">
        <v>43</v>
      </c>
      <c r="C45" s="1177">
        <f t="shared" ref="C45:I45" si="8">SUM(C38:C44)</f>
        <v>135270</v>
      </c>
      <c r="D45" s="1177">
        <f t="shared" si="8"/>
        <v>0</v>
      </c>
      <c r="E45" s="1177">
        <f t="shared" si="8"/>
        <v>409480</v>
      </c>
      <c r="F45" s="1177">
        <f t="shared" si="8"/>
        <v>0</v>
      </c>
      <c r="G45" s="1177">
        <f t="shared" si="8"/>
        <v>0</v>
      </c>
      <c r="H45" s="1177">
        <f t="shared" si="8"/>
        <v>407745.95</v>
      </c>
      <c r="I45" s="1177">
        <f t="shared" si="8"/>
        <v>952495.95</v>
      </c>
      <c r="J45" s="1146"/>
      <c r="K45" s="1159"/>
      <c r="L45" s="1159"/>
      <c r="M45" s="848"/>
    </row>
    <row r="46" spans="1:25" ht="19.5" customHeight="1" thickBot="1" x14ac:dyDescent="0.35">
      <c r="A46" s="83"/>
      <c r="B46" s="2935" t="s">
        <v>28</v>
      </c>
      <c r="C46" s="2936"/>
      <c r="D46" s="2936"/>
      <c r="E46" s="2936"/>
      <c r="F46" s="2936"/>
      <c r="G46" s="2936"/>
      <c r="H46" s="2936"/>
      <c r="I46" s="2937"/>
      <c r="J46" s="166"/>
      <c r="K46" s="52"/>
      <c r="M46" s="141"/>
    </row>
    <row r="47" spans="1:25" ht="21" customHeight="1" x14ac:dyDescent="0.3">
      <c r="A47" s="83"/>
      <c r="B47" s="1032" t="s">
        <v>7</v>
      </c>
      <c r="C47" s="655">
        <f>+C11+((C28+C39)*0.8)+C30+C31</f>
        <v>421275.75</v>
      </c>
      <c r="D47" s="655">
        <f t="shared" ref="D47:I47" si="9">+D11+((D28+D39)*0.8)+D30+D31</f>
        <v>9879.9996819999997</v>
      </c>
      <c r="E47" s="655">
        <f t="shared" si="9"/>
        <v>426794.85997800005</v>
      </c>
      <c r="F47" s="655">
        <f t="shared" si="9"/>
        <v>4339763</v>
      </c>
      <c r="G47" s="655">
        <f t="shared" si="9"/>
        <v>52245</v>
      </c>
      <c r="H47" s="655">
        <f t="shared" si="9"/>
        <v>14959.999781999999</v>
      </c>
      <c r="I47" s="1033">
        <f t="shared" si="9"/>
        <v>5264918.6094419993</v>
      </c>
      <c r="J47" s="522"/>
      <c r="M47" s="141"/>
    </row>
    <row r="48" spans="1:25" ht="21" customHeight="1" x14ac:dyDescent="0.3">
      <c r="A48" s="21"/>
      <c r="B48" s="1034" t="s">
        <v>8</v>
      </c>
      <c r="C48" s="657">
        <f>+C22+((C28+C39)*0.2)+C32</f>
        <v>298514.28997516836</v>
      </c>
      <c r="D48" s="657">
        <f t="shared" ref="D48:I48" si="10">+D22+((D28+D39)*0.2)+D32</f>
        <v>3533.4830306052268</v>
      </c>
      <c r="E48" s="657">
        <f t="shared" si="10"/>
        <v>234181.45595208564</v>
      </c>
      <c r="F48" s="657">
        <f t="shared" si="10"/>
        <v>1807141.6</v>
      </c>
      <c r="G48" s="657">
        <f t="shared" si="10"/>
        <v>6335.588712347042</v>
      </c>
      <c r="H48" s="657">
        <f t="shared" si="10"/>
        <v>20294</v>
      </c>
      <c r="I48" s="1035">
        <f t="shared" si="10"/>
        <v>2370000.4176702062</v>
      </c>
      <c r="J48" s="522"/>
      <c r="K48" s="521"/>
      <c r="M48" s="141"/>
    </row>
    <row r="49" spans="1:13" ht="21" customHeight="1" thickBot="1" x14ac:dyDescent="0.35">
      <c r="A49" s="86"/>
      <c r="B49" s="1036" t="s">
        <v>12</v>
      </c>
      <c r="C49" s="659">
        <f>+C38+C40+C41+C42+C43+C44+C35</f>
        <v>135270</v>
      </c>
      <c r="D49" s="659">
        <f t="shared" ref="D49:I49" si="11">+D38+D40+D41+D42+D43+D44+D35</f>
        <v>0</v>
      </c>
      <c r="E49" s="659">
        <f t="shared" si="11"/>
        <v>409480</v>
      </c>
      <c r="F49" s="659">
        <f t="shared" si="11"/>
        <v>0</v>
      </c>
      <c r="G49" s="659">
        <f t="shared" si="11"/>
        <v>0</v>
      </c>
      <c r="H49" s="659">
        <f t="shared" si="11"/>
        <v>407745.95</v>
      </c>
      <c r="I49" s="1037">
        <f t="shared" si="11"/>
        <v>952495.95</v>
      </c>
      <c r="J49" s="45"/>
      <c r="M49" s="141"/>
    </row>
    <row r="50" spans="1:13" ht="21" thickBot="1" x14ac:dyDescent="0.35">
      <c r="A50" s="83"/>
      <c r="B50" s="648" t="s">
        <v>58</v>
      </c>
      <c r="C50" s="649">
        <f t="shared" ref="C50:I50" si="12">SUM(C47:C49)</f>
        <v>855060.03997516842</v>
      </c>
      <c r="D50" s="649">
        <f t="shared" si="12"/>
        <v>13413.482712605226</v>
      </c>
      <c r="E50" s="649">
        <f t="shared" si="12"/>
        <v>1070456.3159300857</v>
      </c>
      <c r="F50" s="649">
        <f t="shared" si="12"/>
        <v>6146904.5999999996</v>
      </c>
      <c r="G50" s="649">
        <f t="shared" si="12"/>
        <v>58580.588712347046</v>
      </c>
      <c r="H50" s="649">
        <f t="shared" si="12"/>
        <v>442999.94978200004</v>
      </c>
      <c r="I50" s="649">
        <f t="shared" si="12"/>
        <v>8587414.9771122057</v>
      </c>
      <c r="J50" s="45"/>
      <c r="M50" s="141"/>
    </row>
    <row r="51" spans="1:13" ht="20.25" x14ac:dyDescent="0.3">
      <c r="A51" s="87"/>
      <c r="B51" s="88"/>
      <c r="C51" s="1912"/>
      <c r="D51" s="1912"/>
      <c r="E51" s="1912"/>
      <c r="F51" s="1912"/>
      <c r="G51" s="1912"/>
      <c r="H51" s="1912"/>
      <c r="I51" s="135"/>
      <c r="J51" s="45"/>
    </row>
    <row r="52" spans="1:13" ht="20.25" x14ac:dyDescent="0.3">
      <c r="A52" s="87"/>
      <c r="B52" s="90"/>
      <c r="C52" s="22"/>
      <c r="D52" s="22"/>
      <c r="E52" s="22"/>
      <c r="F52" s="22"/>
      <c r="G52" s="22"/>
      <c r="H52" s="22"/>
      <c r="I52" s="135"/>
      <c r="J52" s="136"/>
    </row>
    <row r="53" spans="1:13" ht="20.25" x14ac:dyDescent="0.3">
      <c r="A53" s="81"/>
      <c r="B53" s="143"/>
      <c r="C53" s="134"/>
    </row>
    <row r="54" spans="1:13" ht="20.25" x14ac:dyDescent="0.3">
      <c r="A54" s="81"/>
      <c r="B54" s="143"/>
    </row>
    <row r="55" spans="1:13" ht="15.75" x14ac:dyDescent="0.25">
      <c r="A55" s="81"/>
      <c r="B55" s="144"/>
      <c r="D55" s="64"/>
      <c r="E55" s="64"/>
    </row>
    <row r="56" spans="1:13" ht="15.75" x14ac:dyDescent="0.25">
      <c r="B56" s="144"/>
    </row>
    <row r="57" spans="1:13" ht="15.75" x14ac:dyDescent="0.25">
      <c r="B57" s="144"/>
    </row>
    <row r="58" spans="1:13" ht="15.75" x14ac:dyDescent="0.25">
      <c r="B58" s="144"/>
    </row>
    <row r="59" spans="1:13" ht="15.75" x14ac:dyDescent="0.25">
      <c r="B59" s="144"/>
    </row>
    <row r="60" spans="1:13" ht="15.75" x14ac:dyDescent="0.25">
      <c r="B60" s="144"/>
    </row>
    <row r="61" spans="1:13" ht="15.75" x14ac:dyDescent="0.25">
      <c r="B61" s="144"/>
    </row>
    <row r="62" spans="1:13" ht="15.75" x14ac:dyDescent="0.25">
      <c r="B62" s="144"/>
    </row>
    <row r="63" spans="1:13" ht="15.75" x14ac:dyDescent="0.25">
      <c r="B63" s="144"/>
    </row>
    <row r="80" spans="8:8" x14ac:dyDescent="0.2">
      <c r="H80" s="49">
        <f>1781*12</f>
        <v>21372</v>
      </c>
    </row>
  </sheetData>
  <mergeCells count="13">
    <mergeCell ref="B17:I17"/>
    <mergeCell ref="B23:I23"/>
    <mergeCell ref="B24:I24"/>
    <mergeCell ref="B1:I1"/>
    <mergeCell ref="B2:I2"/>
    <mergeCell ref="B6:I6"/>
    <mergeCell ref="B13:I13"/>
    <mergeCell ref="B16:I16"/>
    <mergeCell ref="B25:I25"/>
    <mergeCell ref="B29:I29"/>
    <mergeCell ref="B34:I34"/>
    <mergeCell ref="B37:I37"/>
    <mergeCell ref="B46:I46"/>
  </mergeCells>
  <phoneticPr fontId="10" type="noConversion"/>
  <printOptions horizontalCentered="1" verticalCentered="1"/>
  <pageMargins left="0.61" right="0.31" top="0.2" bottom="0.43" header="0.2" footer="0.18"/>
  <pageSetup scale="61" orientation="landscape" r:id="rId1"/>
  <headerFooter alignWithMargins="0">
    <oddFooter>&amp;R
&amp;C&amp;"Arial"&amp;11&amp;K000000&amp;14
Totals may vary due to rounding&amp;12
_x000D_&amp;1#&amp;"Calibri"&amp;12&amp;K008000Internal Use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8">
    <tabColor indexed="47"/>
  </sheetPr>
  <dimension ref="A1:F43"/>
  <sheetViews>
    <sheetView topLeftCell="A19" workbookViewId="0">
      <selection activeCell="J32" sqref="J32"/>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313</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'CNG Table C 2013'!C50</f>
        <v>855060.03997516842</v>
      </c>
      <c r="D34" s="236">
        <f t="shared" ref="D34:D39" si="0">SUM(B34/$B$41)</f>
        <v>9.9571296164693998E-2</v>
      </c>
    </row>
    <row r="35" spans="1:4" x14ac:dyDescent="0.2">
      <c r="A35" t="s">
        <v>19</v>
      </c>
      <c r="B35" s="14">
        <f>'CNG Table C 2013'!D50</f>
        <v>13413.482712605226</v>
      </c>
      <c r="D35" s="236">
        <f t="shared" si="0"/>
        <v>1.5619930733935419E-3</v>
      </c>
    </row>
    <row r="36" spans="1:4" x14ac:dyDescent="0.2">
      <c r="A36" t="s">
        <v>4</v>
      </c>
      <c r="B36" s="14">
        <f>'CNG Table C 2013'!E50</f>
        <v>1070456.3159300857</v>
      </c>
      <c r="D36" s="236">
        <f t="shared" si="0"/>
        <v>0.12465408027714309</v>
      </c>
    </row>
    <row r="37" spans="1:4" x14ac:dyDescent="0.2">
      <c r="A37" t="s">
        <v>2</v>
      </c>
      <c r="B37" s="14">
        <f>'CNG Table C 2013'!F50</f>
        <v>6146904.5999999996</v>
      </c>
      <c r="D37" s="236">
        <f t="shared" si="0"/>
        <v>0.71580383810298798</v>
      </c>
    </row>
    <row r="38" spans="1:4" x14ac:dyDescent="0.2">
      <c r="A38" t="s">
        <v>14</v>
      </c>
      <c r="B38" s="14">
        <f>'CNG Table C 2013'!G50</f>
        <v>58580.588712347046</v>
      </c>
      <c r="D38" s="236">
        <f t="shared" si="0"/>
        <v>6.8216790347829038E-3</v>
      </c>
    </row>
    <row r="39" spans="1:4" x14ac:dyDescent="0.2">
      <c r="A39" t="s">
        <v>15</v>
      </c>
      <c r="B39" s="933">
        <f>'CNG Table C 2013'!H50</f>
        <v>442999.94978200004</v>
      </c>
      <c r="D39" s="934">
        <f t="shared" si="0"/>
        <v>5.1587113346998517E-2</v>
      </c>
    </row>
    <row r="40" spans="1:4" x14ac:dyDescent="0.2">
      <c r="D40" s="47"/>
    </row>
    <row r="41" spans="1:4" x14ac:dyDescent="0.2">
      <c r="A41" s="629" t="s">
        <v>0</v>
      </c>
      <c r="B41" s="178">
        <f>SUM(B34:B39)</f>
        <v>8587414.9771122057</v>
      </c>
      <c r="D41" s="127">
        <f>SUM(D34:D39)</f>
        <v>1</v>
      </c>
    </row>
    <row r="43" spans="1:4" x14ac:dyDescent="0.2">
      <c r="A43" s="46"/>
    </row>
  </sheetData>
  <mergeCells count="3">
    <mergeCell ref="A1:E1"/>
    <mergeCell ref="A2:E2"/>
    <mergeCell ref="A3:E3"/>
  </mergeCells>
  <phoneticPr fontId="10" type="noConversion"/>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indexed="47"/>
    <pageSetUpPr fitToPage="1"/>
  </sheetPr>
  <dimension ref="A1:AA53"/>
  <sheetViews>
    <sheetView topLeftCell="A16" zoomScale="75" workbookViewId="0">
      <selection activeCell="E33" sqref="E33"/>
    </sheetView>
  </sheetViews>
  <sheetFormatPr defaultRowHeight="12.75" x14ac:dyDescent="0.2"/>
  <cols>
    <col min="1" max="1" width="7.140625" style="49" customWidth="1"/>
    <col min="2" max="2" width="56.85546875" style="49" bestFit="1" customWidth="1"/>
    <col min="3" max="3" width="18.5703125" style="64" customWidth="1"/>
    <col min="4" max="4" width="15.7109375" style="63" customWidth="1"/>
    <col min="5" max="5" width="20.85546875" style="63" bestFit="1" customWidth="1"/>
    <col min="6" max="6" width="17.42578125" style="49" customWidth="1"/>
    <col min="7" max="7" width="16.5703125" style="49" customWidth="1"/>
    <col min="8" max="8" width="20.42578125" style="49" customWidth="1"/>
    <col min="9" max="9" width="21.140625" style="49" customWidth="1"/>
    <col min="10" max="10" width="12.85546875" style="50" customWidth="1"/>
    <col min="11" max="11" width="23.42578125" style="50" customWidth="1"/>
    <col min="12" max="12" width="16.28515625" style="50" customWidth="1"/>
    <col min="13" max="14" width="10.7109375" style="50" customWidth="1"/>
    <col min="15" max="15" width="10.7109375" style="49" customWidth="1"/>
    <col min="16" max="16" width="13.42578125" style="49" customWidth="1"/>
    <col min="17" max="20" width="10.7109375" style="49" customWidth="1"/>
    <col min="21" max="16384" width="9.140625" style="49"/>
  </cols>
  <sheetData>
    <row r="1" spans="1:27" ht="26.25" x14ac:dyDescent="0.4">
      <c r="B1" s="2884" t="s">
        <v>82</v>
      </c>
      <c r="C1" s="2884"/>
      <c r="D1" s="2884"/>
      <c r="E1" s="2884"/>
      <c r="F1" s="2884"/>
      <c r="G1" s="2884"/>
      <c r="H1" s="2884"/>
      <c r="I1" s="2884"/>
    </row>
    <row r="2" spans="1:27" ht="26.25" x14ac:dyDescent="0.4">
      <c r="B2" s="2884" t="s">
        <v>255</v>
      </c>
      <c r="C2" s="2884"/>
      <c r="D2" s="2884"/>
      <c r="E2" s="2884"/>
      <c r="F2" s="2884"/>
      <c r="G2" s="2884"/>
      <c r="H2" s="2884"/>
      <c r="I2" s="2884"/>
    </row>
    <row r="3" spans="1:27" ht="26.25" x14ac:dyDescent="0.4">
      <c r="B3" s="2884" t="s">
        <v>301</v>
      </c>
      <c r="C3" s="2884"/>
      <c r="D3" s="2884"/>
      <c r="E3" s="2884"/>
      <c r="F3" s="2884"/>
      <c r="G3" s="2884"/>
      <c r="H3" s="2884"/>
      <c r="I3" s="2884"/>
    </row>
    <row r="4" spans="1:27" ht="6.75" customHeight="1" thickBot="1" x14ac:dyDescent="0.3">
      <c r="B4" s="11"/>
      <c r="C4" s="10"/>
      <c r="D4" s="8"/>
      <c r="E4" s="8"/>
      <c r="F4" s="9"/>
      <c r="G4" s="9"/>
      <c r="H4" s="9"/>
      <c r="I4" s="9"/>
    </row>
    <row r="5" spans="1:27" ht="48.75" thickBot="1" x14ac:dyDescent="0.35">
      <c r="A5" s="21"/>
      <c r="B5" s="630" t="s">
        <v>42</v>
      </c>
      <c r="C5" s="631" t="s">
        <v>53</v>
      </c>
      <c r="D5" s="631" t="s">
        <v>13</v>
      </c>
      <c r="E5" s="631" t="s">
        <v>4</v>
      </c>
      <c r="F5" s="631" t="s">
        <v>2</v>
      </c>
      <c r="G5" s="631" t="s">
        <v>14</v>
      </c>
      <c r="H5" s="631" t="s">
        <v>15</v>
      </c>
      <c r="I5" s="631" t="s">
        <v>16</v>
      </c>
      <c r="J5" s="45"/>
      <c r="K5" s="45"/>
    </row>
    <row r="6" spans="1:27" ht="21" thickBot="1" x14ac:dyDescent="0.35">
      <c r="A6" s="21"/>
      <c r="B6" s="2888" t="s">
        <v>5</v>
      </c>
      <c r="C6" s="2889"/>
      <c r="D6" s="2889"/>
      <c r="E6" s="2889"/>
      <c r="F6" s="2889"/>
      <c r="G6" s="2889"/>
      <c r="H6" s="2889"/>
      <c r="I6" s="2890"/>
      <c r="J6" s="45"/>
      <c r="K6" s="82"/>
      <c r="L6" s="52"/>
      <c r="M6" s="52"/>
    </row>
    <row r="7" spans="1:27" ht="20.25" x14ac:dyDescent="0.3">
      <c r="A7" s="83"/>
      <c r="B7" s="156" t="s">
        <v>222</v>
      </c>
      <c r="C7" s="633">
        <v>168744</v>
      </c>
      <c r="D7" s="633">
        <v>3500</v>
      </c>
      <c r="E7" s="633">
        <v>44350</v>
      </c>
      <c r="F7" s="633">
        <v>1851750</v>
      </c>
      <c r="G7" s="633">
        <v>7800</v>
      </c>
      <c r="H7" s="633">
        <v>2600</v>
      </c>
      <c r="I7" s="660">
        <f>SUM(C7:H7)</f>
        <v>2078744</v>
      </c>
      <c r="J7" s="85"/>
      <c r="K7" s="519"/>
      <c r="L7" s="583">
        <v>0.11555302314166244</v>
      </c>
      <c r="M7" s="583">
        <v>3.5248018053987027E-3</v>
      </c>
      <c r="N7" s="572">
        <v>6.6949853490573502E-2</v>
      </c>
      <c r="O7" s="584">
        <f>1-SUM(L7,M7,N7,P7,Q7)</f>
        <v>0.80869655634906357</v>
      </c>
      <c r="P7" s="584">
        <v>2.6378826066509064E-3</v>
      </c>
      <c r="Q7" s="584">
        <v>2.6378826066509064E-3</v>
      </c>
    </row>
    <row r="8" spans="1:27" ht="21" thickBot="1" x14ac:dyDescent="0.35">
      <c r="A8" s="83"/>
      <c r="B8" s="617" t="s">
        <v>223</v>
      </c>
      <c r="C8" s="641"/>
      <c r="D8" s="641"/>
      <c r="E8" s="641">
        <v>25772</v>
      </c>
      <c r="F8" s="641"/>
      <c r="G8" s="641"/>
      <c r="H8" s="641"/>
      <c r="I8" s="643">
        <f>C8+D8+E8+F8+G8+H8</f>
        <v>25772</v>
      </c>
      <c r="J8" s="85"/>
      <c r="K8" s="519"/>
      <c r="L8" s="167"/>
      <c r="M8" s="52"/>
      <c r="N8" s="141"/>
    </row>
    <row r="9" spans="1:27" ht="21" thickBot="1" x14ac:dyDescent="0.35">
      <c r="A9" s="83"/>
      <c r="B9" s="620" t="s">
        <v>236</v>
      </c>
      <c r="C9" s="792">
        <f t="shared" ref="C9:I9" si="0">SUM(C7:C8)</f>
        <v>168744</v>
      </c>
      <c r="D9" s="636">
        <f t="shared" si="0"/>
        <v>3500</v>
      </c>
      <c r="E9" s="636">
        <f t="shared" si="0"/>
        <v>70122</v>
      </c>
      <c r="F9" s="636">
        <f t="shared" si="0"/>
        <v>1851750</v>
      </c>
      <c r="G9" s="636">
        <f t="shared" si="0"/>
        <v>7800</v>
      </c>
      <c r="H9" s="636">
        <f t="shared" si="0"/>
        <v>2600</v>
      </c>
      <c r="I9" s="842">
        <f t="shared" si="0"/>
        <v>2104516</v>
      </c>
      <c r="J9" s="85"/>
      <c r="K9" s="516"/>
      <c r="L9" s="167"/>
      <c r="M9" s="52"/>
      <c r="N9" s="141"/>
    </row>
    <row r="10" spans="1:27" ht="20.25" x14ac:dyDescent="0.3">
      <c r="A10" s="83"/>
      <c r="B10" s="156" t="s">
        <v>149</v>
      </c>
      <c r="C10" s="843">
        <v>297920</v>
      </c>
      <c r="D10" s="633">
        <v>5040</v>
      </c>
      <c r="E10" s="633">
        <v>24466</v>
      </c>
      <c r="F10" s="633">
        <v>2479619</v>
      </c>
      <c r="G10" s="633">
        <v>37644</v>
      </c>
      <c r="H10" s="633">
        <v>7560</v>
      </c>
      <c r="I10" s="634">
        <f>SUM(C10:H10)</f>
        <v>2852249</v>
      </c>
      <c r="J10" s="825"/>
      <c r="K10" s="585"/>
      <c r="L10" s="583">
        <v>0.12147334143155611</v>
      </c>
      <c r="M10" s="583">
        <f>D10/$I$10</f>
        <v>1.7670266516001934E-3</v>
      </c>
      <c r="N10" s="583">
        <f>E10/$I$10</f>
        <v>8.577792471835384E-3</v>
      </c>
      <c r="O10" s="583">
        <f>F10/$I$10</f>
        <v>0.86935572595520239</v>
      </c>
      <c r="P10" s="583">
        <f>G10/$I$10</f>
        <v>1.3198006204928111E-2</v>
      </c>
      <c r="Q10" s="583">
        <f>H10/$I$10</f>
        <v>2.65053997740029E-3</v>
      </c>
      <c r="R10" s="586"/>
      <c r="S10" s="587"/>
    </row>
    <row r="11" spans="1:27" ht="20.25" x14ac:dyDescent="0.3">
      <c r="A11" s="83"/>
      <c r="B11" s="614" t="s">
        <v>227</v>
      </c>
      <c r="C11" s="844">
        <v>33250</v>
      </c>
      <c r="D11" s="661">
        <v>840</v>
      </c>
      <c r="E11" s="661">
        <v>53305</v>
      </c>
      <c r="F11" s="661">
        <v>251545</v>
      </c>
      <c r="G11" s="661">
        <v>8260</v>
      </c>
      <c r="H11" s="638">
        <v>2800</v>
      </c>
      <c r="I11" s="640">
        <f>SUM(C11:H11)</f>
        <v>350000</v>
      </c>
      <c r="J11" s="613"/>
      <c r="K11" s="585"/>
      <c r="L11" s="601">
        <v>9.1200000000000003E-2</v>
      </c>
      <c r="M11" s="826">
        <v>2.3999999999999998E-3</v>
      </c>
      <c r="N11" s="827">
        <v>0.15229999999999999</v>
      </c>
      <c r="O11" s="827">
        <f>1-SUM(L11,M11,N11,P11,Q11)</f>
        <v>0.72249999999999992</v>
      </c>
      <c r="P11" s="827">
        <v>2.3599999999999999E-2</v>
      </c>
      <c r="Q11" s="827">
        <v>8.0000000000000002E-3</v>
      </c>
    </row>
    <row r="12" spans="1:27" ht="21" thickBot="1" x14ac:dyDescent="0.35">
      <c r="A12" s="84"/>
      <c r="B12" s="616" t="s">
        <v>150</v>
      </c>
      <c r="C12" s="845">
        <v>5000</v>
      </c>
      <c r="D12" s="635">
        <v>500</v>
      </c>
      <c r="E12" s="635">
        <v>2305</v>
      </c>
      <c r="F12" s="635">
        <v>23800</v>
      </c>
      <c r="G12" s="635">
        <v>6450</v>
      </c>
      <c r="H12" s="641">
        <v>2000</v>
      </c>
      <c r="I12" s="643">
        <f>SUM(C12:H12)</f>
        <v>40055</v>
      </c>
      <c r="J12" s="85"/>
      <c r="K12" s="588"/>
      <c r="L12" s="602">
        <v>0.17666034155597723</v>
      </c>
      <c r="M12" s="828">
        <v>4.7438330170777986E-3</v>
      </c>
      <c r="N12" s="829">
        <v>2.1869070208728653E-2</v>
      </c>
      <c r="O12" s="829">
        <f>1-0.28344402</f>
        <v>0.71655597999999998</v>
      </c>
      <c r="P12" s="829">
        <v>6.1195445920303605E-2</v>
      </c>
      <c r="Q12" s="830">
        <v>1.8975332068311195E-2</v>
      </c>
    </row>
    <row r="13" spans="1:27" ht="21" thickBot="1" x14ac:dyDescent="0.35">
      <c r="A13" s="84"/>
      <c r="B13" s="232" t="s">
        <v>30</v>
      </c>
      <c r="C13" s="662">
        <f t="shared" ref="C13:I13" si="1">SUM(C9:C12)</f>
        <v>504914</v>
      </c>
      <c r="D13" s="662">
        <f t="shared" si="1"/>
        <v>9880</v>
      </c>
      <c r="E13" s="662">
        <f t="shared" si="1"/>
        <v>150198</v>
      </c>
      <c r="F13" s="662">
        <f t="shared" si="1"/>
        <v>4606714</v>
      </c>
      <c r="G13" s="662">
        <f t="shared" si="1"/>
        <v>60154</v>
      </c>
      <c r="H13" s="662">
        <f t="shared" si="1"/>
        <v>14960</v>
      </c>
      <c r="I13" s="662">
        <f t="shared" si="1"/>
        <v>5346820</v>
      </c>
      <c r="J13" s="85"/>
      <c r="K13" s="520"/>
      <c r="L13" s="520"/>
      <c r="M13" s="52"/>
    </row>
    <row r="14" spans="1:27" s="51" customFormat="1" ht="15" x14ac:dyDescent="0.2">
      <c r="B14" s="663"/>
      <c r="C14" s="664"/>
      <c r="D14" s="622"/>
      <c r="E14" s="622"/>
      <c r="F14" s="665"/>
      <c r="G14" s="665"/>
      <c r="H14" s="665"/>
      <c r="I14" s="666"/>
      <c r="J14" s="52"/>
      <c r="K14" s="52"/>
      <c r="L14" s="52"/>
      <c r="M14" s="52"/>
      <c r="N14" s="52"/>
      <c r="T14" s="846"/>
      <c r="U14" s="49"/>
      <c r="V14" s="49"/>
      <c r="W14" s="49"/>
      <c r="X14" s="49"/>
      <c r="Y14" s="49"/>
      <c r="Z14" s="49"/>
      <c r="AA14" s="49"/>
    </row>
    <row r="15" spans="1:27" ht="21" thickBot="1" x14ac:dyDescent="0.35">
      <c r="A15" s="84"/>
      <c r="B15" s="2885" t="s">
        <v>151</v>
      </c>
      <c r="C15" s="2886"/>
      <c r="D15" s="2886"/>
      <c r="E15" s="2886"/>
      <c r="F15" s="2886"/>
      <c r="G15" s="2886"/>
      <c r="H15" s="2886"/>
      <c r="I15" s="2887"/>
      <c r="J15" s="142"/>
      <c r="K15" s="166"/>
      <c r="L15" s="141"/>
      <c r="T15" s="847"/>
      <c r="U15" s="51"/>
      <c r="V15" s="51"/>
      <c r="W15" s="51"/>
      <c r="X15" s="51"/>
      <c r="Y15" s="51"/>
      <c r="Z15" s="51"/>
      <c r="AA15" s="51"/>
    </row>
    <row r="16" spans="1:27" ht="21" thickBot="1" x14ac:dyDescent="0.35">
      <c r="A16" s="83"/>
      <c r="B16" s="100" t="s">
        <v>154</v>
      </c>
      <c r="C16" s="644">
        <v>295320</v>
      </c>
      <c r="D16" s="644">
        <v>6500</v>
      </c>
      <c r="E16" s="644">
        <v>211263</v>
      </c>
      <c r="F16" s="644">
        <v>1811381</v>
      </c>
      <c r="G16" s="644">
        <v>12500</v>
      </c>
      <c r="H16" s="644">
        <v>25500</v>
      </c>
      <c r="I16" s="634">
        <f>SUM(C16:H16)</f>
        <v>2362464</v>
      </c>
      <c r="J16" s="85"/>
      <c r="K16" s="519"/>
      <c r="L16" s="517"/>
      <c r="M16" s="581"/>
      <c r="N16" s="581"/>
      <c r="O16" s="581"/>
      <c r="P16" s="582"/>
      <c r="Q16" s="582"/>
      <c r="R16" s="582"/>
      <c r="S16" s="582"/>
      <c r="T16" s="65"/>
    </row>
    <row r="17" spans="1:27" ht="21" thickBot="1" x14ac:dyDescent="0.35">
      <c r="A17" s="84"/>
      <c r="B17" s="26" t="s">
        <v>152</v>
      </c>
      <c r="C17" s="645">
        <f>SUM(C16)</f>
        <v>295320</v>
      </c>
      <c r="D17" s="645">
        <f t="shared" ref="D17:I17" si="2">SUM(D16)</f>
        <v>6500</v>
      </c>
      <c r="E17" s="645">
        <f t="shared" si="2"/>
        <v>211263</v>
      </c>
      <c r="F17" s="645">
        <f t="shared" si="2"/>
        <v>1811381</v>
      </c>
      <c r="G17" s="645">
        <f t="shared" si="2"/>
        <v>12500</v>
      </c>
      <c r="H17" s="645">
        <f t="shared" si="2"/>
        <v>25500</v>
      </c>
      <c r="I17" s="645">
        <f t="shared" si="2"/>
        <v>2362464</v>
      </c>
      <c r="J17" s="85"/>
      <c r="K17" s="520"/>
      <c r="L17" s="848"/>
      <c r="M17" s="745"/>
      <c r="N17" s="745"/>
      <c r="O17" s="581"/>
      <c r="P17" s="582"/>
      <c r="Q17" s="582"/>
      <c r="R17" s="582"/>
    </row>
    <row r="18" spans="1:27" s="51" customFormat="1" ht="20.25" x14ac:dyDescent="0.3">
      <c r="A18" s="83"/>
      <c r="B18" s="2894"/>
      <c r="C18" s="2895"/>
      <c r="D18" s="2895"/>
      <c r="E18" s="2895"/>
      <c r="F18" s="2895"/>
      <c r="G18" s="2895"/>
      <c r="H18" s="2895"/>
      <c r="I18" s="2896"/>
      <c r="J18" s="142"/>
      <c r="K18" s="166"/>
      <c r="L18" s="849">
        <v>1240000</v>
      </c>
      <c r="M18" s="850">
        <v>1.9650000000000001</v>
      </c>
      <c r="N18" s="580"/>
      <c r="O18" s="580"/>
      <c r="P18" s="851">
        <f>I16</f>
        <v>2362464</v>
      </c>
      <c r="Q18" s="590"/>
      <c r="R18" s="590"/>
      <c r="U18" s="49"/>
      <c r="V18" s="49"/>
      <c r="W18" s="49"/>
      <c r="X18" s="49"/>
      <c r="Y18" s="49"/>
      <c r="Z18" s="49"/>
      <c r="AA18" s="49"/>
    </row>
    <row r="19" spans="1:27" ht="21" thickBot="1" x14ac:dyDescent="0.35">
      <c r="A19" s="84"/>
      <c r="B19" s="2885" t="s">
        <v>153</v>
      </c>
      <c r="C19" s="2886"/>
      <c r="D19" s="2886"/>
      <c r="E19" s="2886"/>
      <c r="F19" s="2886"/>
      <c r="G19" s="2886"/>
      <c r="H19" s="2886"/>
      <c r="I19" s="2887"/>
      <c r="J19" s="142"/>
      <c r="K19" s="166"/>
      <c r="L19" s="848"/>
      <c r="M19" s="581"/>
      <c r="N19" s="581"/>
      <c r="O19" s="581"/>
      <c r="P19" s="582"/>
      <c r="Q19" s="582"/>
      <c r="R19" s="582"/>
    </row>
    <row r="20" spans="1:27" ht="21" thickBot="1" x14ac:dyDescent="0.35">
      <c r="A20" s="83"/>
      <c r="B20" s="100" t="s">
        <v>155</v>
      </c>
      <c r="C20" s="644">
        <v>202749</v>
      </c>
      <c r="D20" s="644">
        <v>1200</v>
      </c>
      <c r="E20" s="644">
        <v>200595</v>
      </c>
      <c r="F20" s="644">
        <v>1304784</v>
      </c>
      <c r="G20" s="644">
        <v>8200</v>
      </c>
      <c r="H20" s="644">
        <v>17800</v>
      </c>
      <c r="I20" s="634">
        <f>SUM(C20:H20)</f>
        <v>1735328</v>
      </c>
      <c r="J20" s="85"/>
      <c r="L20" s="852">
        <v>860000</v>
      </c>
      <c r="M20" s="850">
        <v>1.9650000000000001</v>
      </c>
      <c r="N20" s="582"/>
      <c r="O20" s="853" t="s">
        <v>3</v>
      </c>
      <c r="P20" s="851">
        <f>I20</f>
        <v>1735328</v>
      </c>
      <c r="Q20" s="582"/>
      <c r="R20" s="582"/>
      <c r="T20" s="65"/>
    </row>
    <row r="21" spans="1:27" ht="21" thickBot="1" x14ac:dyDescent="0.35">
      <c r="A21" s="83"/>
      <c r="B21" s="100" t="s">
        <v>156</v>
      </c>
      <c r="C21" s="644">
        <v>51347</v>
      </c>
      <c r="D21" s="644">
        <v>1500</v>
      </c>
      <c r="E21" s="644">
        <v>12850</v>
      </c>
      <c r="F21" s="644">
        <v>113818</v>
      </c>
      <c r="G21" s="644">
        <v>3500</v>
      </c>
      <c r="H21" s="644">
        <v>7500</v>
      </c>
      <c r="I21" s="634">
        <f>SUM(C21:H21)</f>
        <v>190515</v>
      </c>
      <c r="J21" s="85"/>
      <c r="K21" s="600"/>
      <c r="L21" s="852">
        <v>100000</v>
      </c>
      <c r="M21" s="850">
        <v>1.9650000000000001</v>
      </c>
      <c r="N21" s="581"/>
      <c r="O21" s="581"/>
      <c r="P21" s="851">
        <f>I21</f>
        <v>190515</v>
      </c>
      <c r="Q21" s="582"/>
      <c r="R21" s="582"/>
      <c r="T21" s="65"/>
    </row>
    <row r="22" spans="1:27" ht="21" thickBot="1" x14ac:dyDescent="0.35">
      <c r="A22" s="84"/>
      <c r="B22" s="26" t="s">
        <v>299</v>
      </c>
      <c r="C22" s="645">
        <f t="shared" ref="C22:I22" si="3">SUM(C20:C21)</f>
        <v>254096</v>
      </c>
      <c r="D22" s="645">
        <f t="shared" si="3"/>
        <v>2700</v>
      </c>
      <c r="E22" s="645">
        <f t="shared" si="3"/>
        <v>213445</v>
      </c>
      <c r="F22" s="645">
        <f t="shared" si="3"/>
        <v>1418602</v>
      </c>
      <c r="G22" s="645">
        <f t="shared" si="3"/>
        <v>11700</v>
      </c>
      <c r="H22" s="645">
        <f t="shared" si="3"/>
        <v>25300</v>
      </c>
      <c r="I22" s="645">
        <f t="shared" si="3"/>
        <v>1925843</v>
      </c>
      <c r="J22" s="85"/>
      <c r="K22" s="600"/>
      <c r="L22" s="852"/>
      <c r="M22" s="850" t="s">
        <v>3</v>
      </c>
      <c r="N22" s="581"/>
      <c r="O22" s="581"/>
      <c r="P22" s="854"/>
      <c r="R22" s="582"/>
      <c r="T22" s="65"/>
      <c r="V22" s="50"/>
      <c r="W22" s="50"/>
      <c r="X22" s="50"/>
      <c r="Y22" s="50"/>
      <c r="Z22" s="50"/>
      <c r="AA22" s="50"/>
    </row>
    <row r="23" spans="1:27" ht="21" thickBot="1" x14ac:dyDescent="0.35">
      <c r="A23" s="84"/>
      <c r="B23" s="690" t="s">
        <v>245</v>
      </c>
      <c r="C23" s="703">
        <v>20922</v>
      </c>
      <c r="D23" s="703">
        <v>1250</v>
      </c>
      <c r="E23" s="703">
        <v>5800</v>
      </c>
      <c r="F23" s="703">
        <v>143557</v>
      </c>
      <c r="G23" s="703">
        <v>2200</v>
      </c>
      <c r="H23" s="703">
        <v>18715</v>
      </c>
      <c r="I23" s="703">
        <f>SUM(C23:H23)</f>
        <v>192444</v>
      </c>
      <c r="J23" s="85"/>
      <c r="L23" s="852">
        <v>100000</v>
      </c>
      <c r="M23" s="850">
        <v>1.9650000000000001</v>
      </c>
      <c r="N23" s="581"/>
      <c r="O23" s="581"/>
      <c r="P23" s="851">
        <f>I23</f>
        <v>192444</v>
      </c>
      <c r="Q23" s="582"/>
      <c r="R23" s="582"/>
      <c r="T23" s="65"/>
    </row>
    <row r="24" spans="1:27" ht="21" thickBot="1" x14ac:dyDescent="0.35">
      <c r="A24" s="84"/>
      <c r="B24" s="26" t="s">
        <v>31</v>
      </c>
      <c r="C24" s="645">
        <f>C17+C22+C23</f>
        <v>570338</v>
      </c>
      <c r="D24" s="645">
        <f t="shared" ref="D24:I24" si="4">D17+D22+D23</f>
        <v>10450</v>
      </c>
      <c r="E24" s="645">
        <f t="shared" si="4"/>
        <v>430508</v>
      </c>
      <c r="F24" s="645">
        <f t="shared" si="4"/>
        <v>3373540</v>
      </c>
      <c r="G24" s="645">
        <f t="shared" si="4"/>
        <v>26400</v>
      </c>
      <c r="H24" s="645">
        <f t="shared" si="4"/>
        <v>69515</v>
      </c>
      <c r="I24" s="645">
        <f t="shared" si="4"/>
        <v>4480751</v>
      </c>
      <c r="J24" s="85"/>
      <c r="K24" s="520"/>
      <c r="L24" s="517"/>
      <c r="M24" s="850" t="s">
        <v>3</v>
      </c>
      <c r="N24" s="581"/>
      <c r="O24" s="581"/>
      <c r="P24" s="582"/>
      <c r="Q24" s="582"/>
      <c r="R24" s="582"/>
      <c r="T24" s="65"/>
    </row>
    <row r="25" spans="1:27" s="51" customFormat="1" ht="20.25" x14ac:dyDescent="0.3">
      <c r="A25" s="83"/>
      <c r="B25" s="2894"/>
      <c r="C25" s="2895"/>
      <c r="D25" s="2895"/>
      <c r="E25" s="2895"/>
      <c r="F25" s="2895"/>
      <c r="G25" s="2895"/>
      <c r="H25" s="2895"/>
      <c r="I25" s="2896"/>
      <c r="J25" s="142"/>
      <c r="K25" s="855" t="s">
        <v>3</v>
      </c>
      <c r="L25" s="517"/>
      <c r="M25" s="581"/>
      <c r="N25" s="581"/>
      <c r="O25" s="581"/>
      <c r="P25" s="49"/>
      <c r="Q25" s="582"/>
      <c r="R25" s="582"/>
      <c r="S25" s="49"/>
      <c r="T25" s="65"/>
      <c r="U25" s="49"/>
      <c r="V25" s="50"/>
      <c r="W25" s="50"/>
      <c r="X25" s="50"/>
      <c r="Y25" s="50"/>
      <c r="Z25" s="50"/>
      <c r="AA25" s="50"/>
    </row>
    <row r="26" spans="1:27" ht="20.25" x14ac:dyDescent="0.3">
      <c r="A26" s="83"/>
      <c r="B26" s="2885" t="s">
        <v>158</v>
      </c>
      <c r="C26" s="2886"/>
      <c r="D26" s="2886"/>
      <c r="E26" s="2886"/>
      <c r="F26" s="2886"/>
      <c r="G26" s="2886"/>
      <c r="H26" s="2886"/>
      <c r="I26" s="2887"/>
      <c r="J26" s="85"/>
      <c r="L26" s="517"/>
      <c r="M26" s="581"/>
      <c r="N26" s="581"/>
      <c r="O26" s="581"/>
      <c r="P26" s="587"/>
      <c r="T26" s="65"/>
    </row>
    <row r="27" spans="1:27" ht="21" customHeight="1" x14ac:dyDescent="0.3">
      <c r="A27" s="84"/>
      <c r="B27" s="220" t="s">
        <v>159</v>
      </c>
      <c r="C27" s="669"/>
      <c r="D27" s="669"/>
      <c r="E27" s="669">
        <v>75000</v>
      </c>
      <c r="F27" s="669"/>
      <c r="G27" s="669"/>
      <c r="H27" s="669"/>
      <c r="I27" s="910">
        <f t="shared" ref="I27:I33" si="5">C27+D27+E27+F27+G27+H27</f>
        <v>75000</v>
      </c>
      <c r="J27" s="85"/>
      <c r="K27" s="597"/>
      <c r="L27" s="517"/>
      <c r="M27" s="581"/>
      <c r="N27" s="581"/>
      <c r="O27" s="581"/>
      <c r="P27" s="582"/>
      <c r="Q27" s="582"/>
      <c r="R27" s="582"/>
      <c r="T27" s="65"/>
    </row>
    <row r="28" spans="1:27" ht="21" customHeight="1" x14ac:dyDescent="0.3">
      <c r="A28" s="84"/>
      <c r="B28" s="220" t="s">
        <v>178</v>
      </c>
      <c r="C28" s="669"/>
      <c r="D28" s="669"/>
      <c r="E28" s="669">
        <v>135000</v>
      </c>
      <c r="F28" s="669"/>
      <c r="G28" s="669"/>
      <c r="H28" s="669"/>
      <c r="I28" s="910">
        <f t="shared" si="5"/>
        <v>135000</v>
      </c>
      <c r="J28" s="85"/>
      <c r="K28" s="522"/>
      <c r="L28" s="517"/>
      <c r="M28" s="581"/>
      <c r="N28" s="581"/>
      <c r="O28" s="581"/>
      <c r="P28" s="582"/>
      <c r="Q28" s="582"/>
      <c r="R28" s="582"/>
      <c r="U28" s="50"/>
    </row>
    <row r="29" spans="1:27" ht="21" customHeight="1" x14ac:dyDescent="0.3">
      <c r="A29" s="84"/>
      <c r="B29" s="220" t="s">
        <v>180</v>
      </c>
      <c r="C29" s="669"/>
      <c r="D29" s="669"/>
      <c r="E29" s="669">
        <v>75000</v>
      </c>
      <c r="F29" s="669"/>
      <c r="G29" s="669"/>
      <c r="H29" s="669"/>
      <c r="I29" s="910">
        <f t="shared" si="5"/>
        <v>75000</v>
      </c>
      <c r="J29" s="85"/>
      <c r="K29" s="522"/>
      <c r="L29" s="848">
        <v>200000</v>
      </c>
      <c r="M29" s="581">
        <v>0.1</v>
      </c>
      <c r="N29" s="581">
        <v>7.7999999999999996E-3</v>
      </c>
      <c r="O29" s="581">
        <v>1.6799999999999999E-2</v>
      </c>
      <c r="P29" s="582">
        <v>0.75556999999999996</v>
      </c>
      <c r="Q29" s="582">
        <v>1.06E-2</v>
      </c>
      <c r="R29" s="582">
        <v>0.10920000000000001</v>
      </c>
      <c r="T29" s="65">
        <f>SUM(M29:R29)</f>
        <v>0.99997000000000003</v>
      </c>
    </row>
    <row r="30" spans="1:27" ht="21" customHeight="1" x14ac:dyDescent="0.3">
      <c r="A30" s="84"/>
      <c r="B30" s="220" t="s">
        <v>168</v>
      </c>
      <c r="C30" s="669"/>
      <c r="D30" s="669"/>
      <c r="E30" s="669">
        <v>45000</v>
      </c>
      <c r="F30" s="669"/>
      <c r="G30" s="669"/>
      <c r="H30" s="669"/>
      <c r="I30" s="910">
        <f t="shared" si="5"/>
        <v>45000</v>
      </c>
      <c r="J30" s="85"/>
      <c r="K30" s="598"/>
      <c r="L30" s="141">
        <f>SUM(L16:L29)</f>
        <v>2500000</v>
      </c>
      <c r="M30" s="141"/>
      <c r="O30" s="50"/>
    </row>
    <row r="31" spans="1:27" ht="21" customHeight="1" x14ac:dyDescent="0.3">
      <c r="A31" s="84"/>
      <c r="B31" s="220" t="s">
        <v>121</v>
      </c>
      <c r="C31" s="669">
        <v>76500</v>
      </c>
      <c r="D31" s="669"/>
      <c r="E31" s="669">
        <v>0</v>
      </c>
      <c r="F31" s="669"/>
      <c r="G31" s="669"/>
      <c r="H31" s="669"/>
      <c r="I31" s="910">
        <f t="shared" si="5"/>
        <v>76500</v>
      </c>
      <c r="J31" s="85"/>
      <c r="K31" s="599"/>
      <c r="L31" s="852" t="s">
        <v>3</v>
      </c>
      <c r="M31" s="167"/>
      <c r="N31" s="52"/>
      <c r="O31" s="52"/>
      <c r="P31" s="856">
        <f>L29*P29</f>
        <v>151114</v>
      </c>
      <c r="Q31" s="831">
        <f>P29</f>
        <v>0.75556999999999996</v>
      </c>
      <c r="R31" s="51"/>
      <c r="S31" s="51"/>
      <c r="T31" s="51"/>
      <c r="U31" s="50"/>
    </row>
    <row r="32" spans="1:27" s="50" customFormat="1" ht="21" customHeight="1" x14ac:dyDescent="0.3">
      <c r="A32" s="83"/>
      <c r="B32" s="217" t="s">
        <v>157</v>
      </c>
      <c r="C32" s="669">
        <v>25270</v>
      </c>
      <c r="D32" s="671"/>
      <c r="E32" s="669">
        <f>'2012-2013 Combined Table A1 '!H49-C32</f>
        <v>460730</v>
      </c>
      <c r="F32" s="671"/>
      <c r="G32" s="671"/>
      <c r="H32" s="671"/>
      <c r="I32" s="910">
        <f t="shared" si="5"/>
        <v>486000</v>
      </c>
      <c r="J32" s="85"/>
      <c r="K32" s="599"/>
      <c r="N32" s="141"/>
      <c r="O32" s="49"/>
      <c r="P32" s="587">
        <f>P29*L29</f>
        <v>151114</v>
      </c>
      <c r="Q32" s="49"/>
      <c r="R32" s="49"/>
      <c r="S32" s="49"/>
      <c r="T32" s="49"/>
      <c r="U32" s="49"/>
      <c r="V32" s="49"/>
      <c r="W32" s="49"/>
      <c r="X32" s="49"/>
      <c r="Y32" s="49"/>
      <c r="Z32" s="49"/>
      <c r="AA32" s="49"/>
    </row>
    <row r="33" spans="1:27" ht="21" customHeight="1" thickBot="1" x14ac:dyDescent="0.35">
      <c r="A33" s="83"/>
      <c r="B33" s="911" t="s">
        <v>221</v>
      </c>
      <c r="C33" s="912"/>
      <c r="D33" s="912"/>
      <c r="E33" s="913">
        <v>24750</v>
      </c>
      <c r="F33" s="912"/>
      <c r="G33" s="912"/>
      <c r="H33" s="912"/>
      <c r="I33" s="914">
        <f t="shared" si="5"/>
        <v>24750</v>
      </c>
      <c r="J33" s="85"/>
      <c r="K33" s="598"/>
      <c r="N33" s="141"/>
    </row>
    <row r="34" spans="1:27" ht="21" thickBot="1" x14ac:dyDescent="0.35">
      <c r="A34" s="83"/>
      <c r="B34" s="648" t="s">
        <v>43</v>
      </c>
      <c r="C34" s="649">
        <f>SUM(C27:C33)</f>
        <v>101770</v>
      </c>
      <c r="D34" s="649">
        <f t="shared" ref="D34:I34" si="6">SUM(D27:D33)</f>
        <v>0</v>
      </c>
      <c r="E34" s="649">
        <f t="shared" si="6"/>
        <v>815480</v>
      </c>
      <c r="F34" s="649">
        <f t="shared" si="6"/>
        <v>0</v>
      </c>
      <c r="G34" s="649">
        <f t="shared" si="6"/>
        <v>0</v>
      </c>
      <c r="H34" s="649">
        <f t="shared" si="6"/>
        <v>0</v>
      </c>
      <c r="I34" s="649">
        <f t="shared" si="6"/>
        <v>917250</v>
      </c>
      <c r="J34" s="85"/>
      <c r="K34" s="596"/>
      <c r="N34" s="141"/>
    </row>
    <row r="35" spans="1:27" s="50" customFormat="1" ht="20.25" x14ac:dyDescent="0.3">
      <c r="A35" s="83"/>
      <c r="B35" s="651"/>
      <c r="C35" s="652"/>
      <c r="D35" s="652"/>
      <c r="E35" s="652"/>
      <c r="F35" s="652"/>
      <c r="G35" s="652"/>
      <c r="H35" s="652"/>
      <c r="I35" s="653"/>
      <c r="J35" s="142"/>
      <c r="N35" s="141"/>
      <c r="O35" s="49"/>
      <c r="P35" s="49"/>
      <c r="Q35" s="49"/>
      <c r="R35" s="49"/>
      <c r="S35" s="49"/>
      <c r="T35" s="49"/>
      <c r="U35" s="49"/>
      <c r="V35" s="49"/>
      <c r="W35" s="49"/>
      <c r="X35" s="49"/>
      <c r="Y35" s="49"/>
      <c r="Z35" s="49"/>
      <c r="AA35" s="49"/>
    </row>
    <row r="36" spans="1:27" ht="19.5" customHeight="1" thickBot="1" x14ac:dyDescent="0.35">
      <c r="A36" s="83"/>
      <c r="B36" s="2885" t="s">
        <v>28</v>
      </c>
      <c r="C36" s="2886"/>
      <c r="D36" s="2886"/>
      <c r="E36" s="2886"/>
      <c r="F36" s="2886"/>
      <c r="G36" s="2886"/>
      <c r="H36" s="2886"/>
      <c r="I36" s="2887"/>
      <c r="J36" s="166"/>
      <c r="K36" s="166"/>
      <c r="N36" s="141"/>
    </row>
    <row r="37" spans="1:27" ht="21" customHeight="1" x14ac:dyDescent="0.3">
      <c r="A37" s="83"/>
      <c r="B37" s="755" t="s">
        <v>7</v>
      </c>
      <c r="C37" s="916">
        <f>C13</f>
        <v>504914</v>
      </c>
      <c r="D37" s="916">
        <f>D13</f>
        <v>9880</v>
      </c>
      <c r="E37" s="916">
        <f>E13+E27+E28</f>
        <v>360198</v>
      </c>
      <c r="F37" s="916">
        <f>F13</f>
        <v>4606714</v>
      </c>
      <c r="G37" s="916">
        <f>G13</f>
        <v>60154</v>
      </c>
      <c r="H37" s="916">
        <f>H13</f>
        <v>14960</v>
      </c>
      <c r="I37" s="917">
        <f>I13+I27+I28</f>
        <v>5556820</v>
      </c>
      <c r="J37" s="45"/>
      <c r="K37" s="522"/>
      <c r="N37" s="141"/>
    </row>
    <row r="38" spans="1:27" ht="21" customHeight="1" x14ac:dyDescent="0.3">
      <c r="A38" s="21"/>
      <c r="B38" s="757" t="s">
        <v>8</v>
      </c>
      <c r="C38" s="915">
        <f>C24</f>
        <v>570338</v>
      </c>
      <c r="D38" s="915">
        <f>D24</f>
        <v>10450</v>
      </c>
      <c r="E38" s="915">
        <f>E24+E29</f>
        <v>505508</v>
      </c>
      <c r="F38" s="915">
        <f>F24</f>
        <v>3373540</v>
      </c>
      <c r="G38" s="915">
        <f>G24</f>
        <v>26400</v>
      </c>
      <c r="H38" s="915">
        <f>H24</f>
        <v>69515</v>
      </c>
      <c r="I38" s="918">
        <f>I24+I29</f>
        <v>4555751</v>
      </c>
      <c r="J38" s="45"/>
      <c r="K38" s="522"/>
      <c r="L38" s="589">
        <v>0.36290322580645162</v>
      </c>
      <c r="N38" s="572">
        <v>0.63709677419354838</v>
      </c>
      <c r="O38" s="50"/>
      <c r="P38" s="50"/>
      <c r="Q38" s="50"/>
      <c r="R38" s="50"/>
      <c r="S38" s="50"/>
      <c r="T38" s="50"/>
    </row>
    <row r="39" spans="1:27" ht="21" customHeight="1" thickBot="1" x14ac:dyDescent="0.35">
      <c r="A39" s="86"/>
      <c r="B39" s="758" t="s">
        <v>12</v>
      </c>
      <c r="C39" s="919">
        <f>C31+C32</f>
        <v>101770</v>
      </c>
      <c r="D39" s="919">
        <f>SUM(D31:D33)</f>
        <v>0</v>
      </c>
      <c r="E39" s="919">
        <f>E30+E31++E32+E33</f>
        <v>530480</v>
      </c>
      <c r="F39" s="919">
        <f>SUM(F31:F33)</f>
        <v>0</v>
      </c>
      <c r="G39" s="919">
        <f>SUM(G31:G33)</f>
        <v>0</v>
      </c>
      <c r="H39" s="919">
        <f>SUM(H31:H33)</f>
        <v>0</v>
      </c>
      <c r="I39" s="920">
        <f>SUM(I31:I33)+I30</f>
        <v>632250</v>
      </c>
      <c r="J39" s="45"/>
      <c r="K39" s="45"/>
      <c r="L39" s="141"/>
      <c r="N39" s="141"/>
    </row>
    <row r="40" spans="1:27" ht="21" thickBot="1" x14ac:dyDescent="0.35">
      <c r="A40" s="83"/>
      <c r="B40" s="921" t="s">
        <v>58</v>
      </c>
      <c r="C40" s="922">
        <f t="shared" ref="C40:I40" si="7">SUM(C37:C39)</f>
        <v>1177022</v>
      </c>
      <c r="D40" s="922">
        <f t="shared" si="7"/>
        <v>20330</v>
      </c>
      <c r="E40" s="922">
        <f t="shared" si="7"/>
        <v>1396186</v>
      </c>
      <c r="F40" s="922">
        <f t="shared" si="7"/>
        <v>7980254</v>
      </c>
      <c r="G40" s="922">
        <f t="shared" si="7"/>
        <v>86554</v>
      </c>
      <c r="H40" s="922">
        <f t="shared" si="7"/>
        <v>84475</v>
      </c>
      <c r="I40" s="923">
        <f t="shared" si="7"/>
        <v>10744821</v>
      </c>
      <c r="J40" s="85"/>
      <c r="K40" s="45"/>
      <c r="N40" s="141"/>
      <c r="AA40" s="64"/>
    </row>
    <row r="41" spans="1:27" ht="20.25" x14ac:dyDescent="0.3">
      <c r="A41" s="87"/>
      <c r="B41" s="88"/>
      <c r="C41" s="89"/>
      <c r="D41" s="22"/>
      <c r="E41" s="22"/>
      <c r="F41" s="21"/>
      <c r="G41" s="21"/>
      <c r="H41" s="21"/>
      <c r="I41" s="135"/>
      <c r="J41" s="45"/>
      <c r="K41" s="45"/>
      <c r="N41" s="141"/>
      <c r="O41" s="50"/>
      <c r="P41" s="50"/>
      <c r="Q41" s="50"/>
      <c r="R41" s="50"/>
      <c r="S41" s="50"/>
      <c r="T41" s="50"/>
      <c r="AA41" s="64"/>
    </row>
    <row r="42" spans="1:27" ht="20.25" x14ac:dyDescent="0.3">
      <c r="A42" s="87"/>
      <c r="B42" s="90"/>
      <c r="C42" s="832"/>
      <c r="D42" s="832"/>
      <c r="E42" s="832"/>
      <c r="F42" s="832"/>
      <c r="G42" s="832"/>
      <c r="H42" s="832"/>
      <c r="I42" s="135"/>
      <c r="J42" s="45"/>
      <c r="K42" s="136"/>
      <c r="L42" s="52"/>
      <c r="N42" s="141"/>
      <c r="AA42" s="64"/>
    </row>
    <row r="43" spans="1:27" ht="20.25" x14ac:dyDescent="0.3">
      <c r="A43" s="81"/>
      <c r="B43" s="143"/>
      <c r="C43" s="134"/>
      <c r="N43" s="141"/>
      <c r="AA43" s="64"/>
    </row>
    <row r="44" spans="1:27" ht="20.25" x14ac:dyDescent="0.3">
      <c r="A44" s="81"/>
      <c r="B44" s="143"/>
      <c r="L44" s="521"/>
      <c r="N44" s="141"/>
    </row>
    <row r="45" spans="1:27" ht="15.75" x14ac:dyDescent="0.25">
      <c r="A45" s="81"/>
      <c r="B45" s="144"/>
      <c r="D45" s="64"/>
      <c r="E45" s="64"/>
      <c r="N45" s="141"/>
    </row>
    <row r="46" spans="1:27" ht="15.75" x14ac:dyDescent="0.25">
      <c r="B46" s="144"/>
      <c r="N46" s="141"/>
    </row>
    <row r="47" spans="1:27" ht="15.75" x14ac:dyDescent="0.25">
      <c r="B47" s="144"/>
    </row>
    <row r="48" spans="1:27" ht="15.75" x14ac:dyDescent="0.25">
      <c r="B48" s="144"/>
    </row>
    <row r="49" spans="1:27" ht="15.75" x14ac:dyDescent="0.25">
      <c r="B49" s="144"/>
    </row>
    <row r="50" spans="1:27" s="64" customFormat="1" ht="15.75" x14ac:dyDescent="0.25">
      <c r="A50" s="49"/>
      <c r="B50" s="144"/>
      <c r="D50" s="63"/>
      <c r="E50" s="63"/>
      <c r="F50" s="49"/>
      <c r="G50" s="49"/>
      <c r="H50" s="49"/>
      <c r="I50" s="49"/>
      <c r="J50" s="50"/>
      <c r="K50" s="50"/>
      <c r="L50" s="50"/>
      <c r="M50" s="50"/>
      <c r="N50" s="50"/>
      <c r="O50" s="49"/>
      <c r="P50" s="49"/>
      <c r="Q50" s="49"/>
      <c r="R50" s="49"/>
      <c r="S50" s="49"/>
      <c r="T50" s="49"/>
      <c r="U50" s="49"/>
      <c r="V50" s="49"/>
      <c r="W50" s="49"/>
      <c r="X50" s="49"/>
      <c r="Y50" s="49"/>
      <c r="Z50" s="49"/>
      <c r="AA50" s="49"/>
    </row>
    <row r="51" spans="1:27" s="64" customFormat="1" ht="15.75" x14ac:dyDescent="0.25">
      <c r="A51" s="49"/>
      <c r="B51" s="144"/>
      <c r="D51" s="63"/>
      <c r="E51" s="63"/>
      <c r="F51" s="49"/>
      <c r="G51" s="49"/>
      <c r="H51" s="49"/>
      <c r="I51" s="49"/>
      <c r="J51" s="50"/>
      <c r="K51" s="50"/>
      <c r="L51" s="50"/>
      <c r="M51" s="50"/>
      <c r="N51" s="50"/>
      <c r="O51" s="49"/>
      <c r="P51" s="49"/>
      <c r="Q51" s="49"/>
      <c r="R51" s="49"/>
      <c r="S51" s="49"/>
      <c r="T51" s="49"/>
      <c r="U51" s="49"/>
      <c r="V51" s="49"/>
      <c r="W51" s="49"/>
      <c r="X51" s="49"/>
      <c r="Y51" s="49"/>
      <c r="Z51" s="49"/>
      <c r="AA51" s="49"/>
    </row>
    <row r="52" spans="1:27" s="64" customFormat="1" ht="15.75" x14ac:dyDescent="0.25">
      <c r="A52" s="49"/>
      <c r="B52" s="144"/>
      <c r="D52" s="63"/>
      <c r="E52" s="63"/>
      <c r="F52" s="49"/>
      <c r="G52" s="49"/>
      <c r="H52" s="49"/>
      <c r="I52" s="49"/>
      <c r="J52" s="50"/>
      <c r="K52" s="50"/>
      <c r="L52" s="50"/>
      <c r="M52" s="50"/>
      <c r="N52" s="50"/>
      <c r="O52" s="49"/>
      <c r="P52" s="49"/>
      <c r="Q52" s="49"/>
      <c r="R52" s="49"/>
      <c r="S52" s="49"/>
      <c r="T52" s="49"/>
      <c r="U52" s="49"/>
      <c r="V52" s="49"/>
      <c r="W52" s="49"/>
      <c r="X52" s="49"/>
      <c r="Y52" s="49"/>
      <c r="Z52" s="49"/>
      <c r="AA52" s="49"/>
    </row>
    <row r="53" spans="1:27" s="64" customFormat="1" ht="15.75" x14ac:dyDescent="0.25">
      <c r="A53" s="49"/>
      <c r="B53" s="144"/>
      <c r="D53" s="63"/>
      <c r="E53" s="63"/>
      <c r="F53" s="49"/>
      <c r="G53" s="49"/>
      <c r="H53" s="49"/>
      <c r="I53" s="49"/>
      <c r="J53" s="50"/>
      <c r="K53" s="50"/>
      <c r="L53" s="50"/>
      <c r="M53" s="50"/>
      <c r="N53" s="50"/>
      <c r="O53" s="49"/>
      <c r="P53" s="49"/>
      <c r="Q53" s="49"/>
      <c r="R53" s="49"/>
      <c r="S53" s="49"/>
      <c r="T53" s="49"/>
      <c r="U53" s="49"/>
      <c r="V53" s="49"/>
      <c r="W53" s="49"/>
      <c r="X53" s="49"/>
      <c r="Y53" s="49"/>
      <c r="Z53" s="49"/>
      <c r="AA53" s="49"/>
    </row>
  </sheetData>
  <mergeCells count="10">
    <mergeCell ref="B36:I36"/>
    <mergeCell ref="B18:I18"/>
    <mergeCell ref="B19:I19"/>
    <mergeCell ref="B6:I6"/>
    <mergeCell ref="B15:I15"/>
    <mergeCell ref="B1:I1"/>
    <mergeCell ref="B2:I2"/>
    <mergeCell ref="B3:I3"/>
    <mergeCell ref="B25:I25"/>
    <mergeCell ref="B26:I26"/>
  </mergeCells>
  <phoneticPr fontId="0" type="noConversion"/>
  <printOptions horizontalCentered="1" verticalCentered="1"/>
  <pageMargins left="0.61" right="0.31" top="0.2" bottom="0.43" header="0.2" footer="0.18"/>
  <pageSetup scale="66" orientation="landscape" r:id="rId1"/>
  <headerFooter alignWithMargins="0">
    <oddFooter>&amp;R
&amp;C&amp;"Arial"&amp;11&amp;K000000&amp;14
Totals may vary due to rounding&amp;12
_x000D_&amp;1#&amp;"Calibri"&amp;12&amp;K008000Internal Use</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indexed="47"/>
  </sheetPr>
  <dimension ref="A1:F43"/>
  <sheetViews>
    <sheetView workbookViewId="0">
      <selection activeCell="E33" sqref="E33"/>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254</v>
      </c>
      <c r="B2" s="2883"/>
      <c r="C2" s="2883"/>
      <c r="D2" s="2883"/>
      <c r="E2" s="2883"/>
      <c r="F2" s="23"/>
    </row>
    <row r="3" spans="1:6" ht="20.25" x14ac:dyDescent="0.3">
      <c r="A3" s="2883" t="s">
        <v>60</v>
      </c>
      <c r="B3" s="2883"/>
      <c r="C3" s="2883"/>
      <c r="D3" s="2883"/>
      <c r="E3" s="2883"/>
      <c r="F3" s="23"/>
    </row>
    <row r="4" spans="1:6" ht="15.75" x14ac:dyDescent="0.25">
      <c r="B4" s="2883" t="s">
        <v>298</v>
      </c>
      <c r="C4" s="2883"/>
      <c r="D4" s="2883"/>
    </row>
    <row r="32" spans="1:4" x14ac:dyDescent="0.2">
      <c r="A32" s="7" t="s">
        <v>17</v>
      </c>
      <c r="B32" s="211" t="s">
        <v>1</v>
      </c>
      <c r="C32" s="7"/>
      <c r="D32" s="212" t="s">
        <v>18</v>
      </c>
    </row>
    <row r="33" spans="1:4" x14ac:dyDescent="0.2">
      <c r="B33" s="24"/>
      <c r="D33" s="2"/>
    </row>
    <row r="34" spans="1:4" x14ac:dyDescent="0.2">
      <c r="A34" t="s">
        <v>53</v>
      </c>
      <c r="B34" s="14">
        <v>1177022</v>
      </c>
      <c r="D34" s="236">
        <v>0.11056188151200363</v>
      </c>
    </row>
    <row r="35" spans="1:4" x14ac:dyDescent="0.2">
      <c r="A35" t="s">
        <v>19</v>
      </c>
      <c r="B35" s="14">
        <v>20330</v>
      </c>
      <c r="D35" s="236">
        <v>1.9096695313588308E-3</v>
      </c>
    </row>
    <row r="36" spans="1:4" x14ac:dyDescent="0.2">
      <c r="A36" t="s">
        <v>4</v>
      </c>
      <c r="B36" s="14">
        <v>1297186</v>
      </c>
      <c r="D36" s="236">
        <v>0.1218493153322792</v>
      </c>
    </row>
    <row r="37" spans="1:4" x14ac:dyDescent="0.2">
      <c r="A37" t="s">
        <v>2</v>
      </c>
      <c r="B37" s="14">
        <v>7980254</v>
      </c>
      <c r="D37" s="236">
        <v>0.74961376863278084</v>
      </c>
    </row>
    <row r="38" spans="1:4" x14ac:dyDescent="0.2">
      <c r="A38" t="s">
        <v>14</v>
      </c>
      <c r="B38" s="14">
        <v>86554</v>
      </c>
      <c r="D38" s="236">
        <v>8.130326444526919E-3</v>
      </c>
    </row>
    <row r="39" spans="1:4" x14ac:dyDescent="0.2">
      <c r="A39" t="s">
        <v>15</v>
      </c>
      <c r="B39" s="933">
        <v>84475</v>
      </c>
      <c r="D39" s="934">
        <v>7.9350385470505283E-3</v>
      </c>
    </row>
    <row r="40" spans="1:4" x14ac:dyDescent="0.2">
      <c r="D40" s="47"/>
    </row>
    <row r="41" spans="1:4" x14ac:dyDescent="0.2">
      <c r="A41" s="629" t="s">
        <v>0</v>
      </c>
      <c r="B41" s="178">
        <v>10645821</v>
      </c>
      <c r="D41" s="127">
        <v>1</v>
      </c>
    </row>
    <row r="43" spans="1:4" x14ac:dyDescent="0.2">
      <c r="A43" s="46"/>
    </row>
  </sheetData>
  <mergeCells count="4">
    <mergeCell ref="A1:E1"/>
    <mergeCell ref="A2:E2"/>
    <mergeCell ref="A3:E3"/>
    <mergeCell ref="B4:D4"/>
  </mergeCells>
  <phoneticPr fontId="10" type="noConversion"/>
  <pageMargins left="0.75" right="0.75" top="1" bottom="0.75"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tabColor indexed="47"/>
    <pageSetUpPr fitToPage="1"/>
  </sheetPr>
  <dimension ref="A1:Y62"/>
  <sheetViews>
    <sheetView topLeftCell="A26" zoomScale="75" workbookViewId="0"/>
  </sheetViews>
  <sheetFormatPr defaultRowHeight="12.75" x14ac:dyDescent="0.2"/>
  <cols>
    <col min="1" max="1" width="7.140625" style="49" customWidth="1"/>
    <col min="2" max="2" width="56.85546875" style="49" bestFit="1"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1" width="23.42578125" style="50" customWidth="1"/>
    <col min="12" max="12" width="16.28515625" style="50" bestFit="1" customWidth="1"/>
    <col min="13" max="14" width="10.7109375" style="50" customWidth="1"/>
    <col min="15" max="20" width="10.7109375" style="49" customWidth="1"/>
    <col min="21" max="16384" width="9.140625" style="49"/>
  </cols>
  <sheetData>
    <row r="1" spans="1:19" ht="26.25" x14ac:dyDescent="0.4">
      <c r="B1" s="2884" t="s">
        <v>82</v>
      </c>
      <c r="C1" s="2884"/>
      <c r="D1" s="2884"/>
      <c r="E1" s="2884"/>
      <c r="F1" s="2884"/>
      <c r="G1" s="2884"/>
      <c r="H1" s="2884"/>
      <c r="I1" s="2884"/>
    </row>
    <row r="2" spans="1:19" ht="26.25" x14ac:dyDescent="0.4">
      <c r="B2" s="2884" t="s">
        <v>465</v>
      </c>
      <c r="C2" s="2884"/>
      <c r="D2" s="2884"/>
      <c r="E2" s="2884"/>
      <c r="F2" s="2884"/>
      <c r="G2" s="2884"/>
      <c r="H2" s="2884"/>
      <c r="I2" s="2884"/>
    </row>
    <row r="3" spans="1:19" ht="26.25" hidden="1" x14ac:dyDescent="0.4">
      <c r="B3" s="1894"/>
      <c r="C3" s="1894"/>
      <c r="D3" s="1894"/>
      <c r="E3" s="1894"/>
      <c r="F3" s="1894"/>
      <c r="G3" s="1894"/>
      <c r="H3" s="1894"/>
      <c r="I3" s="1894"/>
    </row>
    <row r="4" spans="1:19" ht="26.25" hidden="1" x14ac:dyDescent="0.4">
      <c r="B4" s="1894"/>
      <c r="C4" s="1894"/>
      <c r="D4" s="1894"/>
      <c r="E4" s="1894"/>
      <c r="F4" s="1894"/>
      <c r="G4" s="1894"/>
      <c r="H4" s="1894"/>
      <c r="I4" s="1894"/>
    </row>
    <row r="5" spans="1:19" ht="26.25" hidden="1" x14ac:dyDescent="0.4">
      <c r="B5" s="1894"/>
      <c r="C5" s="1894"/>
      <c r="D5" s="1894"/>
      <c r="E5" s="1894"/>
      <c r="F5" s="1894"/>
      <c r="G5" s="1894"/>
      <c r="H5" s="1894"/>
      <c r="I5" s="1894"/>
    </row>
    <row r="6" spans="1:19" ht="26.25" hidden="1" x14ac:dyDescent="0.4">
      <c r="B6" s="1894"/>
      <c r="C6" s="1894"/>
      <c r="D6" s="1894"/>
      <c r="E6" s="1894"/>
      <c r="F6" s="1894"/>
      <c r="G6" s="1894"/>
      <c r="H6" s="1894"/>
      <c r="I6" s="1894"/>
    </row>
    <row r="7" spans="1:19" ht="26.25" hidden="1" x14ac:dyDescent="0.4">
      <c r="B7" s="1894"/>
      <c r="C7" s="1894"/>
      <c r="D7" s="1894"/>
      <c r="E7" s="1894"/>
      <c r="F7" s="1894"/>
      <c r="G7" s="1894"/>
      <c r="H7" s="1894"/>
      <c r="I7" s="1894"/>
    </row>
    <row r="8" spans="1:19" ht="6.75" customHeight="1" x14ac:dyDescent="0.25">
      <c r="B8" s="11"/>
      <c r="C8" s="10"/>
      <c r="D8" s="8"/>
      <c r="E8" s="8"/>
      <c r="F8" s="9"/>
      <c r="G8" s="9"/>
      <c r="H8" s="9"/>
      <c r="I8" s="9"/>
    </row>
    <row r="9" spans="1:19" ht="6.75" customHeight="1" thickBot="1" x14ac:dyDescent="0.3">
      <c r="B9" s="11"/>
      <c r="C9" s="10"/>
      <c r="D9" s="8"/>
      <c r="E9" s="8"/>
      <c r="F9" s="9"/>
      <c r="G9" s="9"/>
      <c r="H9" s="9"/>
      <c r="I9" s="9"/>
    </row>
    <row r="10" spans="1:19" ht="48.75" thickBot="1" x14ac:dyDescent="0.35">
      <c r="A10" s="21"/>
      <c r="B10" s="630" t="s">
        <v>42</v>
      </c>
      <c r="C10" s="631" t="s">
        <v>53</v>
      </c>
      <c r="D10" s="631" t="s">
        <v>13</v>
      </c>
      <c r="E10" s="631" t="s">
        <v>4</v>
      </c>
      <c r="F10" s="631" t="s">
        <v>2</v>
      </c>
      <c r="G10" s="631" t="s">
        <v>14</v>
      </c>
      <c r="H10" s="631" t="s">
        <v>15</v>
      </c>
      <c r="I10" s="631" t="s">
        <v>16</v>
      </c>
      <c r="J10" s="45"/>
      <c r="K10" s="45"/>
    </row>
    <row r="11" spans="1:19" ht="21" thickBot="1" x14ac:dyDescent="0.35">
      <c r="A11" s="21"/>
      <c r="B11" s="2888" t="s">
        <v>5</v>
      </c>
      <c r="C11" s="2889"/>
      <c r="D11" s="2889"/>
      <c r="E11" s="2889"/>
      <c r="F11" s="2889"/>
      <c r="G11" s="2889"/>
      <c r="H11" s="2889"/>
      <c r="I11" s="2890"/>
      <c r="J11" s="45"/>
      <c r="K11" s="82"/>
      <c r="L11" s="52"/>
      <c r="M11" s="52"/>
    </row>
    <row r="12" spans="1:19" ht="20.25" x14ac:dyDescent="0.3">
      <c r="A12" s="83"/>
      <c r="B12" s="156" t="s">
        <v>342</v>
      </c>
      <c r="C12" s="633">
        <v>234806</v>
      </c>
      <c r="D12" s="633">
        <v>2500</v>
      </c>
      <c r="E12" s="633">
        <v>60000</v>
      </c>
      <c r="F12" s="633">
        <f>2744857-314906</f>
        <v>2429951</v>
      </c>
      <c r="G12" s="633">
        <v>15000</v>
      </c>
      <c r="H12" s="633">
        <v>2600</v>
      </c>
      <c r="I12" s="660">
        <f>SUM(C12:H12)</f>
        <v>2744857</v>
      </c>
      <c r="J12" s="85"/>
      <c r="K12" s="519"/>
      <c r="L12" s="583"/>
      <c r="M12" s="583"/>
      <c r="N12" s="572"/>
      <c r="O12" s="584"/>
      <c r="P12" s="584"/>
      <c r="Q12" s="584"/>
    </row>
    <row r="13" spans="1:19" ht="20.25" x14ac:dyDescent="0.3">
      <c r="A13" s="83"/>
      <c r="B13" s="972" t="s">
        <v>149</v>
      </c>
      <c r="C13" s="844">
        <v>296754</v>
      </c>
      <c r="D13" s="661">
        <v>4000</v>
      </c>
      <c r="E13" s="661">
        <f>75000+75000</f>
        <v>150000</v>
      </c>
      <c r="F13" s="661">
        <f>4771024-433314-75000-100000-200000</f>
        <v>3962710</v>
      </c>
      <c r="G13" s="661">
        <v>50000</v>
      </c>
      <c r="H13" s="661">
        <v>7560</v>
      </c>
      <c r="I13" s="926">
        <f>SUM(C13:H13)</f>
        <v>4471024</v>
      </c>
      <c r="J13" s="796"/>
      <c r="K13" s="585"/>
      <c r="L13" s="1178"/>
      <c r="M13" s="583"/>
      <c r="N13" s="583"/>
      <c r="O13" s="583"/>
      <c r="P13" s="583"/>
      <c r="Q13" s="583"/>
      <c r="R13" s="586"/>
      <c r="S13" s="587"/>
    </row>
    <row r="14" spans="1:19" ht="20.25" x14ac:dyDescent="0.3">
      <c r="A14" s="83"/>
      <c r="B14" s="614" t="s">
        <v>227</v>
      </c>
      <c r="C14" s="844">
        <v>38975</v>
      </c>
      <c r="D14" s="661">
        <v>1000</v>
      </c>
      <c r="E14" s="661">
        <f>25000-10000</f>
        <v>15000</v>
      </c>
      <c r="F14" s="661">
        <f>346750-79975+100000+10000</f>
        <v>376775</v>
      </c>
      <c r="G14" s="661">
        <v>12500</v>
      </c>
      <c r="H14" s="638">
        <v>2500</v>
      </c>
      <c r="I14" s="640">
        <f>SUM(C14:H14)</f>
        <v>446750</v>
      </c>
      <c r="J14" s="749"/>
      <c r="K14" s="585"/>
      <c r="L14" s="1178"/>
      <c r="M14" s="601"/>
      <c r="N14" s="601"/>
      <c r="O14" s="601"/>
      <c r="P14" s="601"/>
      <c r="Q14" s="601"/>
    </row>
    <row r="15" spans="1:19" ht="21" thickBot="1" x14ac:dyDescent="0.35">
      <c r="A15" s="84"/>
      <c r="B15" s="616" t="s">
        <v>150</v>
      </c>
      <c r="C15" s="845">
        <v>14053</v>
      </c>
      <c r="D15" s="635">
        <v>300</v>
      </c>
      <c r="E15" s="635">
        <v>2685</v>
      </c>
      <c r="F15" s="635">
        <f>76200+200000</f>
        <v>276200</v>
      </c>
      <c r="G15" s="635">
        <v>6000</v>
      </c>
      <c r="H15" s="641">
        <v>1000</v>
      </c>
      <c r="I15" s="789">
        <f>SUM(C15:H15)</f>
        <v>300238</v>
      </c>
      <c r="J15" s="2043"/>
      <c r="K15" s="2044"/>
      <c r="L15" s="2045"/>
      <c r="M15" s="2045"/>
      <c r="N15" s="2045">
        <v>-450</v>
      </c>
      <c r="O15" s="2045">
        <v>-500</v>
      </c>
      <c r="P15" s="602"/>
      <c r="Q15" s="602"/>
    </row>
    <row r="16" spans="1:19" ht="21" thickBot="1" x14ac:dyDescent="0.35">
      <c r="A16" s="84"/>
      <c r="B16" s="232" t="s">
        <v>30</v>
      </c>
      <c r="C16" s="645">
        <f t="shared" ref="C16:I16" si="0">SUM(C12:C15)</f>
        <v>584588</v>
      </c>
      <c r="D16" s="645">
        <f t="shared" si="0"/>
        <v>7800</v>
      </c>
      <c r="E16" s="645">
        <f t="shared" si="0"/>
        <v>227685</v>
      </c>
      <c r="F16" s="645">
        <f t="shared" si="0"/>
        <v>7045636</v>
      </c>
      <c r="G16" s="645">
        <f t="shared" si="0"/>
        <v>83500</v>
      </c>
      <c r="H16" s="645">
        <f t="shared" si="0"/>
        <v>13660</v>
      </c>
      <c r="I16" s="645">
        <f t="shared" si="0"/>
        <v>7962869</v>
      </c>
      <c r="J16" s="748"/>
      <c r="K16" s="520"/>
      <c r="L16" s="520"/>
      <c r="M16" s="52"/>
    </row>
    <row r="17" spans="1:19" s="51" customFormat="1" ht="15" x14ac:dyDescent="0.2">
      <c r="B17" s="663"/>
      <c r="C17" s="664"/>
      <c r="D17" s="622"/>
      <c r="E17" s="622"/>
      <c r="F17" s="665"/>
      <c r="G17" s="665"/>
      <c r="H17" s="665"/>
      <c r="I17" s="666"/>
      <c r="J17" s="52"/>
      <c r="K17" s="52"/>
      <c r="L17" s="52"/>
      <c r="M17" s="52"/>
      <c r="N17" s="52"/>
    </row>
    <row r="18" spans="1:19" ht="21" thickBot="1" x14ac:dyDescent="0.35">
      <c r="A18" s="84"/>
      <c r="B18" s="2885" t="s">
        <v>151</v>
      </c>
      <c r="C18" s="2886"/>
      <c r="D18" s="2886"/>
      <c r="E18" s="2886"/>
      <c r="F18" s="2886"/>
      <c r="G18" s="2886"/>
      <c r="H18" s="2886"/>
      <c r="I18" s="2887"/>
      <c r="J18" s="142"/>
      <c r="K18" s="166"/>
      <c r="L18" s="141"/>
    </row>
    <row r="19" spans="1:19" ht="21" thickBot="1" x14ac:dyDescent="0.35">
      <c r="A19" s="83"/>
      <c r="B19" s="100" t="s">
        <v>154</v>
      </c>
      <c r="C19" s="644">
        <v>195697</v>
      </c>
      <c r="D19" s="644">
        <v>5000</v>
      </c>
      <c r="E19" s="644">
        <v>150000</v>
      </c>
      <c r="F19" s="644">
        <v>1566726</v>
      </c>
      <c r="G19" s="644">
        <v>35000</v>
      </c>
      <c r="H19" s="644">
        <v>5000</v>
      </c>
      <c r="I19" s="634">
        <f>SUM(C19:H19)</f>
        <v>1957423</v>
      </c>
      <c r="J19" s="85"/>
      <c r="K19" s="519"/>
      <c r="L19" s="625"/>
      <c r="M19" s="625"/>
      <c r="N19" s="625"/>
      <c r="O19" s="625"/>
      <c r="P19" s="625"/>
      <c r="Q19" s="625"/>
    </row>
    <row r="20" spans="1:19" ht="21" thickBot="1" x14ac:dyDescent="0.35">
      <c r="A20" s="84"/>
      <c r="B20" s="26" t="s">
        <v>152</v>
      </c>
      <c r="C20" s="645">
        <f>SUM(C19)</f>
        <v>195697</v>
      </c>
      <c r="D20" s="645">
        <f t="shared" ref="D20:I20" si="1">SUM(D19)</f>
        <v>5000</v>
      </c>
      <c r="E20" s="645">
        <f t="shared" si="1"/>
        <v>150000</v>
      </c>
      <c r="F20" s="645">
        <f t="shared" si="1"/>
        <v>1566726</v>
      </c>
      <c r="G20" s="645">
        <f t="shared" si="1"/>
        <v>35000</v>
      </c>
      <c r="H20" s="645">
        <f t="shared" si="1"/>
        <v>5000</v>
      </c>
      <c r="I20" s="645">
        <f t="shared" si="1"/>
        <v>1957423</v>
      </c>
      <c r="J20" s="85"/>
      <c r="K20" s="520"/>
      <c r="L20" s="742"/>
      <c r="M20" s="743"/>
      <c r="N20" s="742"/>
      <c r="O20" s="740"/>
      <c r="P20" s="740"/>
      <c r="Q20" s="744"/>
    </row>
    <row r="21" spans="1:19" s="51" customFormat="1" ht="20.25" x14ac:dyDescent="0.3">
      <c r="A21" s="83"/>
      <c r="B21" s="2894"/>
      <c r="C21" s="2895"/>
      <c r="D21" s="2895"/>
      <c r="E21" s="2895"/>
      <c r="F21" s="2895"/>
      <c r="G21" s="2895"/>
      <c r="H21" s="2895"/>
      <c r="I21" s="2896"/>
      <c r="J21" s="142"/>
      <c r="K21" s="166"/>
      <c r="L21" s="628"/>
      <c r="M21" s="518"/>
      <c r="N21" s="258"/>
      <c r="O21" s="244"/>
      <c r="P21" s="244"/>
      <c r="Q21" s="180"/>
    </row>
    <row r="22" spans="1:19" ht="21" thickBot="1" x14ac:dyDescent="0.35">
      <c r="A22" s="84"/>
      <c r="B22" s="2885" t="s">
        <v>153</v>
      </c>
      <c r="C22" s="2886"/>
      <c r="D22" s="2886"/>
      <c r="E22" s="2886"/>
      <c r="F22" s="2886"/>
      <c r="G22" s="2886"/>
      <c r="H22" s="2886"/>
      <c r="I22" s="2887"/>
      <c r="J22" s="142"/>
      <c r="K22" s="166"/>
      <c r="L22" s="628"/>
      <c r="M22" s="626"/>
      <c r="N22" s="257"/>
      <c r="O22" s="245"/>
      <c r="P22" s="245"/>
      <c r="Q22" s="12"/>
    </row>
    <row r="23" spans="1:19" ht="20.25" x14ac:dyDescent="0.3">
      <c r="A23" s="83"/>
      <c r="B23" s="100" t="s">
        <v>155</v>
      </c>
      <c r="C23" s="633">
        <v>120417</v>
      </c>
      <c r="D23" s="633">
        <v>5000</v>
      </c>
      <c r="E23" s="633">
        <v>50000</v>
      </c>
      <c r="F23" s="633">
        <v>820365</v>
      </c>
      <c r="G23" s="633">
        <v>25000</v>
      </c>
      <c r="H23" s="633">
        <v>5000</v>
      </c>
      <c r="I23" s="634">
        <f>SUM(C23:H23)</f>
        <v>1025782</v>
      </c>
      <c r="J23" s="85"/>
      <c r="K23" s="600"/>
      <c r="L23" s="625"/>
      <c r="M23" s="625"/>
      <c r="N23" s="625"/>
      <c r="O23" s="625"/>
      <c r="P23" s="625"/>
      <c r="Q23" s="625"/>
    </row>
    <row r="24" spans="1:19" ht="21" thickBot="1" x14ac:dyDescent="0.35">
      <c r="A24" s="83"/>
      <c r="B24" s="155" t="s">
        <v>156</v>
      </c>
      <c r="C24" s="635">
        <v>25178</v>
      </c>
      <c r="D24" s="635">
        <v>5000</v>
      </c>
      <c r="E24" s="635">
        <v>75000</v>
      </c>
      <c r="F24" s="635">
        <v>454023</v>
      </c>
      <c r="G24" s="635">
        <v>10000</v>
      </c>
      <c r="H24" s="635">
        <v>5000</v>
      </c>
      <c r="I24" s="926">
        <f>SUM(C24:H24)</f>
        <v>574201</v>
      </c>
      <c r="J24" s="85"/>
      <c r="K24" s="600"/>
      <c r="L24" s="625"/>
      <c r="M24" s="625"/>
      <c r="N24" s="625"/>
      <c r="O24" s="625"/>
      <c r="P24" s="625"/>
      <c r="Q24" s="625"/>
    </row>
    <row r="25" spans="1:19" ht="21" thickBot="1" x14ac:dyDescent="0.35">
      <c r="A25" s="84"/>
      <c r="B25" s="26" t="s">
        <v>152</v>
      </c>
      <c r="C25" s="645">
        <f t="shared" ref="C25:H25" si="2">SUM(C23:C24)</f>
        <v>145595</v>
      </c>
      <c r="D25" s="645">
        <f t="shared" si="2"/>
        <v>10000</v>
      </c>
      <c r="E25" s="645">
        <f t="shared" si="2"/>
        <v>125000</v>
      </c>
      <c r="F25" s="645">
        <f t="shared" si="2"/>
        <v>1274388</v>
      </c>
      <c r="G25" s="645">
        <f t="shared" si="2"/>
        <v>35000</v>
      </c>
      <c r="H25" s="645">
        <f t="shared" si="2"/>
        <v>10000</v>
      </c>
      <c r="I25" s="645">
        <f>SUM(I23:I24)</f>
        <v>1599983</v>
      </c>
      <c r="J25" s="85"/>
      <c r="K25" s="600"/>
      <c r="L25" s="309"/>
      <c r="M25" s="627"/>
      <c r="N25" s="257"/>
      <c r="O25" s="245"/>
      <c r="P25" s="245"/>
      <c r="Q25" s="12"/>
    </row>
    <row r="26" spans="1:19" ht="21" thickBot="1" x14ac:dyDescent="0.35">
      <c r="A26" s="84"/>
      <c r="B26" s="690" t="s">
        <v>245</v>
      </c>
      <c r="C26" s="703">
        <v>23473</v>
      </c>
      <c r="D26" s="703">
        <v>500</v>
      </c>
      <c r="E26" s="703">
        <v>10000</v>
      </c>
      <c r="F26" s="703">
        <v>107835</v>
      </c>
      <c r="G26" s="703">
        <v>3200</v>
      </c>
      <c r="H26" s="703">
        <v>15000</v>
      </c>
      <c r="I26" s="703">
        <f>SUM(C26:H26)</f>
        <v>160008</v>
      </c>
      <c r="J26" s="85"/>
      <c r="L26" s="624"/>
      <c r="M26" s="623"/>
      <c r="N26" s="623"/>
      <c r="O26" s="741"/>
      <c r="P26" s="741"/>
      <c r="Q26" s="741"/>
    </row>
    <row r="27" spans="1:19" ht="21" thickBot="1" x14ac:dyDescent="0.35">
      <c r="A27" s="84"/>
      <c r="B27" s="26" t="s">
        <v>31</v>
      </c>
      <c r="C27" s="645">
        <f>C20+C25+C26</f>
        <v>364765</v>
      </c>
      <c r="D27" s="645">
        <f t="shared" ref="D27:I27" si="3">D20+D25+D26</f>
        <v>15500</v>
      </c>
      <c r="E27" s="645">
        <f t="shared" si="3"/>
        <v>285000</v>
      </c>
      <c r="F27" s="645">
        <f t="shared" si="3"/>
        <v>2948949</v>
      </c>
      <c r="G27" s="645">
        <f t="shared" si="3"/>
        <v>73200</v>
      </c>
      <c r="H27" s="645">
        <f t="shared" si="3"/>
        <v>30000</v>
      </c>
      <c r="I27" s="645">
        <f t="shared" si="3"/>
        <v>3717414</v>
      </c>
      <c r="J27" s="85"/>
      <c r="K27" s="520"/>
      <c r="L27" s="141"/>
    </row>
    <row r="28" spans="1:19" ht="21" thickBot="1" x14ac:dyDescent="0.35">
      <c r="A28" s="83"/>
      <c r="B28" s="2885" t="s">
        <v>158</v>
      </c>
      <c r="C28" s="2886"/>
      <c r="D28" s="2886"/>
      <c r="E28" s="2886"/>
      <c r="F28" s="2886"/>
      <c r="G28" s="2886"/>
      <c r="H28" s="2886"/>
      <c r="I28" s="2887"/>
      <c r="M28" s="141"/>
      <c r="N28" s="49"/>
    </row>
    <row r="29" spans="1:19" s="9" customFormat="1" ht="16.5" customHeight="1" thickBot="1" x14ac:dyDescent="0.3">
      <c r="A29" s="1145"/>
      <c r="B29" s="2926" t="s">
        <v>393</v>
      </c>
      <c r="C29" s="2927"/>
      <c r="D29" s="2927"/>
      <c r="E29" s="2927"/>
      <c r="F29" s="2927"/>
      <c r="G29" s="2927"/>
      <c r="H29" s="2927"/>
      <c r="I29" s="2928"/>
      <c r="J29" s="1146"/>
      <c r="K29" s="517"/>
      <c r="L29" s="1147"/>
      <c r="M29" s="1147"/>
      <c r="N29" s="1148"/>
      <c r="R29" s="1149"/>
    </row>
    <row r="30" spans="1:19" s="9" customFormat="1" ht="16.5" customHeight="1" x14ac:dyDescent="0.25">
      <c r="A30" s="1150"/>
      <c r="B30" s="1855" t="s">
        <v>394</v>
      </c>
      <c r="C30" s="1854">
        <v>7655</v>
      </c>
      <c r="D30" s="669">
        <v>2000</v>
      </c>
      <c r="E30" s="669" t="e">
        <f>+'CNG Table A'!#REF!-C30-(5000)- (2000)-(500)</f>
        <v>#REF!</v>
      </c>
      <c r="F30" s="669"/>
      <c r="G30" s="669">
        <v>5000</v>
      </c>
      <c r="H30" s="669">
        <v>500</v>
      </c>
      <c r="I30" s="668" t="e">
        <f>SUM(C30:H30)</f>
        <v>#REF!</v>
      </c>
      <c r="J30" s="1146"/>
      <c r="K30" s="2049"/>
      <c r="L30" s="1153"/>
      <c r="M30" s="1154"/>
      <c r="N30" s="1154"/>
      <c r="O30" s="1155"/>
      <c r="P30" s="1155"/>
      <c r="Q30" s="1156"/>
      <c r="R30" s="1149"/>
    </row>
    <row r="31" spans="1:19" s="9" customFormat="1" ht="16.5" customHeight="1" x14ac:dyDescent="0.25">
      <c r="A31" s="1150"/>
      <c r="B31" s="1352" t="s">
        <v>414</v>
      </c>
      <c r="C31" s="669">
        <v>36905</v>
      </c>
      <c r="D31" s="669"/>
      <c r="E31" s="669" t="e">
        <f>+'CNG Table A'!#REF!-'CNG Table C 2014'!C31</f>
        <v>#REF!</v>
      </c>
      <c r="F31" s="669"/>
      <c r="G31" s="669"/>
      <c r="H31" s="669"/>
      <c r="I31" s="670" t="e">
        <f>SUM(C31:H31)</f>
        <v>#REF!</v>
      </c>
      <c r="J31" s="1146"/>
      <c r="K31" s="1158"/>
      <c r="M31" s="1147"/>
      <c r="N31" s="1147"/>
      <c r="O31" s="1156"/>
      <c r="P31" s="1156"/>
      <c r="Q31" s="1156"/>
      <c r="R31" s="1156"/>
      <c r="S31" s="1159"/>
    </row>
    <row r="32" spans="1:19" s="9" customFormat="1" ht="16.5" customHeight="1" x14ac:dyDescent="0.25">
      <c r="A32" s="1150"/>
      <c r="B32" s="1167" t="s">
        <v>486</v>
      </c>
      <c r="C32" s="1854">
        <v>8352</v>
      </c>
      <c r="D32" s="669">
        <v>1300</v>
      </c>
      <c r="E32" s="669" t="e">
        <f>+'CNG Table A'!#REF!-C32-(1300)-(7000)-(1000)</f>
        <v>#REF!</v>
      </c>
      <c r="F32" s="669"/>
      <c r="G32" s="669">
        <v>7000</v>
      </c>
      <c r="H32" s="669">
        <v>1000</v>
      </c>
      <c r="I32" s="1899" t="e">
        <f>SUM(C32:H32)</f>
        <v>#REF!</v>
      </c>
      <c r="J32" s="1146"/>
      <c r="K32" s="1152"/>
      <c r="L32" s="1153"/>
      <c r="M32" s="1154"/>
      <c r="N32" s="1154"/>
      <c r="O32" s="1155"/>
      <c r="P32" s="1155"/>
      <c r="Q32" s="1156"/>
      <c r="R32" s="1149"/>
    </row>
    <row r="33" spans="1:19" s="9" customFormat="1" ht="16.5" customHeight="1" thickBot="1" x14ac:dyDescent="0.3">
      <c r="A33" s="1150"/>
      <c r="B33" s="1167" t="s">
        <v>487</v>
      </c>
      <c r="C33" s="669">
        <v>0</v>
      </c>
      <c r="D33" s="669"/>
      <c r="E33" s="669" t="e">
        <f>+'CNG Table A'!#REF!</f>
        <v>#REF!</v>
      </c>
      <c r="F33" s="669"/>
      <c r="G33" s="669"/>
      <c r="H33" s="669"/>
      <c r="I33" s="1157" t="e">
        <f>SUM(C33:H33)</f>
        <v>#REF!</v>
      </c>
      <c r="J33" s="1146"/>
      <c r="K33" s="1158"/>
      <c r="M33" s="1147"/>
      <c r="N33" s="1147"/>
      <c r="O33" s="1156"/>
      <c r="P33" s="1156"/>
      <c r="Q33" s="1156"/>
      <c r="R33" s="1156"/>
      <c r="S33" s="1159"/>
    </row>
    <row r="34" spans="1:19" s="9" customFormat="1" ht="16.5" customHeight="1" thickBot="1" x14ac:dyDescent="0.3">
      <c r="A34" s="1150"/>
      <c r="B34" s="1160" t="s">
        <v>395</v>
      </c>
      <c r="C34" s="1161">
        <f t="shared" ref="C34:H34" si="4">SUM(C30:C33)</f>
        <v>52912</v>
      </c>
      <c r="D34" s="1161">
        <f t="shared" si="4"/>
        <v>3300</v>
      </c>
      <c r="E34" s="1161" t="e">
        <f t="shared" si="4"/>
        <v>#REF!</v>
      </c>
      <c r="F34" s="1161">
        <f t="shared" si="4"/>
        <v>0</v>
      </c>
      <c r="G34" s="1161">
        <f t="shared" si="4"/>
        <v>12000</v>
      </c>
      <c r="H34" s="1161">
        <f t="shared" si="4"/>
        <v>1500</v>
      </c>
      <c r="I34" s="1161" t="e">
        <f>SUM(I30:I33)</f>
        <v>#REF!</v>
      </c>
      <c r="J34" s="1146"/>
      <c r="K34" s="517"/>
      <c r="L34" s="1147"/>
      <c r="M34" s="1147"/>
      <c r="N34" s="1147"/>
      <c r="O34" s="1156"/>
      <c r="P34" s="1156"/>
      <c r="S34" s="1159"/>
    </row>
    <row r="35" spans="1:19" s="9" customFormat="1" ht="16.5" customHeight="1" thickBot="1" x14ac:dyDescent="0.3">
      <c r="A35" s="1150"/>
      <c r="B35" s="1160"/>
      <c r="C35" s="1896"/>
      <c r="D35" s="1896"/>
      <c r="E35" s="1896"/>
      <c r="F35" s="1896"/>
      <c r="G35" s="1896"/>
      <c r="H35" s="1896"/>
      <c r="I35" s="1896"/>
      <c r="J35" s="1146"/>
      <c r="K35" s="517"/>
      <c r="L35" s="1147"/>
      <c r="M35" s="1147"/>
      <c r="N35" s="1147"/>
      <c r="O35" s="1156"/>
      <c r="P35" s="1156"/>
      <c r="S35" s="1159"/>
    </row>
    <row r="36" spans="1:19" s="1164" customFormat="1" ht="16.5" customHeight="1" thickBot="1" x14ac:dyDescent="0.3">
      <c r="A36" s="1150"/>
      <c r="B36" s="2929" t="s">
        <v>396</v>
      </c>
      <c r="C36" s="2930"/>
      <c r="D36" s="2930"/>
      <c r="E36" s="2930"/>
      <c r="F36" s="2930"/>
      <c r="G36" s="2930"/>
      <c r="H36" s="2930"/>
      <c r="I36" s="2931"/>
      <c r="J36" s="1146"/>
      <c r="K36" s="517"/>
      <c r="L36" s="1162"/>
      <c r="M36" s="1162"/>
      <c r="N36" s="1162"/>
      <c r="O36" s="1163"/>
      <c r="P36" s="1163"/>
      <c r="S36" s="1165"/>
    </row>
    <row r="37" spans="1:19" s="9" customFormat="1" ht="16.5" customHeight="1" x14ac:dyDescent="0.25">
      <c r="A37" s="1150"/>
      <c r="B37" s="953" t="s">
        <v>484</v>
      </c>
      <c r="C37" s="1166">
        <v>0</v>
      </c>
      <c r="D37" s="1166">
        <v>0</v>
      </c>
      <c r="E37" s="667" t="e">
        <f>'CNG Table A'!#REF!</f>
        <v>#REF!</v>
      </c>
      <c r="F37" s="1166">
        <v>0</v>
      </c>
      <c r="G37" s="1166">
        <v>0</v>
      </c>
      <c r="H37" s="1166">
        <v>0</v>
      </c>
      <c r="I37" s="668" t="e">
        <f>SUM(E37:H37)</f>
        <v>#REF!</v>
      </c>
      <c r="J37" s="1146"/>
      <c r="K37" s="852"/>
      <c r="L37" s="1147"/>
      <c r="M37" s="1147"/>
      <c r="N37" s="1147"/>
      <c r="O37" s="1156"/>
      <c r="P37" s="1156"/>
      <c r="R37" s="1149"/>
    </row>
    <row r="38" spans="1:19" s="9" customFormat="1" ht="16.5" customHeight="1" x14ac:dyDescent="0.25">
      <c r="A38" s="1150"/>
      <c r="B38" s="693" t="s">
        <v>485</v>
      </c>
      <c r="C38" s="1166">
        <v>0</v>
      </c>
      <c r="D38" s="1166">
        <v>0</v>
      </c>
      <c r="E38" s="669" t="e">
        <f>'CNG Table A'!#REF!</f>
        <v>#REF!</v>
      </c>
      <c r="F38" s="1166">
        <v>0</v>
      </c>
      <c r="G38" s="1166">
        <v>0</v>
      </c>
      <c r="H38" s="1166">
        <v>0</v>
      </c>
      <c r="I38" s="670" t="e">
        <f>SUM(E38:H38)</f>
        <v>#REF!</v>
      </c>
      <c r="J38" s="1146"/>
      <c r="K38" s="852"/>
      <c r="L38" s="1147"/>
      <c r="M38" s="1147"/>
      <c r="N38" s="1147"/>
      <c r="O38" s="1156"/>
      <c r="P38" s="1156"/>
      <c r="R38" s="1149"/>
    </row>
    <row r="39" spans="1:19" s="9" customFormat="1" ht="16.5" customHeight="1" x14ac:dyDescent="0.25">
      <c r="A39" s="1150"/>
      <c r="B39" s="972" t="s">
        <v>278</v>
      </c>
      <c r="C39" s="1900">
        <v>0</v>
      </c>
      <c r="D39" s="1900">
        <v>0</v>
      </c>
      <c r="E39" s="1901" t="e">
        <f>'CNG Table A'!#REF!</f>
        <v>#REF!</v>
      </c>
      <c r="F39" s="1900">
        <v>0</v>
      </c>
      <c r="G39" s="1900">
        <v>0</v>
      </c>
      <c r="H39" s="1900">
        <v>0</v>
      </c>
      <c r="I39" s="1899" t="e">
        <f>SUM(E39:H39)</f>
        <v>#REF!</v>
      </c>
      <c r="J39" s="1146"/>
      <c r="K39" s="852"/>
      <c r="L39" s="1147"/>
      <c r="M39" s="1147"/>
      <c r="N39" s="1147"/>
      <c r="O39" s="1156"/>
      <c r="P39" s="1156"/>
      <c r="R39" s="1149"/>
    </row>
    <row r="40" spans="1:19" s="9" customFormat="1" ht="16.5" customHeight="1" x14ac:dyDescent="0.25">
      <c r="A40" s="1150"/>
      <c r="B40" s="693" t="s">
        <v>279</v>
      </c>
      <c r="C40" s="1166">
        <v>0</v>
      </c>
      <c r="D40" s="1166">
        <v>0</v>
      </c>
      <c r="E40" s="669" t="e">
        <f>'CNG Table A'!#REF!</f>
        <v>#REF!</v>
      </c>
      <c r="F40" s="1166">
        <v>0</v>
      </c>
      <c r="G40" s="1166">
        <v>0</v>
      </c>
      <c r="H40" s="1166">
        <v>0</v>
      </c>
      <c r="I40" s="670" t="e">
        <f>SUM(E40:H40)</f>
        <v>#REF!</v>
      </c>
      <c r="J40" s="1146"/>
      <c r="K40" s="852"/>
      <c r="L40" s="1147"/>
      <c r="M40" s="1147"/>
      <c r="N40" s="1147"/>
      <c r="O40" s="1156"/>
      <c r="P40" s="1156"/>
      <c r="R40" s="1149"/>
    </row>
    <row r="41" spans="1:19" s="9" customFormat="1" ht="16.5" customHeight="1" thickBot="1" x14ac:dyDescent="0.3">
      <c r="A41" s="1150"/>
      <c r="B41" s="1167" t="s">
        <v>280</v>
      </c>
      <c r="C41" s="1166">
        <v>0</v>
      </c>
      <c r="D41" s="1166">
        <v>0</v>
      </c>
      <c r="E41" s="913" t="e">
        <f>'CNG Table A'!#REF!</f>
        <v>#REF!</v>
      </c>
      <c r="F41" s="1166">
        <v>0</v>
      </c>
      <c r="G41" s="1166">
        <v>0</v>
      </c>
      <c r="H41" s="1166">
        <v>0</v>
      </c>
      <c r="I41" s="1157" t="e">
        <f>SUM(C41:H41)</f>
        <v>#REF!</v>
      </c>
      <c r="J41" s="1146"/>
      <c r="K41" s="852"/>
      <c r="L41" s="1147"/>
      <c r="M41" s="1147"/>
      <c r="N41" s="1147"/>
      <c r="O41" s="1156"/>
      <c r="P41" s="1156"/>
      <c r="R41" s="1149"/>
    </row>
    <row r="42" spans="1:19" s="1164" customFormat="1" ht="16.5" customHeight="1" thickBot="1" x14ac:dyDescent="0.3">
      <c r="A42" s="1150"/>
      <c r="B42" s="1168" t="s">
        <v>397</v>
      </c>
      <c r="C42" s="1169">
        <f t="shared" ref="C42:H42" si="5">SUM(C37:C41)</f>
        <v>0</v>
      </c>
      <c r="D42" s="1169">
        <f t="shared" si="5"/>
        <v>0</v>
      </c>
      <c r="E42" s="1169" t="e">
        <f t="shared" si="5"/>
        <v>#REF!</v>
      </c>
      <c r="F42" s="1169">
        <f t="shared" si="5"/>
        <v>0</v>
      </c>
      <c r="G42" s="1169">
        <f t="shared" si="5"/>
        <v>0</v>
      </c>
      <c r="H42" s="1169">
        <f t="shared" si="5"/>
        <v>0</v>
      </c>
      <c r="I42" s="1169" t="e">
        <f>SUM(I37:I41)</f>
        <v>#REF!</v>
      </c>
      <c r="J42" s="1146"/>
      <c r="K42" s="852"/>
      <c r="L42" s="1162"/>
      <c r="M42" s="1162"/>
      <c r="N42" s="1162"/>
      <c r="O42" s="1163"/>
      <c r="P42" s="1163"/>
      <c r="R42" s="1170"/>
    </row>
    <row r="43" spans="1:19" s="1164" customFormat="1" ht="16.5" customHeight="1" thickBot="1" x14ac:dyDescent="0.3">
      <c r="A43" s="1150"/>
      <c r="B43" s="2929" t="s">
        <v>398</v>
      </c>
      <c r="C43" s="2930"/>
      <c r="D43" s="2930"/>
      <c r="E43" s="2930"/>
      <c r="F43" s="2930"/>
      <c r="G43" s="2930"/>
      <c r="H43" s="2930"/>
      <c r="I43" s="2931"/>
      <c r="J43" s="1146"/>
      <c r="K43" s="852"/>
      <c r="L43" s="1162"/>
      <c r="M43" s="1162"/>
      <c r="N43" s="1162"/>
      <c r="O43" s="1163"/>
      <c r="P43" s="1163"/>
      <c r="R43" s="1170"/>
    </row>
    <row r="44" spans="1:19" s="9" customFormat="1" ht="16.5" customHeight="1" x14ac:dyDescent="0.25">
      <c r="A44" s="1150"/>
      <c r="B44" s="953" t="s">
        <v>399</v>
      </c>
      <c r="C44" s="1171">
        <v>0</v>
      </c>
      <c r="D44" s="1171">
        <v>0</v>
      </c>
      <c r="E44" s="1171" t="e">
        <f>'CNG Table A'!#REF!</f>
        <v>#REF!</v>
      </c>
      <c r="F44" s="1171">
        <v>0</v>
      </c>
      <c r="G44" s="1171">
        <v>0</v>
      </c>
      <c r="H44" s="1171">
        <v>0</v>
      </c>
      <c r="I44" s="668" t="e">
        <f>SUM(C44:H44)</f>
        <v>#REF!</v>
      </c>
      <c r="J44" s="1146"/>
      <c r="K44" s="1172"/>
      <c r="L44" s="1172"/>
      <c r="M44" s="1172"/>
      <c r="N44" s="1172"/>
      <c r="O44" s="1172"/>
      <c r="P44" s="1172"/>
      <c r="Q44" s="1172"/>
      <c r="R44" s="1172"/>
      <c r="S44" s="1172"/>
    </row>
    <row r="45" spans="1:19" s="9" customFormat="1" ht="16.5" customHeight="1" thickBot="1" x14ac:dyDescent="0.3">
      <c r="A45" s="1150"/>
      <c r="B45" s="1173" t="s">
        <v>400</v>
      </c>
      <c r="C45" s="1174">
        <f t="shared" ref="C45:I45" si="6">SUM(C44)</f>
        <v>0</v>
      </c>
      <c r="D45" s="1174">
        <f t="shared" si="6"/>
        <v>0</v>
      </c>
      <c r="E45" s="1174" t="e">
        <f t="shared" si="6"/>
        <v>#REF!</v>
      </c>
      <c r="F45" s="1174">
        <f t="shared" si="6"/>
        <v>0</v>
      </c>
      <c r="G45" s="1174">
        <f t="shared" si="6"/>
        <v>0</v>
      </c>
      <c r="H45" s="1174">
        <f t="shared" si="6"/>
        <v>0</v>
      </c>
      <c r="I45" s="1174" t="e">
        <f t="shared" si="6"/>
        <v>#REF!</v>
      </c>
      <c r="J45" s="1146"/>
      <c r="K45" s="852"/>
      <c r="L45" s="1147"/>
      <c r="M45" s="1147"/>
      <c r="N45" s="1147"/>
      <c r="O45" s="1156"/>
      <c r="P45" s="1156"/>
      <c r="R45" s="1149"/>
    </row>
    <row r="46" spans="1:19" s="9" customFormat="1" ht="16.5" hidden="1" customHeight="1" x14ac:dyDescent="0.25">
      <c r="A46" s="1150"/>
      <c r="B46" s="1897"/>
      <c r="C46" s="1898"/>
      <c r="D46" s="1898"/>
      <c r="E46" s="1898"/>
      <c r="F46" s="1898"/>
      <c r="G46" s="1898"/>
      <c r="H46" s="1898"/>
      <c r="I46" s="1898"/>
      <c r="J46" s="1146"/>
      <c r="K46" s="852"/>
      <c r="L46" s="1147"/>
      <c r="M46" s="1147"/>
      <c r="N46" s="1147"/>
      <c r="O46" s="1156"/>
      <c r="P46" s="1156"/>
      <c r="R46" s="1149"/>
    </row>
    <row r="47" spans="1:19" s="9" customFormat="1" ht="16.5" hidden="1" customHeight="1" x14ac:dyDescent="0.25">
      <c r="A47" s="1150"/>
      <c r="B47" s="1897"/>
      <c r="C47" s="1898"/>
      <c r="D47" s="1898"/>
      <c r="E47" s="1898"/>
      <c r="F47" s="1898"/>
      <c r="G47" s="1898"/>
      <c r="H47" s="1898"/>
      <c r="I47" s="1898"/>
      <c r="J47" s="1146"/>
      <c r="K47" s="852"/>
      <c r="L47" s="1147"/>
      <c r="M47" s="1147"/>
      <c r="N47" s="1147"/>
      <c r="O47" s="1156"/>
      <c r="P47" s="1156"/>
      <c r="R47" s="1149"/>
    </row>
    <row r="48" spans="1:19" s="9" customFormat="1" ht="16.5" customHeight="1" x14ac:dyDescent="0.3">
      <c r="A48" s="1150"/>
      <c r="B48" s="2941" t="s">
        <v>401</v>
      </c>
      <c r="C48" s="2942"/>
      <c r="D48" s="2942"/>
      <c r="E48" s="2942"/>
      <c r="F48" s="2942"/>
      <c r="G48" s="2942"/>
      <c r="H48" s="2942"/>
      <c r="I48" s="2943"/>
      <c r="J48" s="1146"/>
      <c r="K48" s="1175"/>
      <c r="L48" s="1175"/>
      <c r="M48" s="1175"/>
      <c r="N48" s="1175"/>
      <c r="O48" s="1175"/>
      <c r="P48" s="1175"/>
      <c r="R48" s="1149"/>
    </row>
    <row r="49" spans="1:25" s="9" customFormat="1" ht="16.5" customHeight="1" x14ac:dyDescent="0.25">
      <c r="A49" s="1150"/>
      <c r="B49" s="615" t="s">
        <v>402</v>
      </c>
      <c r="C49" s="638">
        <v>100654</v>
      </c>
      <c r="D49" s="638">
        <f>+'CNG Table C 2013'!D38</f>
        <v>0</v>
      </c>
      <c r="E49" s="638" t="e">
        <f>+'CNG Table A'!#REF!-'CNG Table C 2014'!C49</f>
        <v>#REF!</v>
      </c>
      <c r="F49" s="638">
        <f>+'CNG Table C 2013'!F38</f>
        <v>0</v>
      </c>
      <c r="G49" s="638">
        <f>+'CNG Table C 2013'!G38</f>
        <v>0</v>
      </c>
      <c r="H49" s="638"/>
      <c r="I49" s="640" t="e">
        <f>SUM(C49:H49)</f>
        <v>#REF!</v>
      </c>
      <c r="J49" s="1146"/>
      <c r="K49" s="582"/>
      <c r="L49" s="582"/>
      <c r="M49" s="582"/>
      <c r="N49" s="582"/>
      <c r="O49" s="582"/>
      <c r="P49" s="584"/>
      <c r="Q49" s="1156"/>
      <c r="R49" s="1149"/>
    </row>
    <row r="50" spans="1:25" s="9" customFormat="1" ht="16.5" customHeight="1" x14ac:dyDescent="0.25">
      <c r="A50" s="1150"/>
      <c r="B50" s="615" t="s">
        <v>403</v>
      </c>
      <c r="C50" s="638">
        <f>+'CNG Table C 2013'!C39</f>
        <v>0</v>
      </c>
      <c r="D50" s="638">
        <f>+'CNG Table C 2013'!D39</f>
        <v>0</v>
      </c>
      <c r="E50" s="638" t="e">
        <f>+'CNG Table A'!#REF!-'CNG Table C 2014'!C50</f>
        <v>#REF!</v>
      </c>
      <c r="F50" s="638">
        <f>+'CNG Table C 2013'!F39</f>
        <v>0</v>
      </c>
      <c r="G50" s="638">
        <f>+'CNG Table C 2013'!G39</f>
        <v>0</v>
      </c>
      <c r="H50" s="638"/>
      <c r="I50" s="640" t="e">
        <f t="shared" ref="I50:I56" si="7">SUM(C50:H50)</f>
        <v>#REF!</v>
      </c>
      <c r="J50" s="1146"/>
      <c r="K50" s="582"/>
      <c r="L50" s="582"/>
      <c r="M50" s="582"/>
      <c r="N50" s="582"/>
      <c r="O50" s="582"/>
      <c r="P50" s="584"/>
      <c r="Q50" s="1156"/>
      <c r="R50" s="1149"/>
    </row>
    <row r="51" spans="1:25" s="9" customFormat="1" ht="16.5" customHeight="1" x14ac:dyDescent="0.25">
      <c r="A51" s="1150"/>
      <c r="B51" s="615" t="s">
        <v>404</v>
      </c>
      <c r="C51" s="638">
        <v>13321</v>
      </c>
      <c r="D51" s="638">
        <f>+'CNG Table C 2013'!D40</f>
        <v>0</v>
      </c>
      <c r="E51" s="638" t="e">
        <f>+'CNG Table A'!#REF!-'CNG Table C 2014'!C51</f>
        <v>#REF!</v>
      </c>
      <c r="F51" s="638">
        <f>+'CNG Table C 2013'!F40</f>
        <v>0</v>
      </c>
      <c r="G51" s="638">
        <f>+'CNG Table C 2013'!G40</f>
        <v>0</v>
      </c>
      <c r="H51" s="638"/>
      <c r="I51" s="640" t="e">
        <f t="shared" si="7"/>
        <v>#REF!</v>
      </c>
      <c r="J51" s="1146"/>
      <c r="K51" s="582"/>
      <c r="L51" s="582"/>
      <c r="M51" s="582"/>
      <c r="N51" s="582"/>
      <c r="O51" s="582"/>
      <c r="P51" s="584"/>
      <c r="Q51" s="1156"/>
    </row>
    <row r="52" spans="1:25" s="9" customFormat="1" ht="16.5" customHeight="1" x14ac:dyDescent="0.25">
      <c r="A52" s="1150"/>
      <c r="B52" s="615" t="s">
        <v>281</v>
      </c>
      <c r="C52" s="638" t="e">
        <f>+'CNG Table A'!#REF!</f>
        <v>#REF!</v>
      </c>
      <c r="D52" s="638">
        <f>+'CNG Table C 2013'!D41</f>
        <v>0</v>
      </c>
      <c r="E52" s="638" t="e">
        <f>+'CNG Table A'!#REF!-'CNG Table C 2014'!C52</f>
        <v>#REF!</v>
      </c>
      <c r="F52" s="638">
        <f>+'CNG Table C 2013'!F41</f>
        <v>0</v>
      </c>
      <c r="G52" s="638">
        <f>+'CNG Table C 2013'!G41</f>
        <v>0</v>
      </c>
      <c r="H52" s="638"/>
      <c r="I52" s="640" t="e">
        <f t="shared" si="7"/>
        <v>#REF!</v>
      </c>
      <c r="J52" s="1146"/>
      <c r="K52" s="582"/>
      <c r="L52" s="582"/>
      <c r="M52" s="582"/>
      <c r="N52" s="582"/>
      <c r="O52" s="582"/>
      <c r="P52" s="584"/>
      <c r="Q52" s="1156"/>
      <c r="R52" s="1164"/>
      <c r="S52" s="1159"/>
    </row>
    <row r="53" spans="1:25" s="1159" customFormat="1" ht="16.5" customHeight="1" x14ac:dyDescent="0.25">
      <c r="A53" s="1145"/>
      <c r="B53" s="615" t="s">
        <v>405</v>
      </c>
      <c r="C53" s="638">
        <v>20418</v>
      </c>
      <c r="D53" s="638">
        <f>+'CNG Table C 2013'!D42</f>
        <v>0</v>
      </c>
      <c r="E53" s="638" t="e">
        <f>+'CNG Table A'!#REF!-'CNG Table C 2014'!C53</f>
        <v>#REF!</v>
      </c>
      <c r="F53" s="638">
        <f>+'CNG Table C 2013'!F42</f>
        <v>0</v>
      </c>
      <c r="G53" s="638">
        <f>+'CNG Table C 2013'!G42</f>
        <v>0</v>
      </c>
      <c r="H53" s="638"/>
      <c r="I53" s="640" t="e">
        <f t="shared" si="7"/>
        <v>#REF!</v>
      </c>
      <c r="J53" s="1146"/>
      <c r="K53" s="582"/>
      <c r="L53" s="582"/>
      <c r="M53" s="582"/>
      <c r="N53" s="582"/>
      <c r="O53" s="582"/>
      <c r="P53" s="584"/>
      <c r="Q53" s="1163"/>
      <c r="R53" s="9"/>
      <c r="S53" s="9"/>
      <c r="T53" s="9"/>
      <c r="U53" s="9"/>
      <c r="V53" s="9"/>
      <c r="W53" s="9"/>
      <c r="X53" s="9"/>
      <c r="Y53" s="9"/>
    </row>
    <row r="54" spans="1:25" s="9" customFormat="1" ht="16.5" customHeight="1" x14ac:dyDescent="0.25">
      <c r="A54" s="1145"/>
      <c r="B54" s="615" t="s">
        <v>488</v>
      </c>
      <c r="C54" s="638">
        <v>0</v>
      </c>
      <c r="D54" s="638">
        <f>+'CNG Table C 2013'!D42</f>
        <v>0</v>
      </c>
      <c r="E54" s="638" t="e">
        <f>+'CNG Table A'!#REF!-'CNG Table C 2014'!C54</f>
        <v>#REF!</v>
      </c>
      <c r="F54" s="638">
        <f>+'CNG Table C 2013'!F42</f>
        <v>0</v>
      </c>
      <c r="G54" s="638">
        <f>+'CNG Table C 2013'!G42</f>
        <v>0</v>
      </c>
      <c r="H54" s="638"/>
      <c r="I54" s="640" t="e">
        <f>SUM(C54:H54)</f>
        <v>#REF!</v>
      </c>
      <c r="J54" s="1146"/>
      <c r="K54" s="1159"/>
      <c r="L54" s="1159"/>
      <c r="M54" s="848"/>
      <c r="P54" s="1176"/>
    </row>
    <row r="55" spans="1:25" s="9" customFormat="1" ht="16.5" customHeight="1" x14ac:dyDescent="0.25">
      <c r="A55" s="1145"/>
      <c r="B55" s="615" t="s">
        <v>406</v>
      </c>
      <c r="C55" s="638">
        <f>+'CNG Table C 2013'!C43</f>
        <v>0</v>
      </c>
      <c r="D55" s="638">
        <f>+'CNG Table C 2013'!D43</f>
        <v>0</v>
      </c>
      <c r="E55" s="638" t="e">
        <f>+'CNG Table A'!#REF!-'CNG Table C 2014'!C55</f>
        <v>#REF!</v>
      </c>
      <c r="F55" s="638">
        <f>+'CNG Table C 2013'!F43</f>
        <v>0</v>
      </c>
      <c r="G55" s="638">
        <f>+'CNG Table C 2013'!G43</f>
        <v>0</v>
      </c>
      <c r="H55" s="638"/>
      <c r="I55" s="640" t="e">
        <f t="shared" si="7"/>
        <v>#REF!</v>
      </c>
      <c r="J55" s="1146"/>
      <c r="K55" s="1159"/>
      <c r="L55" s="1159"/>
      <c r="M55" s="848"/>
      <c r="P55" s="1176"/>
    </row>
    <row r="56" spans="1:25" s="9" customFormat="1" ht="16.5" customHeight="1" thickBot="1" x14ac:dyDescent="0.3">
      <c r="A56" s="1145"/>
      <c r="B56" s="616" t="s">
        <v>407</v>
      </c>
      <c r="C56" s="638">
        <f>+'CNG Table C 2013'!C44</f>
        <v>0</v>
      </c>
      <c r="D56" s="638">
        <f>+'CNG Table C 2013'!D44</f>
        <v>0</v>
      </c>
      <c r="E56" s="638">
        <f>+'CNG Table C 2013'!E44</f>
        <v>0</v>
      </c>
      <c r="F56" s="638">
        <f>+'CNG Table C 2013'!F44</f>
        <v>0</v>
      </c>
      <c r="G56" s="638">
        <f>+'CNG Table C 2013'!G44</f>
        <v>0</v>
      </c>
      <c r="H56" s="638" t="e">
        <f>+'CNG Table A'!#REF!</f>
        <v>#REF!</v>
      </c>
      <c r="I56" s="640" t="e">
        <f t="shared" si="7"/>
        <v>#REF!</v>
      </c>
      <c r="J56" s="1146"/>
      <c r="K56" s="1159"/>
      <c r="L56" s="1159"/>
      <c r="M56" s="848"/>
    </row>
    <row r="57" spans="1:25" s="9" customFormat="1" ht="16.5" customHeight="1" thickBot="1" x14ac:dyDescent="0.3">
      <c r="A57" s="1145"/>
      <c r="B57" s="232" t="s">
        <v>43</v>
      </c>
      <c r="C57" s="1177" t="e">
        <f t="shared" ref="C57:H57" si="8">SUM(C49:C56)</f>
        <v>#REF!</v>
      </c>
      <c r="D57" s="1177">
        <f t="shared" si="8"/>
        <v>0</v>
      </c>
      <c r="E57" s="1177" t="e">
        <f t="shared" si="8"/>
        <v>#REF!</v>
      </c>
      <c r="F57" s="1177">
        <f t="shared" si="8"/>
        <v>0</v>
      </c>
      <c r="G57" s="1177">
        <f t="shared" si="8"/>
        <v>0</v>
      </c>
      <c r="H57" s="1177" t="e">
        <f t="shared" si="8"/>
        <v>#REF!</v>
      </c>
      <c r="I57" s="1177" t="e">
        <f>SUM(I49:I56)</f>
        <v>#REF!</v>
      </c>
      <c r="J57" s="1146"/>
      <c r="K57" s="1159"/>
      <c r="L57" s="1159"/>
      <c r="M57" s="848"/>
    </row>
    <row r="58" spans="1:25" ht="19.5" customHeight="1" thickBot="1" x14ac:dyDescent="0.35">
      <c r="A58" s="83"/>
      <c r="B58" s="2891" t="s">
        <v>28</v>
      </c>
      <c r="C58" s="2892"/>
      <c r="D58" s="2892"/>
      <c r="E58" s="2892"/>
      <c r="F58" s="2892"/>
      <c r="G58" s="2892"/>
      <c r="H58" s="2892"/>
      <c r="I58" s="2893"/>
      <c r="J58" s="166"/>
      <c r="K58" s="52"/>
      <c r="M58" s="141"/>
      <c r="N58" s="49"/>
    </row>
    <row r="59" spans="1:25" ht="21" customHeight="1" x14ac:dyDescent="0.3">
      <c r="A59" s="83"/>
      <c r="B59" s="1032" t="s">
        <v>7</v>
      </c>
      <c r="C59" s="655">
        <f t="shared" ref="C59:H59" si="9">+C16+(C34*0.8)+C39</f>
        <v>626917.6</v>
      </c>
      <c r="D59" s="655">
        <f t="shared" si="9"/>
        <v>10440</v>
      </c>
      <c r="E59" s="655" t="e">
        <f t="shared" si="9"/>
        <v>#REF!</v>
      </c>
      <c r="F59" s="655">
        <f t="shared" si="9"/>
        <v>7045636</v>
      </c>
      <c r="G59" s="655">
        <f t="shared" si="9"/>
        <v>93100</v>
      </c>
      <c r="H59" s="655">
        <f t="shared" si="9"/>
        <v>14860</v>
      </c>
      <c r="I59" s="1033" t="e">
        <f>SUM(C59:H59)</f>
        <v>#REF!</v>
      </c>
      <c r="J59" s="522"/>
      <c r="M59" s="141"/>
      <c r="N59" s="49"/>
    </row>
    <row r="60" spans="1:25" ht="21" customHeight="1" x14ac:dyDescent="0.3">
      <c r="A60" s="21"/>
      <c r="B60" s="1034" t="s">
        <v>8</v>
      </c>
      <c r="C60" s="657">
        <f t="shared" ref="C60:H60" si="10">+C27+C37+C38+C40+C41+(C34*0.2)</f>
        <v>375347.4</v>
      </c>
      <c r="D60" s="657">
        <f t="shared" si="10"/>
        <v>16160</v>
      </c>
      <c r="E60" s="657" t="e">
        <f t="shared" si="10"/>
        <v>#REF!</v>
      </c>
      <c r="F60" s="657">
        <f t="shared" si="10"/>
        <v>2948949</v>
      </c>
      <c r="G60" s="657">
        <f t="shared" si="10"/>
        <v>75600</v>
      </c>
      <c r="H60" s="657">
        <f t="shared" si="10"/>
        <v>30300</v>
      </c>
      <c r="I60" s="1035" t="e">
        <f>SUM(C60:H60)</f>
        <v>#REF!</v>
      </c>
      <c r="J60" s="522"/>
      <c r="K60" s="521"/>
      <c r="M60" s="141"/>
      <c r="N60" s="49"/>
    </row>
    <row r="61" spans="1:25" ht="21" customHeight="1" thickBot="1" x14ac:dyDescent="0.35">
      <c r="A61" s="86"/>
      <c r="B61" s="1036" t="s">
        <v>12</v>
      </c>
      <c r="C61" s="659" t="e">
        <f t="shared" ref="C61:H61" si="11">+C57+C45</f>
        <v>#REF!</v>
      </c>
      <c r="D61" s="659">
        <f t="shared" si="11"/>
        <v>0</v>
      </c>
      <c r="E61" s="659" t="e">
        <f t="shared" si="11"/>
        <v>#REF!</v>
      </c>
      <c r="F61" s="659">
        <f t="shared" si="11"/>
        <v>0</v>
      </c>
      <c r="G61" s="659">
        <f t="shared" si="11"/>
        <v>0</v>
      </c>
      <c r="H61" s="659" t="e">
        <f t="shared" si="11"/>
        <v>#REF!</v>
      </c>
      <c r="I61" s="1037" t="e">
        <f>SUM(C61:H61)</f>
        <v>#REF!</v>
      </c>
      <c r="J61" s="45"/>
      <c r="M61" s="141"/>
      <c r="N61" s="49"/>
    </row>
    <row r="62" spans="1:25" ht="21" thickBot="1" x14ac:dyDescent="0.35">
      <c r="A62" s="83"/>
      <c r="B62" s="648" t="s">
        <v>58</v>
      </c>
      <c r="C62" s="649" t="e">
        <f t="shared" ref="C62:I62" si="12">SUM(C59:C61)</f>
        <v>#REF!</v>
      </c>
      <c r="D62" s="649">
        <f t="shared" si="12"/>
        <v>26600</v>
      </c>
      <c r="E62" s="649" t="e">
        <f t="shared" si="12"/>
        <v>#REF!</v>
      </c>
      <c r="F62" s="649">
        <f t="shared" si="12"/>
        <v>9994585</v>
      </c>
      <c r="G62" s="649">
        <f t="shared" si="12"/>
        <v>168700</v>
      </c>
      <c r="H62" s="649" t="e">
        <f t="shared" si="12"/>
        <v>#REF!</v>
      </c>
      <c r="I62" s="649" t="e">
        <f t="shared" si="12"/>
        <v>#REF!</v>
      </c>
      <c r="J62" s="45"/>
      <c r="M62" s="141"/>
      <c r="N62" s="49"/>
    </row>
  </sheetData>
  <mergeCells count="12">
    <mergeCell ref="B58:I58"/>
    <mergeCell ref="B28:I28"/>
    <mergeCell ref="B22:I22"/>
    <mergeCell ref="B29:I29"/>
    <mergeCell ref="B36:I36"/>
    <mergeCell ref="B43:I43"/>
    <mergeCell ref="B48:I48"/>
    <mergeCell ref="B1:I1"/>
    <mergeCell ref="B2:I2"/>
    <mergeCell ref="B11:I11"/>
    <mergeCell ref="B18:I18"/>
    <mergeCell ref="B21:I21"/>
  </mergeCells>
  <printOptions horizontalCentered="1" verticalCentered="1"/>
  <pageMargins left="0.61" right="0.31" top="0.2" bottom="0.43" header="0.2" footer="0.18"/>
  <pageSetup scale="56" fitToWidth="0" orientation="landscape" r:id="rId1"/>
  <headerFooter alignWithMargins="0">
    <oddFooter>&amp;R
&amp;C&amp;"Arial"&amp;11&amp;K000000&amp;14
Totals may vary due to rounding&amp;12
_x000D_&amp;1#&amp;"Calibri"&amp;12&amp;K008000Internal Use</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indexed="47"/>
  </sheetPr>
  <dimension ref="A1:F43"/>
  <sheetViews>
    <sheetView topLeftCell="A16" workbookViewId="0">
      <selection activeCell="J32" sqref="J32"/>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332</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t="e">
        <f>+'CNG Table C 2014'!C62</f>
        <v>#REF!</v>
      </c>
      <c r="D34" s="236" t="e">
        <f t="shared" ref="D34:D39" si="0">SUM(B34/$B$41)</f>
        <v>#REF!</v>
      </c>
    </row>
    <row r="35" spans="1:4" x14ac:dyDescent="0.2">
      <c r="A35" t="s">
        <v>19</v>
      </c>
      <c r="B35" s="14">
        <f>+'CNG Table C 2014'!D62</f>
        <v>26600</v>
      </c>
      <c r="D35" s="236" t="e">
        <f t="shared" si="0"/>
        <v>#REF!</v>
      </c>
    </row>
    <row r="36" spans="1:4" x14ac:dyDescent="0.2">
      <c r="A36" t="s">
        <v>4</v>
      </c>
      <c r="B36" s="14" t="e">
        <f>+'CNG Table C 2014'!E62</f>
        <v>#REF!</v>
      </c>
      <c r="D36" s="236" t="e">
        <f t="shared" si="0"/>
        <v>#REF!</v>
      </c>
    </row>
    <row r="37" spans="1:4" x14ac:dyDescent="0.2">
      <c r="A37" t="s">
        <v>2</v>
      </c>
      <c r="B37" s="14">
        <f>+'CNG Table C 2014'!F62</f>
        <v>9994585</v>
      </c>
      <c r="D37" s="236" t="e">
        <f t="shared" si="0"/>
        <v>#REF!</v>
      </c>
    </row>
    <row r="38" spans="1:4" x14ac:dyDescent="0.2">
      <c r="A38" t="s">
        <v>14</v>
      </c>
      <c r="B38" s="14">
        <f>+'CNG Table C 2014'!G62</f>
        <v>168700</v>
      </c>
      <c r="D38" s="236" t="e">
        <f t="shared" si="0"/>
        <v>#REF!</v>
      </c>
    </row>
    <row r="39" spans="1:4" x14ac:dyDescent="0.2">
      <c r="A39" t="s">
        <v>15</v>
      </c>
      <c r="B39" s="933" t="e">
        <f>+'CNG Table C 2014'!H62</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B1:AC90"/>
  <sheetViews>
    <sheetView zoomScale="75" zoomScaleNormal="100" workbookViewId="0">
      <pane xSplit="2" ySplit="5" topLeftCell="C6" activePane="bottomRight" state="frozen"/>
      <selection activeCell="S52" sqref="S52"/>
      <selection pane="topRight" activeCell="S52" sqref="S52"/>
      <selection pane="bottomLeft" activeCell="S52" sqref="S52"/>
      <selection pane="bottomRight" activeCell="E7" sqref="E7"/>
    </sheetView>
  </sheetViews>
  <sheetFormatPr defaultRowHeight="12.75" x14ac:dyDescent="0.2"/>
  <cols>
    <col min="1" max="1" width="9.140625" style="321"/>
    <col min="2" max="2" width="64.28515625" style="321" customWidth="1"/>
    <col min="3" max="3" width="18" style="321" bestFit="1" customWidth="1"/>
    <col min="4" max="4" width="15.7109375" style="321" customWidth="1"/>
    <col min="5" max="5" width="15.5703125" style="321" customWidth="1"/>
    <col min="6" max="6" width="16.140625" style="321" bestFit="1" customWidth="1"/>
    <col min="7" max="7" width="16.7109375" style="321" customWidth="1"/>
    <col min="8" max="8" width="12.28515625" style="321" customWidth="1"/>
    <col min="9" max="9" width="12.85546875" style="321" customWidth="1"/>
    <col min="10" max="10" width="13.140625" style="321" customWidth="1"/>
    <col min="11" max="11" width="11.28515625" style="819" customWidth="1"/>
    <col min="12" max="12" width="15.8554687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28515625" style="321" bestFit="1" customWidth="1"/>
    <col min="20" max="20" width="13.140625" style="321" customWidth="1"/>
    <col min="21" max="21" width="14.5703125" style="321" customWidth="1"/>
    <col min="22" max="22" width="14.7109375" style="321" customWidth="1"/>
    <col min="23" max="23" width="14.5703125" style="321" customWidth="1"/>
    <col min="24" max="24" width="11" style="321" bestFit="1" customWidth="1"/>
    <col min="25" max="25" width="13.85546875" style="321" customWidth="1"/>
    <col min="26" max="26" width="12" style="321" bestFit="1" customWidth="1"/>
    <col min="27" max="16384" width="9.140625" style="321"/>
  </cols>
  <sheetData>
    <row r="1" spans="2:28"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row>
    <row r="2" spans="2:28" s="284" customFormat="1" ht="18" customHeight="1" x14ac:dyDescent="0.2">
      <c r="B2" s="2154" t="s">
        <v>616</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row>
    <row r="3" spans="2:28" s="284" customFormat="1" ht="13.5" thickBot="1" x14ac:dyDescent="0.25">
      <c r="C3" s="243"/>
      <c r="K3" s="802"/>
    </row>
    <row r="4" spans="2:28" ht="63.75" thickBot="1" x14ac:dyDescent="0.3">
      <c r="B4" s="315" t="s">
        <v>79</v>
      </c>
      <c r="C4" s="941" t="s">
        <v>552</v>
      </c>
      <c r="D4" s="941" t="s">
        <v>553</v>
      </c>
      <c r="E4" s="941" t="s">
        <v>554</v>
      </c>
      <c r="F4" s="941" t="s">
        <v>551</v>
      </c>
      <c r="G4" s="315" t="s">
        <v>161</v>
      </c>
      <c r="H4" s="943" t="s">
        <v>555</v>
      </c>
      <c r="I4" s="941" t="s">
        <v>498</v>
      </c>
      <c r="J4" s="317" t="s">
        <v>162</v>
      </c>
      <c r="K4" s="2140" t="s">
        <v>163</v>
      </c>
      <c r="L4" s="318" t="s">
        <v>81</v>
      </c>
      <c r="M4" s="2141" t="s">
        <v>166</v>
      </c>
      <c r="N4" s="2141" t="s">
        <v>165</v>
      </c>
      <c r="O4" s="2142" t="s">
        <v>463</v>
      </c>
      <c r="P4" s="319" t="s">
        <v>164</v>
      </c>
      <c r="Q4" s="320" t="s">
        <v>167</v>
      </c>
      <c r="R4" s="941" t="s">
        <v>512</v>
      </c>
      <c r="S4" s="941" t="s">
        <v>513</v>
      </c>
      <c r="T4" s="941" t="s">
        <v>514</v>
      </c>
      <c r="U4" s="941" t="s">
        <v>515</v>
      </c>
      <c r="V4" s="941" t="s">
        <v>508</v>
      </c>
      <c r="W4" s="941" t="s">
        <v>509</v>
      </c>
      <c r="X4" s="319" t="s">
        <v>510</v>
      </c>
      <c r="Y4" s="320" t="s">
        <v>511</v>
      </c>
    </row>
    <row r="5" spans="2:28" ht="16.5" thickBot="1" x14ac:dyDescent="0.3">
      <c r="B5" s="2155" t="s">
        <v>5</v>
      </c>
      <c r="C5" s="2156"/>
      <c r="D5" s="2156"/>
      <c r="E5" s="2156"/>
      <c r="F5" s="2156"/>
      <c r="G5" s="2156"/>
      <c r="H5" s="2156"/>
      <c r="I5" s="2156"/>
      <c r="J5" s="2156"/>
      <c r="K5" s="2156"/>
      <c r="L5" s="2156"/>
      <c r="M5" s="2156"/>
      <c r="N5" s="2156"/>
      <c r="O5" s="2156"/>
      <c r="P5" s="2156"/>
      <c r="Q5" s="2157"/>
      <c r="R5" s="2108"/>
      <c r="S5" s="2108"/>
      <c r="T5" s="2108"/>
      <c r="U5" s="2108"/>
      <c r="V5" s="2108"/>
      <c r="W5" s="2108"/>
      <c r="X5" s="2109"/>
      <c r="Y5" s="2109"/>
    </row>
    <row r="6" spans="2:28" s="284" customFormat="1" ht="19.5" hidden="1" customHeight="1" x14ac:dyDescent="0.2">
      <c r="B6" s="322" t="s">
        <v>232</v>
      </c>
      <c r="C6" s="683"/>
      <c r="D6" s="331"/>
      <c r="E6" s="331"/>
      <c r="F6" s="331"/>
      <c r="G6" s="331"/>
      <c r="H6" s="332"/>
      <c r="I6" s="333"/>
      <c r="J6" s="333"/>
      <c r="K6" s="804"/>
      <c r="L6" s="326"/>
      <c r="M6" s="804"/>
      <c r="N6" s="804"/>
      <c r="O6" s="804"/>
      <c r="P6" s="335"/>
      <c r="Q6" s="336"/>
      <c r="R6" s="804"/>
      <c r="S6" s="804"/>
      <c r="T6" s="804"/>
      <c r="U6" s="804"/>
      <c r="V6" s="804">
        <v>0</v>
      </c>
      <c r="W6" s="804">
        <v>0</v>
      </c>
      <c r="X6" s="335" t="s">
        <v>3</v>
      </c>
      <c r="Y6" s="336" t="s">
        <v>3</v>
      </c>
    </row>
    <row r="7" spans="2:28" s="2060" customFormat="1" ht="18" customHeight="1" x14ac:dyDescent="0.2">
      <c r="B7" s="2199" t="s">
        <v>233</v>
      </c>
      <c r="C7" s="2200">
        <v>3612405.7008651299</v>
      </c>
      <c r="D7" s="2052">
        <v>0</v>
      </c>
      <c r="E7" s="2052">
        <v>3612405.7008651299</v>
      </c>
      <c r="F7" s="2052">
        <v>4268490.3803396504</v>
      </c>
      <c r="G7" s="2052">
        <v>4573724.1126046162</v>
      </c>
      <c r="H7" s="2053">
        <v>0.2270432308414915</v>
      </c>
      <c r="I7" s="2054">
        <v>1.1816198771133031</v>
      </c>
      <c r="J7" s="2054">
        <v>1.266115849476503</v>
      </c>
      <c r="K7" s="2055">
        <v>4258.8917602785377</v>
      </c>
      <c r="L7" s="2056" t="s">
        <v>241</v>
      </c>
      <c r="M7" s="2055">
        <v>315461.30611488479</v>
      </c>
      <c r="N7" s="2055">
        <v>6594041.0764206853</v>
      </c>
      <c r="O7" s="2055">
        <v>3800.5137129363543</v>
      </c>
      <c r="P7" s="2057">
        <v>11.451184759723155</v>
      </c>
      <c r="Q7" s="2058">
        <v>0.54782881377287107</v>
      </c>
      <c r="R7" s="2055"/>
      <c r="S7" s="2055"/>
      <c r="T7" s="2055"/>
      <c r="U7" s="2055"/>
      <c r="V7" s="2055">
        <v>32460.968399221645</v>
      </c>
      <c r="W7" s="2055">
        <v>678526.82676368847</v>
      </c>
      <c r="X7" s="2057">
        <v>111.28459436076925</v>
      </c>
      <c r="Y7" s="2058">
        <v>5.3238951775789225</v>
      </c>
    </row>
    <row r="8" spans="2:28" s="2060" customFormat="1" ht="19.5" customHeight="1" thickBot="1" x14ac:dyDescent="0.25">
      <c r="B8" s="2071" t="s">
        <v>234</v>
      </c>
      <c r="C8" s="2201">
        <v>2651954.7953733802</v>
      </c>
      <c r="D8" s="2052">
        <v>0</v>
      </c>
      <c r="E8" s="2052">
        <v>2651954.7953733802</v>
      </c>
      <c r="F8" s="2052">
        <v>3143110.7358238846</v>
      </c>
      <c r="G8" s="2052">
        <v>3344854.9800305204</v>
      </c>
      <c r="H8" s="2053">
        <v>0.23254706268492603</v>
      </c>
      <c r="I8" s="2054">
        <v>1.1852052460725873</v>
      </c>
      <c r="J8" s="2054">
        <v>1.2612790330611889</v>
      </c>
      <c r="K8" s="2055">
        <v>2607.169842501783</v>
      </c>
      <c r="L8" s="2056" t="s">
        <v>241</v>
      </c>
      <c r="M8" s="2055">
        <v>229346.40700392643</v>
      </c>
      <c r="N8" s="2055">
        <v>4882684.4440354267</v>
      </c>
      <c r="O8" s="2055">
        <v>4705.903646241808</v>
      </c>
      <c r="P8" s="2057">
        <v>11.563097194402433</v>
      </c>
      <c r="Q8" s="2058">
        <v>0.54313458626492772</v>
      </c>
      <c r="R8" s="2055"/>
      <c r="S8" s="2055"/>
      <c r="T8" s="2055"/>
      <c r="U8" s="2055"/>
      <c r="V8" s="2055">
        <v>23599.745280704028</v>
      </c>
      <c r="W8" s="2055">
        <v>502428.2292912454</v>
      </c>
      <c r="X8" s="2057">
        <v>112.37217875998478</v>
      </c>
      <c r="Y8" s="2058">
        <v>5.2782758626329223</v>
      </c>
    </row>
    <row r="9" spans="2:28" ht="17.25" customHeight="1" thickBot="1" x14ac:dyDescent="0.3">
      <c r="B9" s="342" t="s">
        <v>235</v>
      </c>
      <c r="C9" s="343">
        <v>6264360.4962385101</v>
      </c>
      <c r="D9" s="343">
        <v>0</v>
      </c>
      <c r="E9" s="343">
        <v>6264360.4962385101</v>
      </c>
      <c r="F9" s="343">
        <v>7411601.116163535</v>
      </c>
      <c r="G9" s="343">
        <v>7918579.0926351361</v>
      </c>
      <c r="H9" s="344">
        <v>0.22934110143265876</v>
      </c>
      <c r="I9" s="345">
        <v>1.1831377074505682</v>
      </c>
      <c r="J9" s="345">
        <v>1.264068231288719</v>
      </c>
      <c r="K9" s="346">
        <v>6866.0616027803208</v>
      </c>
      <c r="L9" s="347" t="s">
        <v>241</v>
      </c>
      <c r="M9" s="348">
        <v>544807.71311881125</v>
      </c>
      <c r="N9" s="348">
        <v>11476725.520456113</v>
      </c>
      <c r="O9" s="348">
        <v>8506.4173591781619</v>
      </c>
      <c r="P9" s="349">
        <v>11.498296271132974</v>
      </c>
      <c r="Q9" s="350">
        <v>0.54583169084883276</v>
      </c>
      <c r="R9" s="348">
        <v>0</v>
      </c>
      <c r="S9" s="348">
        <v>0</v>
      </c>
      <c r="T9" s="348"/>
      <c r="U9" s="348"/>
      <c r="V9" s="346">
        <v>56060.713679925677</v>
      </c>
      <c r="W9" s="346">
        <v>1180955.0560549342</v>
      </c>
      <c r="X9" s="349">
        <v>111.74243217816301</v>
      </c>
      <c r="Y9" s="350">
        <v>5.3044867915338454</v>
      </c>
      <c r="Z9" s="321" t="s">
        <v>290</v>
      </c>
      <c r="AA9" s="704" t="s">
        <v>495</v>
      </c>
    </row>
    <row r="10" spans="2:28" s="284" customFormat="1" ht="15" hidden="1" x14ac:dyDescent="0.2">
      <c r="B10" s="322" t="s">
        <v>139</v>
      </c>
      <c r="C10" s="323"/>
      <c r="D10" s="331"/>
      <c r="E10" s="331"/>
      <c r="F10" s="331"/>
      <c r="G10" s="331"/>
      <c r="H10" s="332"/>
      <c r="I10" s="333"/>
      <c r="J10" s="333"/>
      <c r="K10" s="804"/>
      <c r="L10" s="326"/>
      <c r="M10" s="804"/>
      <c r="N10" s="804"/>
      <c r="O10" s="804"/>
      <c r="P10" s="335"/>
      <c r="Q10" s="336"/>
      <c r="R10" s="804"/>
      <c r="S10" s="804"/>
      <c r="T10" s="804"/>
      <c r="U10" s="804"/>
      <c r="V10" s="804">
        <v>0</v>
      </c>
      <c r="W10" s="804">
        <v>0</v>
      </c>
      <c r="X10" s="335" t="s">
        <v>3</v>
      </c>
      <c r="Y10" s="336" t="s">
        <v>3</v>
      </c>
      <c r="Z10" s="393" t="e">
        <v>#DIV/0!</v>
      </c>
      <c r="AA10" s="797"/>
    </row>
    <row r="11" spans="2:28" s="2060" customFormat="1" ht="15" x14ac:dyDescent="0.2">
      <c r="B11" s="2202" t="s">
        <v>140</v>
      </c>
      <c r="C11" s="2051">
        <v>3397061.3545118198</v>
      </c>
      <c r="D11" s="2052">
        <v>1274518.6638908163</v>
      </c>
      <c r="E11" s="2052">
        <v>4671580.0184026361</v>
      </c>
      <c r="F11" s="2052">
        <v>4993044.7862164816</v>
      </c>
      <c r="G11" s="2052">
        <v>4994680.6543779466</v>
      </c>
      <c r="H11" s="2053">
        <v>0.21350862808970328</v>
      </c>
      <c r="I11" s="2054">
        <v>1.4698129545364114</v>
      </c>
      <c r="J11" s="2054">
        <v>1.0691630315016607</v>
      </c>
      <c r="K11" s="2055">
        <v>4295.629384615384</v>
      </c>
      <c r="L11" s="2056" t="s">
        <v>241</v>
      </c>
      <c r="M11" s="2055">
        <v>409066.34210102889</v>
      </c>
      <c r="N11" s="2055">
        <v>7344352.3832203476</v>
      </c>
      <c r="O11" s="2055">
        <v>6830.7520497500054</v>
      </c>
      <c r="P11" s="2057">
        <v>8.3044264582218617</v>
      </c>
      <c r="Q11" s="2058">
        <v>0.46254062676419105</v>
      </c>
      <c r="R11" s="2055">
        <v>0</v>
      </c>
      <c r="S11" s="2055">
        <v>0</v>
      </c>
      <c r="T11" s="2055">
        <v>0</v>
      </c>
      <c r="U11" s="2055">
        <v>0</v>
      </c>
      <c r="V11" s="2055">
        <v>42092.926602195868</v>
      </c>
      <c r="W11" s="2055">
        <v>755733.86023337382</v>
      </c>
      <c r="X11" s="2057">
        <v>80.703852849580784</v>
      </c>
      <c r="Y11" s="2058">
        <v>4.4950498227812536</v>
      </c>
      <c r="Z11" s="2072"/>
      <c r="AA11" s="2203">
        <v>0.82193366813689805</v>
      </c>
      <c r="AB11" s="2072"/>
    </row>
    <row r="12" spans="2:28" s="2060" customFormat="1" ht="15.75" thickBot="1" x14ac:dyDescent="0.25">
      <c r="B12" s="2061" t="s">
        <v>141</v>
      </c>
      <c r="C12" s="2051">
        <v>1815062</v>
      </c>
      <c r="D12" s="2052">
        <v>1038072.606848008</v>
      </c>
      <c r="E12" s="2052">
        <v>2853134.606848008</v>
      </c>
      <c r="F12" s="2052">
        <v>2678340.9330470031</v>
      </c>
      <c r="G12" s="2052">
        <v>2679818.9771734825</v>
      </c>
      <c r="H12" s="2053">
        <v>0.15916083389784919</v>
      </c>
      <c r="I12" s="2054">
        <v>1.4756195287251912</v>
      </c>
      <c r="J12" s="2054">
        <v>0.93925431023880246</v>
      </c>
      <c r="K12" s="2055">
        <v>2649.0696526508227</v>
      </c>
      <c r="L12" s="2056" t="s">
        <v>241</v>
      </c>
      <c r="M12" s="2055">
        <v>223353.28454926491</v>
      </c>
      <c r="N12" s="2055">
        <v>3916539.3724127589</v>
      </c>
      <c r="O12" s="2055">
        <v>4039.6825717237284</v>
      </c>
      <c r="P12" s="2057">
        <v>8.1264173198207565</v>
      </c>
      <c r="Q12" s="2058">
        <v>0.46343514705479466</v>
      </c>
      <c r="R12" s="2055">
        <v>0</v>
      </c>
      <c r="S12" s="2055">
        <v>0</v>
      </c>
      <c r="T12" s="2055"/>
      <c r="U12" s="2055"/>
      <c r="V12" s="2055">
        <v>22983.052980119359</v>
      </c>
      <c r="W12" s="2055">
        <v>403011.90142127289</v>
      </c>
      <c r="X12" s="2057">
        <v>78.973929249958758</v>
      </c>
      <c r="Y12" s="2058">
        <v>4.5037429257025714</v>
      </c>
      <c r="Z12" s="2072"/>
      <c r="AA12" s="2203">
        <v>0.79834248086291271</v>
      </c>
      <c r="AB12" s="2072"/>
    </row>
    <row r="13" spans="2:28" ht="17.25" customHeight="1" thickBot="1" x14ac:dyDescent="0.3">
      <c r="B13" s="342" t="s">
        <v>146</v>
      </c>
      <c r="C13" s="343">
        <v>5212123.3545118198</v>
      </c>
      <c r="D13" s="343">
        <v>2312591.2707388243</v>
      </c>
      <c r="E13" s="343">
        <v>7524714.6252506441</v>
      </c>
      <c r="F13" s="343">
        <v>7671385.7192634847</v>
      </c>
      <c r="G13" s="343">
        <v>7674499.6315514296</v>
      </c>
      <c r="H13" s="344">
        <v>0.19081821865845455</v>
      </c>
      <c r="I13" s="345">
        <v>1.4718350272011176</v>
      </c>
      <c r="J13" s="345">
        <v>1.0199057391224051</v>
      </c>
      <c r="K13" s="346">
        <v>6944.6990372662067</v>
      </c>
      <c r="L13" s="347" t="s">
        <v>241</v>
      </c>
      <c r="M13" s="348">
        <v>632419.62665029382</v>
      </c>
      <c r="N13" s="348">
        <v>11260891.755633106</v>
      </c>
      <c r="O13" s="348">
        <v>10870.434621473734</v>
      </c>
      <c r="P13" s="349">
        <v>8.2415585077879694</v>
      </c>
      <c r="Q13" s="363">
        <v>0.46285174101815929</v>
      </c>
      <c r="R13" s="348">
        <v>0</v>
      </c>
      <c r="S13" s="348">
        <v>0</v>
      </c>
      <c r="T13" s="348">
        <v>0</v>
      </c>
      <c r="U13" s="348">
        <v>0</v>
      </c>
      <c r="V13" s="346">
        <v>65075.979582315231</v>
      </c>
      <c r="W13" s="346">
        <v>1158745.7616546468</v>
      </c>
      <c r="X13" s="349">
        <v>80.092891232147409</v>
      </c>
      <c r="Y13" s="363">
        <v>4.4980732849189433</v>
      </c>
    </row>
    <row r="14" spans="2:28" s="284" customFormat="1" ht="31.5" hidden="1" customHeight="1" x14ac:dyDescent="0.2">
      <c r="B14" s="359" t="s">
        <v>169</v>
      </c>
      <c r="C14" s="2145"/>
      <c r="D14" s="2133"/>
      <c r="E14" s="2133"/>
      <c r="F14" s="2133"/>
      <c r="G14" s="2133"/>
      <c r="H14" s="337"/>
      <c r="I14" s="338"/>
      <c r="J14" s="338"/>
      <c r="K14" s="2119"/>
      <c r="L14" s="2134"/>
      <c r="M14" s="2119"/>
      <c r="N14" s="2119"/>
      <c r="O14" s="2119"/>
      <c r="P14" s="341"/>
      <c r="Q14" s="336"/>
      <c r="R14" s="2119"/>
      <c r="S14" s="2119"/>
      <c r="T14" s="2119"/>
      <c r="U14" s="2119"/>
      <c r="V14" s="2119">
        <v>0</v>
      </c>
      <c r="W14" s="2119">
        <v>0</v>
      </c>
      <c r="X14" s="341" t="s">
        <v>3</v>
      </c>
      <c r="Y14" s="336" t="s">
        <v>3</v>
      </c>
    </row>
    <row r="15" spans="2:28" s="2060" customFormat="1" ht="30" x14ac:dyDescent="0.2">
      <c r="B15" s="2202" t="s">
        <v>597</v>
      </c>
      <c r="C15" s="2051">
        <v>1627741.378734814</v>
      </c>
      <c r="D15" s="2052">
        <v>1799798.77714924</v>
      </c>
      <c r="E15" s="2052">
        <v>3427540.155884054</v>
      </c>
      <c r="F15" s="2052">
        <v>2859071.1894715698</v>
      </c>
      <c r="G15" s="2052">
        <v>2859071.1894715694</v>
      </c>
      <c r="H15" s="2053">
        <v>0.10230513740852219</v>
      </c>
      <c r="I15" s="2054">
        <v>1.7564652633539519</v>
      </c>
      <c r="J15" s="2054">
        <v>0.83414666479206823</v>
      </c>
      <c r="K15" s="2055">
        <v>2494.2752289837736</v>
      </c>
      <c r="L15" s="2056" t="s">
        <v>572</v>
      </c>
      <c r="M15" s="2055">
        <v>217312.35026069568</v>
      </c>
      <c r="N15" s="2055">
        <v>4301055.2390180416</v>
      </c>
      <c r="O15" s="2055">
        <v>2018.9744256716258</v>
      </c>
      <c r="P15" s="2057">
        <v>7.4903307464215318</v>
      </c>
      <c r="Q15" s="2058">
        <v>0.37845163297796608</v>
      </c>
      <c r="R15" s="2055"/>
      <c r="S15" s="2055"/>
      <c r="T15" s="2055"/>
      <c r="U15" s="2055"/>
      <c r="V15" s="2055">
        <v>22361.440841825584</v>
      </c>
      <c r="W15" s="2055">
        <v>442578.58409495646</v>
      </c>
      <c r="X15" s="2057">
        <v>72.792329897196623</v>
      </c>
      <c r="Y15" s="2058">
        <v>3.6778584351600201</v>
      </c>
      <c r="Z15" s="2072"/>
      <c r="AA15" s="2203"/>
      <c r="AB15" s="2072"/>
    </row>
    <row r="16" spans="2:28" s="2060" customFormat="1" ht="30.75" thickBot="1" x14ac:dyDescent="0.25">
      <c r="B16" s="2061" t="s">
        <v>598</v>
      </c>
      <c r="C16" s="2051">
        <v>1363782</v>
      </c>
      <c r="D16" s="2052">
        <v>1630736.0244552055</v>
      </c>
      <c r="E16" s="2052">
        <v>2994518.0244552055</v>
      </c>
      <c r="F16" s="2052">
        <v>2333145.2329021581</v>
      </c>
      <c r="G16" s="2052">
        <v>2333145.2329021581</v>
      </c>
      <c r="H16" s="2053">
        <v>0.11958857624415947</v>
      </c>
      <c r="I16" s="2054">
        <v>1.7107904583739615</v>
      </c>
      <c r="J16" s="2054">
        <v>0.77913881761544201</v>
      </c>
      <c r="K16" s="2055">
        <v>2199.1716282211351</v>
      </c>
      <c r="L16" s="2056" t="s">
        <v>572</v>
      </c>
      <c r="M16" s="2055">
        <v>177369.00629819589</v>
      </c>
      <c r="N16" s="2055">
        <v>3512374.5989224403</v>
      </c>
      <c r="O16" s="2055">
        <v>2015.9430091969375</v>
      </c>
      <c r="P16" s="2057">
        <v>7.6889532645133372</v>
      </c>
      <c r="Q16" s="2058">
        <v>0.38827920017938689</v>
      </c>
      <c r="R16" s="2055"/>
      <c r="S16" s="2055"/>
      <c r="T16" s="2055"/>
      <c r="U16" s="2055"/>
      <c r="V16" s="2055">
        <v>18251.270748084356</v>
      </c>
      <c r="W16" s="2055">
        <v>361423.34622911905</v>
      </c>
      <c r="X16" s="2057">
        <v>74.72257788642699</v>
      </c>
      <c r="Y16" s="2058">
        <v>3.7733644332301939</v>
      </c>
      <c r="Z16" s="2072"/>
      <c r="AA16" s="2203"/>
      <c r="AB16" s="2072"/>
    </row>
    <row r="17" spans="2:26" s="284" customFormat="1" ht="32.25" thickBot="1" x14ac:dyDescent="0.3">
      <c r="B17" s="1928" t="s">
        <v>599</v>
      </c>
      <c r="C17" s="343">
        <v>2991523.378734814</v>
      </c>
      <c r="D17" s="343">
        <v>3430534.8016044456</v>
      </c>
      <c r="E17" s="343">
        <v>6422058.18033926</v>
      </c>
      <c r="F17" s="343">
        <v>5192216.4223737279</v>
      </c>
      <c r="G17" s="343">
        <v>5192216.422373727</v>
      </c>
      <c r="H17" s="344">
        <v>0.10952103842883137</v>
      </c>
      <c r="I17" s="345">
        <v>1.7356429367333372</v>
      </c>
      <c r="J17" s="345">
        <v>0.8084972568871116</v>
      </c>
      <c r="K17" s="346">
        <v>4693.4468572049082</v>
      </c>
      <c r="L17" s="347" t="s">
        <v>572</v>
      </c>
      <c r="M17" s="348">
        <v>394681.3565588916</v>
      </c>
      <c r="N17" s="348">
        <v>7813429.8379404824</v>
      </c>
      <c r="O17" s="348">
        <v>4034.9174348685633</v>
      </c>
      <c r="P17" s="349">
        <v>7.5795913057992133</v>
      </c>
      <c r="Q17" s="363">
        <v>0.38286942364396276</v>
      </c>
      <c r="R17" s="348">
        <v>0</v>
      </c>
      <c r="S17" s="348">
        <v>0</v>
      </c>
      <c r="T17" s="348">
        <v>0</v>
      </c>
      <c r="U17" s="348">
        <v>0</v>
      </c>
      <c r="V17" s="346">
        <v>40612.711589909944</v>
      </c>
      <c r="W17" s="346">
        <v>804001.93032407563</v>
      </c>
      <c r="X17" s="349">
        <v>73.659779453831035</v>
      </c>
      <c r="Y17" s="363">
        <v>3.7207912890569754</v>
      </c>
    </row>
    <row r="18" spans="2:26" s="284" customFormat="1" ht="15.75" thickBot="1" x14ac:dyDescent="0.25">
      <c r="B18" s="2290" t="s">
        <v>609</v>
      </c>
      <c r="C18" s="2291">
        <v>106598</v>
      </c>
      <c r="D18" s="2281"/>
      <c r="E18" s="2281">
        <v>0</v>
      </c>
      <c r="F18" s="2281">
        <v>101239.28383890328</v>
      </c>
      <c r="G18" s="2281">
        <v>177488.27879221336</v>
      </c>
      <c r="H18" s="2282">
        <v>6.6997885413161437E-3</v>
      </c>
      <c r="I18" s="2283">
        <v>0.94972967446765688</v>
      </c>
      <c r="J18" s="2283"/>
      <c r="K18" s="2284">
        <v>12500</v>
      </c>
      <c r="L18" s="2284" t="s">
        <v>242</v>
      </c>
      <c r="M18" s="2284">
        <v>42500</v>
      </c>
      <c r="N18" s="2284">
        <v>157250</v>
      </c>
      <c r="O18" s="2284">
        <v>0</v>
      </c>
      <c r="P18" s="2286">
        <v>2.5081882352941176</v>
      </c>
      <c r="Q18" s="2286">
        <v>0.67788871224165337</v>
      </c>
      <c r="R18" s="2285">
        <v>0</v>
      </c>
      <c r="S18" s="2285">
        <v>0</v>
      </c>
      <c r="T18" s="2285">
        <v>0</v>
      </c>
      <c r="U18" s="2285">
        <v>0</v>
      </c>
      <c r="V18" s="2284">
        <v>4373.25</v>
      </c>
      <c r="W18" s="2284">
        <v>16181.025</v>
      </c>
      <c r="X18" s="2288">
        <v>24.375007145715429</v>
      </c>
      <c r="Y18" s="2289">
        <v>0</v>
      </c>
    </row>
    <row r="19" spans="2:26" s="2060" customFormat="1" ht="15.75" thickBot="1" x14ac:dyDescent="0.25">
      <c r="B19" s="2265" t="s">
        <v>530</v>
      </c>
      <c r="C19" s="2280">
        <v>106598</v>
      </c>
      <c r="D19" s="2281"/>
      <c r="E19" s="2281">
        <v>0</v>
      </c>
      <c r="F19" s="2281">
        <v>101239.28383890328</v>
      </c>
      <c r="G19" s="2281">
        <v>177488.27879221336</v>
      </c>
      <c r="H19" s="2282">
        <v>6.6997885413161437E-3</v>
      </c>
      <c r="I19" s="2283">
        <v>0.94972967446765688</v>
      </c>
      <c r="J19" s="2283"/>
      <c r="K19" s="2284">
        <v>12500</v>
      </c>
      <c r="L19" s="2284" t="s">
        <v>242</v>
      </c>
      <c r="M19" s="2284">
        <v>42500</v>
      </c>
      <c r="N19" s="2284">
        <v>157250</v>
      </c>
      <c r="O19" s="2284">
        <v>0</v>
      </c>
      <c r="P19" s="2286">
        <v>2.5081882352941176</v>
      </c>
      <c r="Q19" s="2286">
        <v>0.67788871224165337</v>
      </c>
      <c r="R19" s="2285">
        <v>0</v>
      </c>
      <c r="S19" s="2285">
        <v>0</v>
      </c>
      <c r="T19" s="2285">
        <v>0</v>
      </c>
      <c r="U19" s="2285">
        <v>0</v>
      </c>
      <c r="V19" s="2284">
        <v>4373.25</v>
      </c>
      <c r="W19" s="2284">
        <v>16181.025</v>
      </c>
      <c r="X19" s="2288">
        <v>24.375007145715429</v>
      </c>
      <c r="Y19" s="2289">
        <v>0</v>
      </c>
    </row>
    <row r="20" spans="2:26" s="284" customFormat="1" ht="16.5" thickBot="1" x14ac:dyDescent="0.3">
      <c r="B20" s="1928" t="s">
        <v>610</v>
      </c>
      <c r="C20" s="343">
        <v>213196</v>
      </c>
      <c r="D20" s="343">
        <v>0</v>
      </c>
      <c r="E20" s="343">
        <v>0</v>
      </c>
      <c r="F20" s="343">
        <v>202478.56767780657</v>
      </c>
      <c r="G20" s="343">
        <v>354976.55758442672</v>
      </c>
      <c r="H20" s="344">
        <v>7.8052030195893598E-3</v>
      </c>
      <c r="I20" s="345"/>
      <c r="J20" s="345"/>
      <c r="K20" s="346">
        <v>25000</v>
      </c>
      <c r="L20" s="347"/>
      <c r="M20" s="348">
        <v>85000</v>
      </c>
      <c r="N20" s="348">
        <v>314500</v>
      </c>
      <c r="O20" s="348">
        <v>0</v>
      </c>
      <c r="P20" s="349"/>
      <c r="Q20" s="363"/>
      <c r="R20" s="348">
        <v>0</v>
      </c>
      <c r="S20" s="348">
        <v>0</v>
      </c>
      <c r="T20" s="348">
        <v>0</v>
      </c>
      <c r="U20" s="348">
        <v>0</v>
      </c>
      <c r="V20" s="346">
        <v>8746.5</v>
      </c>
      <c r="W20" s="346">
        <v>32362.05</v>
      </c>
      <c r="X20" s="349">
        <v>24.375007145715429</v>
      </c>
      <c r="Y20" s="363">
        <v>6.5878397691122785</v>
      </c>
    </row>
    <row r="21" spans="2:26" s="2060" customFormat="1" ht="15.75" customHeight="1" x14ac:dyDescent="0.2">
      <c r="B21" s="2071" t="s">
        <v>170</v>
      </c>
      <c r="C21" s="2051">
        <v>598442.975650387</v>
      </c>
      <c r="D21" s="2051">
        <v>547968.024349613</v>
      </c>
      <c r="E21" s="323">
        <v>1146411</v>
      </c>
      <c r="F21" s="323">
        <v>1805368.1070852689</v>
      </c>
      <c r="G21" s="323">
        <v>1805368.1070852689</v>
      </c>
      <c r="H21" s="324">
        <v>3.7612726232139432E-2</v>
      </c>
      <c r="I21" s="325">
        <v>3.0167754999934577</v>
      </c>
      <c r="J21" s="325">
        <v>1.5748000560752373</v>
      </c>
      <c r="K21" s="2175">
        <v>443</v>
      </c>
      <c r="L21" s="326" t="s">
        <v>241</v>
      </c>
      <c r="M21" s="2175">
        <v>124267.77226036256</v>
      </c>
      <c r="N21" s="2175">
        <v>2876577.8925753296</v>
      </c>
      <c r="O21" s="2175">
        <v>1124.7476067285415</v>
      </c>
      <c r="P21" s="328">
        <v>4.8157536323781924</v>
      </c>
      <c r="Q21" s="2189">
        <v>0.20803989949134166</v>
      </c>
      <c r="R21" s="2187"/>
      <c r="S21" s="2187"/>
      <c r="T21" s="2187"/>
      <c r="U21" s="2187"/>
      <c r="V21" s="2187">
        <v>12787.153765591307</v>
      </c>
      <c r="W21" s="2187">
        <v>295999.86514600139</v>
      </c>
      <c r="X21" s="2188">
        <v>46.800326845269126</v>
      </c>
      <c r="Y21" s="2189">
        <v>2.0217677307224653</v>
      </c>
    </row>
    <row r="22" spans="2:26" s="2060" customFormat="1" ht="15.75" customHeight="1" thickBot="1" x14ac:dyDescent="0.25">
      <c r="B22" s="2061" t="s">
        <v>171</v>
      </c>
      <c r="C22" s="2051">
        <v>750790</v>
      </c>
      <c r="D22" s="2052">
        <v>708800</v>
      </c>
      <c r="E22" s="323">
        <v>1459590</v>
      </c>
      <c r="F22" s="323">
        <v>1118509.5433908661</v>
      </c>
      <c r="G22" s="323">
        <v>1118509.5433908661</v>
      </c>
      <c r="H22" s="332">
        <v>6.5835967301484027E-2</v>
      </c>
      <c r="I22" s="333">
        <v>1.4897768262641566</v>
      </c>
      <c r="J22" s="333">
        <v>0.766317625765363</v>
      </c>
      <c r="K22" s="2175">
        <v>353.10839116131007</v>
      </c>
      <c r="L22" s="326" t="s">
        <v>241</v>
      </c>
      <c r="M22" s="2175">
        <v>76888.887334292245</v>
      </c>
      <c r="N22" s="2175">
        <v>1823190.5705633524</v>
      </c>
      <c r="O22" s="2175">
        <v>739.73673301093288</v>
      </c>
      <c r="P22" s="335">
        <v>9.7646100240177311</v>
      </c>
      <c r="Q22" s="2058">
        <v>0.41180006748719167</v>
      </c>
      <c r="R22" s="2055"/>
      <c r="S22" s="2055"/>
      <c r="T22" s="2055"/>
      <c r="U22" s="2055"/>
      <c r="V22" s="2055">
        <v>7911.8665066986723</v>
      </c>
      <c r="W22" s="2055">
        <v>187606.30971096896</v>
      </c>
      <c r="X22" s="2057">
        <v>94.894169329618379</v>
      </c>
      <c r="Y22" s="2058">
        <v>4.0019442904488987</v>
      </c>
    </row>
    <row r="23" spans="2:26" ht="17.25" customHeight="1" thickBot="1" x14ac:dyDescent="0.3">
      <c r="B23" s="342" t="s">
        <v>204</v>
      </c>
      <c r="C23" s="343">
        <v>1349232.9756503869</v>
      </c>
      <c r="D23" s="343">
        <v>1256768.0243496131</v>
      </c>
      <c r="E23" s="343">
        <v>2606001</v>
      </c>
      <c r="F23" s="343">
        <v>2923877.6504761353</v>
      </c>
      <c r="G23" s="343">
        <v>2923877.6504761353</v>
      </c>
      <c r="H23" s="344">
        <v>4.9396036021669906E-2</v>
      </c>
      <c r="I23" s="345">
        <v>2.1670665505834554</v>
      </c>
      <c r="J23" s="345">
        <v>1.1219787139284043</v>
      </c>
      <c r="K23" s="346">
        <v>796.10839116131001</v>
      </c>
      <c r="L23" s="347" t="s">
        <v>241</v>
      </c>
      <c r="M23" s="348">
        <v>201156.6595946548</v>
      </c>
      <c r="N23" s="348">
        <v>4699768.4631386818</v>
      </c>
      <c r="O23" s="348">
        <v>1864.4843397394743</v>
      </c>
      <c r="P23" s="349">
        <v>6.7073741350109355</v>
      </c>
      <c r="Q23" s="363">
        <v>0.28708498859735709</v>
      </c>
      <c r="R23" s="2067">
        <v>0</v>
      </c>
      <c r="S23" s="2067">
        <v>0</v>
      </c>
      <c r="T23" s="2067">
        <v>0</v>
      </c>
      <c r="U23" s="2067">
        <v>0</v>
      </c>
      <c r="V23" s="346">
        <v>20699.020272289978</v>
      </c>
      <c r="W23" s="346">
        <v>483606.17485697032</v>
      </c>
      <c r="X23" s="2068">
        <v>65.183422108949813</v>
      </c>
      <c r="Y23" s="2069">
        <v>2.7899415801492431</v>
      </c>
    </row>
    <row r="24" spans="2:26" s="284" customFormat="1" ht="15.75" hidden="1" customHeight="1" x14ac:dyDescent="0.2">
      <c r="B24" s="322" t="s">
        <v>142</v>
      </c>
      <c r="C24" s="323"/>
      <c r="D24" s="331"/>
      <c r="E24" s="331"/>
      <c r="F24" s="331"/>
      <c r="G24" s="331"/>
      <c r="H24" s="332"/>
      <c r="I24" s="333"/>
      <c r="J24" s="333"/>
      <c r="K24" s="804"/>
      <c r="L24" s="326"/>
      <c r="M24" s="804"/>
      <c r="N24" s="804"/>
      <c r="O24" s="804"/>
      <c r="P24" s="335"/>
      <c r="Q24" s="336"/>
      <c r="R24" s="2055"/>
      <c r="S24" s="2055"/>
      <c r="T24" s="2055"/>
      <c r="U24" s="2055"/>
      <c r="V24" s="804">
        <v>0</v>
      </c>
      <c r="W24" s="804">
        <v>0</v>
      </c>
      <c r="X24" s="2078" t="s">
        <v>3</v>
      </c>
      <c r="Y24" s="2079" t="s">
        <v>3</v>
      </c>
    </row>
    <row r="25" spans="2:26" s="2060" customFormat="1" ht="15.75" hidden="1" customHeight="1" x14ac:dyDescent="0.2">
      <c r="B25" s="2202" t="s">
        <v>143</v>
      </c>
      <c r="C25" s="2051"/>
      <c r="D25" s="2052"/>
      <c r="E25" s="2052"/>
      <c r="F25" s="2052"/>
      <c r="G25" s="2052"/>
      <c r="H25" s="2053">
        <v>0</v>
      </c>
      <c r="I25" s="2054" t="e">
        <v>#DIV/0!</v>
      </c>
      <c r="J25" s="2054" t="e">
        <v>#DIV/0!</v>
      </c>
      <c r="K25" s="2055"/>
      <c r="L25" s="2056" t="s">
        <v>242</v>
      </c>
      <c r="M25" s="2055"/>
      <c r="N25" s="2055"/>
      <c r="O25" s="2055"/>
      <c r="P25" s="2057" t="e">
        <v>#DIV/0!</v>
      </c>
      <c r="Q25" s="2058" t="e">
        <v>#DIV/0!</v>
      </c>
      <c r="R25" s="2077"/>
      <c r="S25" s="2077"/>
      <c r="T25" s="2077"/>
      <c r="U25" s="2077"/>
      <c r="V25" s="2055">
        <v>0</v>
      </c>
      <c r="W25" s="2055">
        <v>0</v>
      </c>
      <c r="X25" s="2078" t="e">
        <v>#DIV/0!</v>
      </c>
      <c r="Y25" s="2079" t="e">
        <v>#DIV/0!</v>
      </c>
    </row>
    <row r="26" spans="2:26" s="2060" customFormat="1" ht="15.75" hidden="1" customHeight="1" thickBot="1" x14ac:dyDescent="0.25">
      <c r="B26" s="2061" t="s">
        <v>144</v>
      </c>
      <c r="C26" s="2051">
        <v>0</v>
      </c>
      <c r="D26" s="2052">
        <v>0</v>
      </c>
      <c r="E26" s="2052"/>
      <c r="F26" s="2052"/>
      <c r="G26" s="2052"/>
      <c r="H26" s="2053">
        <v>0</v>
      </c>
      <c r="I26" s="2054" t="e">
        <v>#DIV/0!</v>
      </c>
      <c r="J26" s="2054" t="e">
        <v>#DIV/0!</v>
      </c>
      <c r="K26" s="2055"/>
      <c r="L26" s="2056" t="s">
        <v>242</v>
      </c>
      <c r="M26" s="2055"/>
      <c r="N26" s="2055"/>
      <c r="O26" s="2055"/>
      <c r="P26" s="2057" t="e">
        <v>#DIV/0!</v>
      </c>
      <c r="Q26" s="2058" t="e">
        <v>#DIV/0!</v>
      </c>
      <c r="R26" s="2077"/>
      <c r="S26" s="2077"/>
      <c r="T26" s="2077"/>
      <c r="U26" s="2077"/>
      <c r="V26" s="2055">
        <v>0</v>
      </c>
      <c r="W26" s="2055">
        <v>0</v>
      </c>
      <c r="X26" s="2078" t="e">
        <v>#DIV/0!</v>
      </c>
      <c r="Y26" s="2079" t="e">
        <v>#DIV/0!</v>
      </c>
    </row>
    <row r="27" spans="2:26" ht="17.25" hidden="1" customHeight="1" thickBot="1" x14ac:dyDescent="0.3">
      <c r="B27" s="342" t="s">
        <v>145</v>
      </c>
      <c r="C27" s="684">
        <v>0</v>
      </c>
      <c r="D27" s="618">
        <v>0</v>
      </c>
      <c r="E27" s="343">
        <v>0</v>
      </c>
      <c r="F27" s="343">
        <v>0</v>
      </c>
      <c r="G27" s="343">
        <v>0</v>
      </c>
      <c r="H27" s="344">
        <v>0</v>
      </c>
      <c r="I27" s="345" t="e">
        <v>#DIV/0!</v>
      </c>
      <c r="J27" s="345" t="e">
        <v>#DIV/0!</v>
      </c>
      <c r="K27" s="346">
        <v>0</v>
      </c>
      <c r="L27" s="619" t="s">
        <v>242</v>
      </c>
      <c r="M27" s="348">
        <v>0</v>
      </c>
      <c r="N27" s="348">
        <v>0</v>
      </c>
      <c r="O27" s="348">
        <v>0</v>
      </c>
      <c r="P27" s="349" t="e">
        <v>#DIV/0!</v>
      </c>
      <c r="Q27" s="363" t="e">
        <v>#DIV/0!</v>
      </c>
      <c r="R27" s="348">
        <v>0</v>
      </c>
      <c r="S27" s="348">
        <v>0</v>
      </c>
      <c r="T27" s="348">
        <v>0</v>
      </c>
      <c r="U27" s="348">
        <v>0</v>
      </c>
      <c r="V27" s="346">
        <v>0</v>
      </c>
      <c r="W27" s="346">
        <v>0</v>
      </c>
      <c r="X27" s="349" t="e">
        <v>#DIV/0!</v>
      </c>
      <c r="Y27" s="363" t="e">
        <v>#DIV/0!</v>
      </c>
    </row>
    <row r="28" spans="2:26" ht="32.25" thickBot="1" x14ac:dyDescent="0.3">
      <c r="B28" s="364" t="s">
        <v>88</v>
      </c>
      <c r="C28" s="365">
        <v>16030436.205135532</v>
      </c>
      <c r="D28" s="365">
        <v>6999894.0966928825</v>
      </c>
      <c r="E28" s="365">
        <v>22817134.301828414</v>
      </c>
      <c r="F28" s="365">
        <v>23401559.475954689</v>
      </c>
      <c r="G28" s="365">
        <v>24064149.354620855</v>
      </c>
      <c r="H28" s="366">
        <v>0.58688159756120406</v>
      </c>
      <c r="I28" s="317">
        <v>1.4598205049752628</v>
      </c>
      <c r="J28" s="317">
        <v>1.0546525710151302</v>
      </c>
      <c r="K28" s="805">
        <v>44300.315888412748</v>
      </c>
      <c r="L28" s="941" t="s">
        <v>462</v>
      </c>
      <c r="M28" s="348">
        <v>1858065.3559226512</v>
      </c>
      <c r="N28" s="348">
        <v>35565315.57716839</v>
      </c>
      <c r="O28" s="348">
        <v>25276.253755259931</v>
      </c>
      <c r="P28" s="367">
        <v>8.6274878082398612</v>
      </c>
      <c r="Q28" s="367">
        <v>0.45073229198130538</v>
      </c>
      <c r="R28" s="348">
        <v>0</v>
      </c>
      <c r="S28" s="348">
        <v>0</v>
      </c>
      <c r="T28" s="348">
        <v>0</v>
      </c>
      <c r="U28" s="348">
        <v>0</v>
      </c>
      <c r="V28" s="348">
        <v>191194.92512444084</v>
      </c>
      <c r="W28" s="348">
        <v>3659670.9728906266</v>
      </c>
      <c r="X28" s="367">
        <v>83.843418933331975</v>
      </c>
      <c r="Y28" s="367">
        <v>4.3802943827143386</v>
      </c>
    </row>
    <row r="29" spans="2:26" ht="15.75" customHeight="1" x14ac:dyDescent="0.25">
      <c r="B29" s="368"/>
      <c r="C29" s="369"/>
      <c r="D29" s="369"/>
      <c r="E29" s="369"/>
      <c r="F29" s="369"/>
      <c r="G29" s="369"/>
      <c r="H29" s="370"/>
      <c r="I29" s="371"/>
      <c r="J29" s="371"/>
      <c r="K29" s="372"/>
      <c r="L29" s="373"/>
      <c r="M29" s="374"/>
      <c r="N29" s="374"/>
      <c r="O29" s="374"/>
      <c r="P29" s="375"/>
      <c r="Q29" s="376"/>
      <c r="R29" s="373"/>
      <c r="S29" s="373"/>
      <c r="T29" s="373"/>
      <c r="U29" s="373"/>
      <c r="V29" s="373"/>
      <c r="W29" s="373"/>
      <c r="X29" s="375"/>
      <c r="Y29" s="375"/>
      <c r="Z29" s="2131"/>
    </row>
    <row r="30" spans="2:26"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row>
    <row r="31" spans="2:26"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2146" t="s">
        <v>3</v>
      </c>
      <c r="W31" s="2146" t="s">
        <v>3</v>
      </c>
      <c r="X31" s="341" t="s">
        <v>3</v>
      </c>
      <c r="Y31" s="336" t="s">
        <v>3</v>
      </c>
    </row>
    <row r="32" spans="2:26" s="284" customFormat="1" ht="15.75" thickBot="1" x14ac:dyDescent="0.25">
      <c r="B32" s="399" t="s">
        <v>125</v>
      </c>
      <c r="C32" s="351">
        <v>2196830</v>
      </c>
      <c r="D32" s="1108">
        <v>3868556.6666666679</v>
      </c>
      <c r="E32" s="351">
        <v>6065386.6666666679</v>
      </c>
      <c r="F32" s="1108">
        <v>3747979.8243980417</v>
      </c>
      <c r="G32" s="351">
        <v>3747979.8243980417</v>
      </c>
      <c r="H32" s="401">
        <v>0.13807291376216763</v>
      </c>
      <c r="I32" s="2137">
        <v>1.7060855070251415</v>
      </c>
      <c r="J32" s="2137">
        <v>0.61792924843451158</v>
      </c>
      <c r="K32" s="2121">
        <v>192.90260230893415</v>
      </c>
      <c r="L32" s="354" t="s">
        <v>244</v>
      </c>
      <c r="M32" s="2121">
        <v>337063.8399699491</v>
      </c>
      <c r="N32" s="2121">
        <v>5430038.7333188411</v>
      </c>
      <c r="O32" s="2121">
        <v>3304.6796006817385</v>
      </c>
      <c r="P32" s="2120">
        <v>6.5175487236953638</v>
      </c>
      <c r="Q32" s="2138">
        <v>0.40456985813382901</v>
      </c>
      <c r="R32" s="2121"/>
      <c r="S32" s="2121"/>
      <c r="T32" s="2121"/>
      <c r="U32" s="2121"/>
      <c r="V32" s="2121">
        <v>34683.869132907763</v>
      </c>
      <c r="W32" s="2121">
        <v>558750.98565850884</v>
      </c>
      <c r="X32" s="2120">
        <v>63.338665925125007</v>
      </c>
      <c r="Y32" s="2138">
        <v>3.9316798652461507</v>
      </c>
    </row>
    <row r="33" spans="2:29" s="284" customFormat="1" ht="15.75" thickBot="1" x14ac:dyDescent="0.25">
      <c r="B33" s="383" t="s">
        <v>126</v>
      </c>
      <c r="C33" s="384">
        <v>1377048</v>
      </c>
      <c r="D33" s="1270">
        <v>2617841.333333334</v>
      </c>
      <c r="E33" s="384">
        <v>3994889.333333334</v>
      </c>
      <c r="F33" s="1270">
        <v>2308137.0165944281</v>
      </c>
      <c r="G33" s="384">
        <v>2308137.0165944276</v>
      </c>
      <c r="H33" s="385">
        <v>0.12075185751085386</v>
      </c>
      <c r="I33" s="386">
        <v>1.676148555892335</v>
      </c>
      <c r="J33" s="386">
        <v>0.57777245475496541</v>
      </c>
      <c r="K33" s="2121">
        <v>97.253976518900899</v>
      </c>
      <c r="L33" s="2150" t="s">
        <v>244</v>
      </c>
      <c r="M33" s="2121">
        <v>207575.69742656016</v>
      </c>
      <c r="N33" s="2121">
        <v>3344007.7025835351</v>
      </c>
      <c r="O33" s="2121">
        <v>2220.1497160483823</v>
      </c>
      <c r="P33" s="2128">
        <v>6.6339557909335536</v>
      </c>
      <c r="Q33" s="2143">
        <v>0.41179570218576689</v>
      </c>
      <c r="R33" s="2130"/>
      <c r="S33" s="2130"/>
      <c r="T33" s="2130"/>
      <c r="U33" s="2130"/>
      <c r="V33" s="2130">
        <v>21359.539265193038</v>
      </c>
      <c r="W33" s="2130">
        <v>344098.39259584574</v>
      </c>
      <c r="X33" s="2128">
        <v>64.469929941045237</v>
      </c>
      <c r="Y33" s="2143">
        <v>4.0019018676945279</v>
      </c>
    </row>
    <row r="34" spans="2:29" ht="17.25" customHeight="1" thickBot="1" x14ac:dyDescent="0.3">
      <c r="B34" s="388" t="s">
        <v>137</v>
      </c>
      <c r="C34" s="389">
        <v>3573878</v>
      </c>
      <c r="D34" s="389">
        <v>6486398.0000000019</v>
      </c>
      <c r="E34" s="389">
        <v>10060276.000000002</v>
      </c>
      <c r="F34" s="389">
        <v>6056116.8409924693</v>
      </c>
      <c r="G34" s="389">
        <v>6056116.8409924693</v>
      </c>
      <c r="H34" s="390">
        <v>0.13084130732867399</v>
      </c>
      <c r="I34" s="391">
        <v>1.6945505249458626</v>
      </c>
      <c r="J34" s="391">
        <v>0.60198317034169524</v>
      </c>
      <c r="K34" s="392">
        <v>290.15657882783506</v>
      </c>
      <c r="L34" s="389" t="s">
        <v>244</v>
      </c>
      <c r="M34" s="2147">
        <v>544639.5373965092</v>
      </c>
      <c r="N34" s="2147">
        <v>8774046.4359023757</v>
      </c>
      <c r="O34" s="2147">
        <v>5524.8293167301208</v>
      </c>
      <c r="P34" s="2148">
        <v>6.5619143573084751</v>
      </c>
      <c r="Q34" s="2149">
        <v>0.4073238073343341</v>
      </c>
      <c r="R34" s="2147">
        <v>0</v>
      </c>
      <c r="S34" s="2147">
        <v>0</v>
      </c>
      <c r="T34" s="2147">
        <v>0</v>
      </c>
      <c r="U34" s="2147">
        <v>0</v>
      </c>
      <c r="V34" s="392">
        <v>56043.408398100801</v>
      </c>
      <c r="W34" s="392">
        <v>902849.37825435447</v>
      </c>
      <c r="X34" s="2148">
        <v>63.769818827098881</v>
      </c>
      <c r="Y34" s="2149">
        <v>3.9584432199643742</v>
      </c>
    </row>
    <row r="35" spans="2:29" ht="15.75" customHeight="1" thickBot="1" x14ac:dyDescent="0.3">
      <c r="B35" s="2160" t="s">
        <v>132</v>
      </c>
      <c r="C35" s="2161"/>
      <c r="D35" s="2161"/>
      <c r="E35" s="2161"/>
      <c r="F35" s="2161"/>
      <c r="G35" s="2161"/>
      <c r="H35" s="2161"/>
      <c r="I35" s="2161"/>
      <c r="J35" s="2161"/>
      <c r="K35" s="2161"/>
      <c r="L35" s="2161"/>
      <c r="M35" s="2161"/>
      <c r="N35" s="2161"/>
      <c r="O35" s="2161"/>
      <c r="P35" s="2161"/>
      <c r="Q35" s="2161"/>
      <c r="R35" s="2161"/>
      <c r="S35" s="2161"/>
      <c r="T35" s="2161"/>
      <c r="U35" s="2161"/>
      <c r="V35" s="2161"/>
      <c r="W35" s="2161"/>
      <c r="X35" s="2161"/>
      <c r="Y35" s="2161"/>
    </row>
    <row r="36" spans="2:29"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2134"/>
      <c r="S36" s="2134"/>
      <c r="T36" s="2134"/>
      <c r="U36" s="2134"/>
      <c r="V36" s="2146" t="s">
        <v>3</v>
      </c>
      <c r="W36" s="2146" t="s">
        <v>3</v>
      </c>
      <c r="X36" s="341" t="s">
        <v>3</v>
      </c>
      <c r="Y36" s="336" t="s">
        <v>3</v>
      </c>
      <c r="AB36" s="306"/>
      <c r="AC36" s="393"/>
    </row>
    <row r="37" spans="2:29" s="284" customFormat="1" ht="15.75" customHeight="1" thickBot="1" x14ac:dyDescent="0.25">
      <c r="B37" s="2135" t="s">
        <v>129</v>
      </c>
      <c r="C37" s="351">
        <v>1249481</v>
      </c>
      <c r="D37" s="1108">
        <v>1889182.32161956</v>
      </c>
      <c r="E37" s="351">
        <v>3138663.32161956</v>
      </c>
      <c r="F37" s="351">
        <v>3183593.220195123</v>
      </c>
      <c r="G37" s="351">
        <v>3183593.220195123</v>
      </c>
      <c r="H37" s="401">
        <v>7.8531102707295034E-2</v>
      </c>
      <c r="I37" s="2137">
        <v>2.5479324777208481</v>
      </c>
      <c r="J37" s="2137">
        <v>1.0143149786936623</v>
      </c>
      <c r="K37" s="2121">
        <v>40.343456275498752</v>
      </c>
      <c r="L37" s="354" t="s">
        <v>244</v>
      </c>
      <c r="M37" s="2121">
        <v>389524.93824364804</v>
      </c>
      <c r="N37" s="2121">
        <v>4270159.8226728337</v>
      </c>
      <c r="O37" s="2121">
        <v>2371.6814507918011</v>
      </c>
      <c r="P37" s="2120">
        <v>3.2077047637408236</v>
      </c>
      <c r="Q37" s="2138">
        <v>0.29260754910524839</v>
      </c>
      <c r="R37" s="2121"/>
      <c r="S37" s="2121"/>
      <c r="T37" s="2121"/>
      <c r="U37" s="2121"/>
      <c r="V37" s="2121">
        <v>40082.116145271386</v>
      </c>
      <c r="W37" s="2121">
        <v>439399.44575303461</v>
      </c>
      <c r="X37" s="2120">
        <v>31.1730297739633</v>
      </c>
      <c r="Y37" s="2138">
        <v>2.8436107784766609</v>
      </c>
      <c r="Z37" s="295"/>
    </row>
    <row r="38" spans="2:29" s="284" customFormat="1" ht="15.75" customHeight="1" thickBot="1" x14ac:dyDescent="0.25">
      <c r="B38" s="2151" t="s">
        <v>130</v>
      </c>
      <c r="C38" s="2152">
        <v>850681</v>
      </c>
      <c r="D38" s="1270">
        <v>1317342.2877569972</v>
      </c>
      <c r="E38" s="351">
        <v>2168023.2877569972</v>
      </c>
      <c r="F38" s="351">
        <v>2215263.2241464145</v>
      </c>
      <c r="G38" s="351">
        <v>2215263.2241464145</v>
      </c>
      <c r="H38" s="385">
        <v>7.459530161562318E-2</v>
      </c>
      <c r="I38" s="386">
        <v>2.6041056802096372</v>
      </c>
      <c r="J38" s="386">
        <v>1.0217894045032565</v>
      </c>
      <c r="K38" s="2121">
        <v>28.072485660273422</v>
      </c>
      <c r="L38" s="2150" t="s">
        <v>244</v>
      </c>
      <c r="M38" s="2121">
        <v>271046.01966898574</v>
      </c>
      <c r="N38" s="2121">
        <v>2971336.9020854142</v>
      </c>
      <c r="O38" s="2121">
        <v>1650.305660732759</v>
      </c>
      <c r="P38" s="2128">
        <v>3.1385113164136924</v>
      </c>
      <c r="Q38" s="2143">
        <v>0.28629570729692577</v>
      </c>
      <c r="R38" s="2130"/>
      <c r="S38" s="2130"/>
      <c r="T38" s="2130"/>
      <c r="U38" s="2130"/>
      <c r="V38" s="2130">
        <v>27890.635423938635</v>
      </c>
      <c r="W38" s="2130">
        <v>305750.56722458912</v>
      </c>
      <c r="X38" s="2128">
        <v>30.500595883514986</v>
      </c>
      <c r="Y38" s="2143">
        <v>2.7822712079390262</v>
      </c>
      <c r="Z38" s="295"/>
    </row>
    <row r="39" spans="2:29" ht="18" customHeight="1" thickBot="1" x14ac:dyDescent="0.3">
      <c r="B39" s="1928" t="s">
        <v>617</v>
      </c>
      <c r="C39" s="343">
        <v>2100162</v>
      </c>
      <c r="D39" s="343">
        <v>3206524.6093765572</v>
      </c>
      <c r="E39" s="343">
        <v>5306686.6093765572</v>
      </c>
      <c r="F39" s="343">
        <v>5398856.4443415375</v>
      </c>
      <c r="G39" s="343">
        <v>5398856.4443415375</v>
      </c>
      <c r="H39" s="344">
        <v>7.6887890879879683E-2</v>
      </c>
      <c r="I39" s="345">
        <v>2.5706857110744492</v>
      </c>
      <c r="J39" s="345">
        <v>1.0173686222212788</v>
      </c>
      <c r="K39" s="346">
        <v>68.415941935772167</v>
      </c>
      <c r="L39" s="343" t="s">
        <v>244</v>
      </c>
      <c r="M39" s="348">
        <v>660570.95791263378</v>
      </c>
      <c r="N39" s="348">
        <v>7241496.7247582478</v>
      </c>
      <c r="O39" s="348">
        <v>4021.9871115245601</v>
      </c>
      <c r="P39" s="349">
        <v>3.179313251427812</v>
      </c>
      <c r="Q39" s="363">
        <v>0.29001766897438075</v>
      </c>
      <c r="R39" s="348">
        <v>0</v>
      </c>
      <c r="S39" s="348">
        <v>0</v>
      </c>
      <c r="T39" s="348">
        <v>0</v>
      </c>
      <c r="U39" s="348">
        <v>0</v>
      </c>
      <c r="V39" s="346">
        <v>67972.751569210013</v>
      </c>
      <c r="W39" s="346">
        <v>745150.01297762361</v>
      </c>
      <c r="X39" s="349">
        <v>30.897116146042876</v>
      </c>
      <c r="Y39" s="363">
        <v>2.8184418753584142</v>
      </c>
    </row>
    <row r="40" spans="2:29" s="284" customFormat="1" ht="15.75" hidden="1" customHeight="1" x14ac:dyDescent="0.2">
      <c r="B40" s="322" t="s">
        <v>133</v>
      </c>
      <c r="C40" s="323"/>
      <c r="D40" s="331"/>
      <c r="E40" s="331"/>
      <c r="F40" s="331"/>
      <c r="G40" s="331"/>
      <c r="H40" s="332"/>
      <c r="I40" s="333"/>
      <c r="J40" s="333"/>
      <c r="K40" s="804"/>
      <c r="L40" s="326"/>
      <c r="M40" s="804"/>
      <c r="N40" s="804"/>
      <c r="O40" s="804"/>
      <c r="P40" s="335"/>
      <c r="Q40" s="336"/>
      <c r="R40" s="326"/>
      <c r="S40" s="326"/>
      <c r="T40" s="326"/>
      <c r="U40" s="326"/>
      <c r="V40" s="804">
        <v>0</v>
      </c>
      <c r="W40" s="804">
        <v>0</v>
      </c>
      <c r="X40" s="335" t="s">
        <v>3</v>
      </c>
      <c r="Y40" s="336" t="s">
        <v>3</v>
      </c>
    </row>
    <row r="41" spans="2:29" s="284" customFormat="1" ht="15.75" customHeight="1" x14ac:dyDescent="0.2">
      <c r="B41" s="615" t="s">
        <v>582</v>
      </c>
      <c r="C41" s="323">
        <v>683000</v>
      </c>
      <c r="D41" s="874">
        <v>874532.00555303972</v>
      </c>
      <c r="E41" s="331">
        <v>1557532.0055530397</v>
      </c>
      <c r="F41" s="331">
        <v>2181641.482850112</v>
      </c>
      <c r="G41" s="331">
        <v>2181641.482850112</v>
      </c>
      <c r="H41" s="332">
        <v>4.2927217900138148E-2</v>
      </c>
      <c r="I41" s="333">
        <v>3.194204220864</v>
      </c>
      <c r="J41" s="333">
        <v>1.4007041107803542</v>
      </c>
      <c r="K41" s="804">
        <v>86.073598571795472</v>
      </c>
      <c r="L41" s="804" t="s">
        <v>244</v>
      </c>
      <c r="M41" s="804">
        <v>433842.37948740745</v>
      </c>
      <c r="N41" s="804">
        <v>2220021.9603731548</v>
      </c>
      <c r="O41" s="804">
        <v>3097.0141502117731</v>
      </c>
      <c r="P41" s="335">
        <v>1.5743044762177838</v>
      </c>
      <c r="Q41" s="336">
        <v>0.30765461431975977</v>
      </c>
      <c r="R41" s="804"/>
      <c r="S41" s="804"/>
      <c r="T41" s="804"/>
      <c r="U41" s="804"/>
      <c r="V41" s="804">
        <v>44642.38084925423</v>
      </c>
      <c r="W41" s="804">
        <v>228440.25972239763</v>
      </c>
      <c r="X41" s="335">
        <v>15.29936322854989</v>
      </c>
      <c r="Y41" s="336">
        <v>2.9898407611249738</v>
      </c>
    </row>
    <row r="42" spans="2:29" s="284" customFormat="1" ht="16.5" customHeight="1" thickBot="1" x14ac:dyDescent="0.25">
      <c r="B42" s="1937" t="s">
        <v>583</v>
      </c>
      <c r="C42" s="323">
        <v>251000</v>
      </c>
      <c r="D42" s="874">
        <v>314363.28615708137</v>
      </c>
      <c r="E42" s="331">
        <v>565363.28615708137</v>
      </c>
      <c r="F42" s="331">
        <v>784222.85452167387</v>
      </c>
      <c r="G42" s="331">
        <v>784222.85452167387</v>
      </c>
      <c r="H42" s="332">
        <v>2.2009919941225229E-2</v>
      </c>
      <c r="I42" s="333">
        <v>3.1243938427158322</v>
      </c>
      <c r="J42" s="333">
        <v>1.387113160198705</v>
      </c>
      <c r="K42" s="804">
        <v>30.940410558540755</v>
      </c>
      <c r="L42" s="804" t="s">
        <v>244</v>
      </c>
      <c r="M42" s="804">
        <v>155950.97174702244</v>
      </c>
      <c r="N42" s="804">
        <v>798019.27702171914</v>
      </c>
      <c r="O42" s="804">
        <v>1113.2669123068551</v>
      </c>
      <c r="P42" s="335">
        <v>1.6094801923207145</v>
      </c>
      <c r="Q42" s="336">
        <v>0.31452874288545374</v>
      </c>
      <c r="R42" s="804"/>
      <c r="S42" s="804"/>
      <c r="T42" s="804"/>
      <c r="U42" s="804"/>
      <c r="V42" s="804">
        <v>16047.354992768611</v>
      </c>
      <c r="W42" s="804">
        <v>82116.183605534898</v>
      </c>
      <c r="X42" s="335">
        <v>15.641206922455922</v>
      </c>
      <c r="Y42" s="336">
        <v>3.0566447316370629</v>
      </c>
    </row>
    <row r="43" spans="2:29" ht="19.5" customHeight="1" thickBot="1" x14ac:dyDescent="0.3">
      <c r="B43" s="342" t="s">
        <v>136</v>
      </c>
      <c r="C43" s="343">
        <v>934000</v>
      </c>
      <c r="D43" s="343">
        <v>1188895.2917101211</v>
      </c>
      <c r="E43" s="343">
        <v>2122895.2917101211</v>
      </c>
      <c r="F43" s="343">
        <v>2965864.3373717861</v>
      </c>
      <c r="G43" s="343">
        <v>2965864.3373717861</v>
      </c>
      <c r="H43" s="344">
        <v>3.4194166965123465E-2</v>
      </c>
      <c r="I43" s="345">
        <v>3.1754436160297494</v>
      </c>
      <c r="J43" s="345">
        <v>1.3970846084370945</v>
      </c>
      <c r="K43" s="346">
        <v>117.01400913033623</v>
      </c>
      <c r="L43" s="343" t="s">
        <v>244</v>
      </c>
      <c r="M43" s="348">
        <v>589793.35123442987</v>
      </c>
      <c r="N43" s="348">
        <v>3018041.237394874</v>
      </c>
      <c r="O43" s="348">
        <v>4210.2810625186285</v>
      </c>
      <c r="P43" s="349">
        <v>1.5836055086839316</v>
      </c>
      <c r="Q43" s="363">
        <v>0.30947224591477557</v>
      </c>
      <c r="R43" s="348">
        <v>0</v>
      </c>
      <c r="S43" s="348">
        <v>0</v>
      </c>
      <c r="T43" s="348"/>
      <c r="U43" s="348"/>
      <c r="V43" s="346">
        <v>60689.735842022834</v>
      </c>
      <c r="W43" s="346">
        <v>310556.44332793256</v>
      </c>
      <c r="X43" s="349">
        <v>15.389752270980869</v>
      </c>
      <c r="Y43" s="363">
        <v>3.007504819385574</v>
      </c>
    </row>
    <row r="44" spans="2:29" ht="15.75" hidden="1" customHeight="1" x14ac:dyDescent="0.2">
      <c r="B44" s="322" t="s">
        <v>251</v>
      </c>
      <c r="C44" s="323"/>
      <c r="D44" s="331"/>
      <c r="E44" s="331"/>
      <c r="F44" s="331"/>
      <c r="G44" s="331"/>
      <c r="H44" s="332"/>
      <c r="I44" s="333"/>
      <c r="J44" s="333"/>
      <c r="K44" s="804"/>
      <c r="L44" s="326"/>
      <c r="M44" s="804"/>
      <c r="N44" s="804"/>
      <c r="O44" s="804"/>
      <c r="P44" s="335"/>
      <c r="Q44" s="336"/>
      <c r="R44" s="326"/>
      <c r="S44" s="326"/>
      <c r="T44" s="326"/>
      <c r="U44" s="326"/>
      <c r="V44" s="804">
        <v>0</v>
      </c>
      <c r="W44" s="804">
        <v>0</v>
      </c>
      <c r="X44" s="335" t="s">
        <v>3</v>
      </c>
      <c r="Y44" s="336" t="s">
        <v>3</v>
      </c>
    </row>
    <row r="45" spans="2:29" ht="15.75" customHeight="1" x14ac:dyDescent="0.2">
      <c r="B45" s="330" t="s">
        <v>252</v>
      </c>
      <c r="C45" s="323">
        <v>254500</v>
      </c>
      <c r="D45" s="874">
        <v>858292.73970646621</v>
      </c>
      <c r="E45" s="331">
        <v>1112792.7397064662</v>
      </c>
      <c r="F45" s="331">
        <v>649193.13349480811</v>
      </c>
      <c r="G45" s="331">
        <v>649193.13349480811</v>
      </c>
      <c r="H45" s="332">
        <v>1.5995573873477539E-2</v>
      </c>
      <c r="I45" s="333">
        <v>2.550857106069973</v>
      </c>
      <c r="J45" s="333">
        <v>0.58339087804082279</v>
      </c>
      <c r="K45" s="804">
        <v>65.740349640338096</v>
      </c>
      <c r="L45" s="804" t="s">
        <v>244</v>
      </c>
      <c r="M45" s="804">
        <v>57456.795886546759</v>
      </c>
      <c r="N45" s="804">
        <v>859932.15944450011</v>
      </c>
      <c r="O45" s="804">
        <v>554.67250704131118</v>
      </c>
      <c r="P45" s="335">
        <v>4.4294151122267849</v>
      </c>
      <c r="Q45" s="336">
        <v>0.29595357866881289</v>
      </c>
      <c r="R45" s="804"/>
      <c r="S45" s="804"/>
      <c r="T45" s="804"/>
      <c r="U45" s="804"/>
      <c r="V45" s="804">
        <v>5912.3042967256615</v>
      </c>
      <c r="W45" s="804">
        <v>88487.019206839061</v>
      </c>
      <c r="X45" s="335">
        <v>43.045822276256416</v>
      </c>
      <c r="Y45" s="336">
        <v>2.8761280725832155</v>
      </c>
    </row>
    <row r="46" spans="2:29" ht="15.75" customHeight="1" thickBot="1" x14ac:dyDescent="0.25">
      <c r="B46" s="359" t="s">
        <v>253</v>
      </c>
      <c r="C46" s="323">
        <v>246510</v>
      </c>
      <c r="D46" s="874">
        <v>805144.59800226986</v>
      </c>
      <c r="E46" s="331">
        <v>1051654.5980022699</v>
      </c>
      <c r="F46" s="331">
        <v>607955.54672029824</v>
      </c>
      <c r="G46" s="331">
        <v>607955.54672029824</v>
      </c>
      <c r="H46" s="332">
        <v>2.1616196672157098E-2</v>
      </c>
      <c r="I46" s="333">
        <v>2.4662510515609841</v>
      </c>
      <c r="J46" s="333">
        <v>0.5780943171600017</v>
      </c>
      <c r="K46" s="804">
        <v>62.578556233846037</v>
      </c>
      <c r="L46" s="804" t="s">
        <v>244</v>
      </c>
      <c r="M46" s="804">
        <v>57133.539187114569</v>
      </c>
      <c r="N46" s="804">
        <v>806758.52543161903</v>
      </c>
      <c r="O46" s="804">
        <v>486.58810729802389</v>
      </c>
      <c r="P46" s="335">
        <v>4.3146285615646907</v>
      </c>
      <c r="Q46" s="336">
        <v>0.30555611404058752</v>
      </c>
      <c r="R46" s="804"/>
      <c r="S46" s="804"/>
      <c r="T46" s="804"/>
      <c r="U46" s="804"/>
      <c r="V46" s="804">
        <v>5879.041182354089</v>
      </c>
      <c r="W46" s="804">
        <v>83015.452266913606</v>
      </c>
      <c r="X46" s="335">
        <v>41.930306720745293</v>
      </c>
      <c r="Y46" s="336">
        <v>2.969447172406098</v>
      </c>
    </row>
    <row r="47" spans="2:29" ht="19.5" customHeight="1" thickBot="1" x14ac:dyDescent="0.3">
      <c r="B47" s="342" t="s">
        <v>302</v>
      </c>
      <c r="C47" s="343">
        <v>501010</v>
      </c>
      <c r="D47" s="343">
        <v>1663437.3377087361</v>
      </c>
      <c r="E47" s="343">
        <v>2164447.3377087358</v>
      </c>
      <c r="F47" s="343">
        <v>1257148.6802151063</v>
      </c>
      <c r="G47" s="343">
        <v>1257148.6802151063</v>
      </c>
      <c r="H47" s="344">
        <v>1.8342205129760713E-2</v>
      </c>
      <c r="I47" s="345">
        <v>2.5092287184190063</v>
      </c>
      <c r="J47" s="345">
        <v>0.58081740235173029</v>
      </c>
      <c r="K47" s="346">
        <v>128.31890587418414</v>
      </c>
      <c r="L47" s="343" t="s">
        <v>244</v>
      </c>
      <c r="M47" s="348">
        <v>114590.33507366132</v>
      </c>
      <c r="N47" s="348">
        <v>1666690.6848761193</v>
      </c>
      <c r="O47" s="348">
        <v>1041.260614339335</v>
      </c>
      <c r="P47" s="349">
        <v>4.3721837420052845</v>
      </c>
      <c r="Q47" s="363">
        <v>0.30060166805170496</v>
      </c>
      <c r="R47" s="348">
        <v>0</v>
      </c>
      <c r="S47" s="348">
        <v>0</v>
      </c>
      <c r="T47" s="348">
        <v>0</v>
      </c>
      <c r="U47" s="348">
        <v>0</v>
      </c>
      <c r="V47" s="346">
        <v>11791.34547907975</v>
      </c>
      <c r="W47" s="346">
        <v>171502.4714737527</v>
      </c>
      <c r="X47" s="349">
        <v>42.489637920362341</v>
      </c>
      <c r="Y47" s="363">
        <v>2.9212990092488331</v>
      </c>
    </row>
    <row r="48" spans="2:29" ht="15.75" customHeight="1" thickBot="1" x14ac:dyDescent="0.3">
      <c r="B48" s="364" t="s">
        <v>127</v>
      </c>
      <c r="C48" s="365">
        <v>7109050</v>
      </c>
      <c r="D48" s="365">
        <v>12545255.238795416</v>
      </c>
      <c r="E48" s="365">
        <v>19654305.238795415</v>
      </c>
      <c r="F48" s="365">
        <v>15677986.3029209</v>
      </c>
      <c r="G48" s="365">
        <v>15677986.3029209</v>
      </c>
      <c r="H48" s="366">
        <v>0.26026557030343789</v>
      </c>
      <c r="I48" s="317">
        <v>2.2053560325107995</v>
      </c>
      <c r="J48" s="317">
        <v>0.79768712821119203</v>
      </c>
      <c r="K48" s="346">
        <v>603.90543576812752</v>
      </c>
      <c r="L48" s="612" t="s">
        <v>244</v>
      </c>
      <c r="M48" s="394">
        <v>1909594.1816172341</v>
      </c>
      <c r="N48" s="395">
        <v>20700275.082931615</v>
      </c>
      <c r="O48" s="395">
        <v>14798.358105112646</v>
      </c>
      <c r="P48" s="367">
        <v>3.722806692875106</v>
      </c>
      <c r="Q48" s="367">
        <v>0.34342780332720108</v>
      </c>
      <c r="R48" s="394">
        <v>0</v>
      </c>
      <c r="S48" s="395">
        <v>0</v>
      </c>
      <c r="T48" s="394"/>
      <c r="U48" s="395"/>
      <c r="V48" s="394"/>
      <c r="W48" s="395"/>
      <c r="X48" s="367"/>
      <c r="Y48" s="367"/>
    </row>
    <row r="49" spans="2:26" s="284" customFormat="1" ht="15" x14ac:dyDescent="0.2">
      <c r="B49" s="396"/>
      <c r="C49" s="397"/>
      <c r="D49" s="397"/>
      <c r="E49" s="397"/>
      <c r="F49" s="397"/>
      <c r="G49" s="397"/>
      <c r="H49" s="397"/>
      <c r="I49" s="397"/>
      <c r="J49" s="397"/>
      <c r="K49" s="806"/>
      <c r="L49" s="397"/>
      <c r="M49" s="397"/>
      <c r="N49" s="397"/>
      <c r="O49" s="397"/>
      <c r="P49" s="397"/>
      <c r="Q49" s="398"/>
      <c r="R49" s="397"/>
      <c r="S49" s="397"/>
      <c r="T49" s="397"/>
      <c r="U49" s="397"/>
      <c r="V49" s="397"/>
      <c r="W49" s="397"/>
      <c r="X49" s="397"/>
      <c r="Y49" s="397"/>
      <c r="Z49" s="285"/>
    </row>
    <row r="50" spans="2:26"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row>
    <row r="51" spans="2:26" s="704" customFormat="1" ht="15.75" hidden="1" customHeight="1" thickBot="1" x14ac:dyDescent="0.25">
      <c r="B51" s="1107" t="s">
        <v>172</v>
      </c>
      <c r="C51" s="1108"/>
      <c r="D51" s="1109"/>
      <c r="E51" s="1108"/>
      <c r="F51" s="1109"/>
      <c r="G51" s="1109"/>
      <c r="H51" s="1110"/>
      <c r="I51" s="1111"/>
      <c r="J51" s="1111"/>
      <c r="K51" s="1112"/>
      <c r="L51" s="1111"/>
      <c r="M51" s="1111"/>
      <c r="N51" s="1111"/>
      <c r="O51" s="1111"/>
      <c r="P51" s="1111"/>
      <c r="Q51" s="1113"/>
      <c r="R51" s="1111"/>
      <c r="S51" s="1111"/>
      <c r="T51" s="1111"/>
      <c r="U51" s="1111"/>
      <c r="V51" s="1111"/>
      <c r="W51" s="1111"/>
      <c r="X51" s="1111"/>
      <c r="Y51" s="1113"/>
    </row>
    <row r="52" spans="2:26" s="704" customFormat="1" ht="15.75" customHeight="1" thickBot="1" x14ac:dyDescent="0.25">
      <c r="B52" s="979" t="s">
        <v>556</v>
      </c>
      <c r="C52" s="874">
        <v>311292</v>
      </c>
      <c r="D52" s="1114"/>
      <c r="E52" s="874"/>
      <c r="F52" s="1114"/>
      <c r="G52" s="1114"/>
      <c r="H52" s="1115"/>
      <c r="I52" s="1268"/>
      <c r="J52" s="1268"/>
      <c r="K52" s="900"/>
      <c r="L52" s="1268"/>
      <c r="M52" s="1268"/>
      <c r="N52" s="1268"/>
      <c r="O52" s="1268"/>
      <c r="P52" s="1268"/>
      <c r="Q52" s="1269"/>
      <c r="R52" s="1111"/>
      <c r="S52" s="1111"/>
      <c r="T52" s="1111"/>
      <c r="U52" s="1111"/>
      <c r="V52" s="1111"/>
      <c r="W52" s="1111"/>
      <c r="X52" s="1111"/>
      <c r="Y52" s="1113"/>
    </row>
    <row r="53" spans="2:26" s="704" customFormat="1" ht="15.75" customHeight="1" thickBot="1" x14ac:dyDescent="0.25">
      <c r="B53" s="1260" t="s">
        <v>557</v>
      </c>
      <c r="C53" s="1270">
        <v>311292</v>
      </c>
      <c r="D53" s="1132"/>
      <c r="E53" s="1270"/>
      <c r="F53" s="1132"/>
      <c r="G53" s="1132"/>
      <c r="H53" s="1276"/>
      <c r="I53" s="1271"/>
      <c r="J53" s="1271"/>
      <c r="K53" s="1272"/>
      <c r="L53" s="1271"/>
      <c r="M53" s="1271"/>
      <c r="N53" s="1271"/>
      <c r="O53" s="1271"/>
      <c r="P53" s="1271"/>
      <c r="Q53" s="1273"/>
      <c r="R53" s="1111"/>
      <c r="S53" s="1111"/>
      <c r="T53" s="1111"/>
      <c r="U53" s="1111"/>
      <c r="V53" s="1111"/>
      <c r="W53" s="1111"/>
      <c r="X53" s="1111"/>
      <c r="Y53" s="1113"/>
    </row>
    <row r="54" spans="2:26" s="704" customFormat="1" ht="16.5" customHeight="1" thickBot="1" x14ac:dyDescent="0.3">
      <c r="B54" s="2296" t="s">
        <v>630</v>
      </c>
      <c r="C54" s="1275">
        <v>622584</v>
      </c>
      <c r="D54" s="1247"/>
      <c r="E54" s="1248"/>
      <c r="F54" s="1249"/>
      <c r="G54" s="1249"/>
      <c r="H54" s="1250"/>
      <c r="I54" s="1249"/>
      <c r="J54" s="1249"/>
      <c r="K54" s="1251"/>
      <c r="L54" s="1249"/>
      <c r="M54" s="1249"/>
      <c r="N54" s="1249"/>
      <c r="O54" s="1249"/>
      <c r="P54" s="1249"/>
      <c r="Q54" s="1252"/>
      <c r="R54" s="1121"/>
      <c r="S54" s="1121"/>
      <c r="T54" s="1121"/>
      <c r="U54" s="1121"/>
      <c r="V54" s="1121"/>
      <c r="W54" s="1121"/>
      <c r="X54" s="1121"/>
      <c r="Y54" s="1123"/>
    </row>
    <row r="55" spans="2:26" s="704" customFormat="1" ht="15.75" hidden="1" customHeight="1" thickBot="1" x14ac:dyDescent="0.25">
      <c r="B55" s="1107" t="s">
        <v>237</v>
      </c>
      <c r="C55" s="1108"/>
      <c r="D55" s="1109"/>
      <c r="E55" s="1108"/>
      <c r="F55" s="1109"/>
      <c r="G55" s="1109"/>
      <c r="H55" s="1110"/>
      <c r="I55" s="1111"/>
      <c r="J55" s="1111"/>
      <c r="K55" s="1112"/>
      <c r="L55" s="1111"/>
      <c r="M55" s="1111"/>
      <c r="N55" s="1111"/>
      <c r="O55" s="1111"/>
      <c r="P55" s="1111"/>
      <c r="Q55" s="1113"/>
      <c r="R55" s="1256"/>
      <c r="S55" s="1256"/>
      <c r="T55" s="1256"/>
      <c r="U55" s="1256"/>
      <c r="V55" s="1256"/>
      <c r="W55" s="1256"/>
      <c r="X55" s="1256"/>
      <c r="Y55" s="1258"/>
    </row>
    <row r="56" spans="2:26" s="704" customFormat="1" ht="15.75" customHeight="1" thickBot="1" x14ac:dyDescent="0.25">
      <c r="B56" s="979" t="s">
        <v>593</v>
      </c>
      <c r="C56" s="1277">
        <v>1873299</v>
      </c>
      <c r="D56" s="1114"/>
      <c r="E56" s="874"/>
      <c r="F56" s="1114"/>
      <c r="G56" s="1114"/>
      <c r="H56" s="1115"/>
      <c r="I56" s="1268"/>
      <c r="J56" s="1268"/>
      <c r="K56" s="900"/>
      <c r="L56" s="1268"/>
      <c r="M56" s="1268"/>
      <c r="N56" s="1268"/>
      <c r="O56" s="1268"/>
      <c r="P56" s="1268"/>
      <c r="Q56" s="1269"/>
      <c r="R56" s="1130"/>
      <c r="S56" s="1130"/>
      <c r="T56" s="1130"/>
      <c r="U56" s="1130"/>
      <c r="V56" s="1130"/>
      <c r="W56" s="1130"/>
      <c r="X56" s="1130"/>
      <c r="Y56" s="1131"/>
    </row>
    <row r="57" spans="2:26" s="704" customFormat="1" ht="15.75" customHeight="1" thickBot="1" x14ac:dyDescent="0.25">
      <c r="B57" s="1260" t="s">
        <v>594</v>
      </c>
      <c r="C57" s="1278">
        <v>1679231</v>
      </c>
      <c r="D57" s="1132"/>
      <c r="E57" s="1270"/>
      <c r="F57" s="1132"/>
      <c r="G57" s="1132"/>
      <c r="H57" s="1276"/>
      <c r="I57" s="1271"/>
      <c r="J57" s="1271"/>
      <c r="K57" s="1272"/>
      <c r="L57" s="1271"/>
      <c r="M57" s="1271"/>
      <c r="N57" s="1271"/>
      <c r="O57" s="1271"/>
      <c r="P57" s="1271"/>
      <c r="Q57" s="1273"/>
      <c r="R57" s="1111"/>
      <c r="S57" s="1111"/>
      <c r="T57" s="1111"/>
      <c r="U57" s="1111"/>
      <c r="V57" s="1111"/>
      <c r="W57" s="1111"/>
      <c r="X57" s="1111"/>
      <c r="Y57" s="1113"/>
    </row>
    <row r="58" spans="2:26" s="704" customFormat="1" ht="15.75" customHeight="1" thickBot="1" x14ac:dyDescent="0.3">
      <c r="B58" s="2296" t="s">
        <v>630</v>
      </c>
      <c r="C58" s="1263">
        <v>3552530</v>
      </c>
      <c r="D58" s="1264"/>
      <c r="E58" s="1265"/>
      <c r="F58" s="1264"/>
      <c r="G58" s="1264"/>
      <c r="H58" s="1266"/>
      <c r="I58" s="1264"/>
      <c r="J58" s="1264"/>
      <c r="K58" s="1274"/>
      <c r="L58" s="1264"/>
      <c r="M58" s="1264"/>
      <c r="N58" s="1264"/>
      <c r="O58" s="1264"/>
      <c r="P58" s="1264"/>
      <c r="Q58" s="1267"/>
      <c r="R58" s="1134"/>
      <c r="S58" s="1134"/>
      <c r="T58" s="1134"/>
      <c r="U58" s="1134"/>
      <c r="V58" s="1134"/>
      <c r="W58" s="1134"/>
      <c r="X58" s="1134"/>
      <c r="Y58" s="1127"/>
    </row>
    <row r="59" spans="2:26" s="704" customFormat="1" ht="15.75" customHeight="1" thickBot="1" x14ac:dyDescent="0.3">
      <c r="B59" s="1136" t="s">
        <v>90</v>
      </c>
      <c r="C59" s="1137">
        <v>4175114</v>
      </c>
      <c r="D59" s="1137"/>
      <c r="E59" s="1137"/>
      <c r="F59" s="1137"/>
      <c r="G59" s="1137"/>
      <c r="H59" s="1138"/>
      <c r="I59" s="1139"/>
      <c r="J59" s="1139"/>
      <c r="K59" s="1140"/>
      <c r="L59" s="1141"/>
      <c r="M59" s="1142"/>
      <c r="N59" s="1142"/>
      <c r="O59" s="1142"/>
      <c r="P59" s="1143"/>
      <c r="Q59" s="1144"/>
      <c r="R59" s="1141"/>
      <c r="S59" s="1141"/>
      <c r="T59" s="1141"/>
      <c r="U59" s="1141"/>
      <c r="V59" s="1141"/>
      <c r="W59" s="1141"/>
      <c r="X59" s="1143"/>
      <c r="Y59" s="1144"/>
    </row>
    <row r="60" spans="2:26" s="284" customFormat="1" ht="15.75" thickBot="1" x14ac:dyDescent="0.25">
      <c r="B60" s="396"/>
      <c r="C60" s="397"/>
      <c r="D60" s="397"/>
      <c r="E60" s="397"/>
      <c r="F60" s="397"/>
      <c r="G60" s="397"/>
      <c r="H60" s="397"/>
      <c r="I60" s="397"/>
      <c r="J60" s="397"/>
      <c r="K60" s="806"/>
      <c r="L60" s="397"/>
      <c r="M60" s="397"/>
      <c r="N60" s="397"/>
      <c r="O60" s="397"/>
      <c r="P60" s="397"/>
      <c r="Q60" s="398"/>
      <c r="R60" s="397"/>
      <c r="S60" s="397"/>
      <c r="T60" s="397"/>
      <c r="U60" s="397"/>
      <c r="V60" s="397"/>
      <c r="W60" s="397"/>
      <c r="X60" s="397"/>
      <c r="Y60" s="398"/>
    </row>
    <row r="61" spans="2:26" s="284" customFormat="1" ht="16.5" thickBot="1" x14ac:dyDescent="0.3">
      <c r="B61" s="419" t="s">
        <v>28</v>
      </c>
      <c r="C61" s="396"/>
      <c r="D61" s="397"/>
      <c r="E61" s="397"/>
      <c r="F61" s="397"/>
      <c r="G61" s="397"/>
      <c r="H61" s="420"/>
      <c r="I61" s="397"/>
      <c r="J61" s="397"/>
      <c r="K61" s="806"/>
      <c r="L61" s="397"/>
      <c r="M61" s="397"/>
      <c r="N61" s="397"/>
      <c r="O61" s="397"/>
      <c r="P61" s="420"/>
      <c r="Q61" s="421"/>
      <c r="R61" s="397"/>
      <c r="S61" s="397"/>
      <c r="T61" s="397"/>
      <c r="U61" s="397"/>
      <c r="V61" s="397"/>
      <c r="W61" s="397"/>
      <c r="X61" s="420"/>
      <c r="Y61" s="421"/>
    </row>
    <row r="62" spans="2:26" s="284" customFormat="1" ht="16.5" hidden="1" thickBot="1" x14ac:dyDescent="0.3">
      <c r="B62" s="2113" t="s">
        <v>91</v>
      </c>
      <c r="C62" s="2114">
        <v>0</v>
      </c>
      <c r="D62" s="2115">
        <v>0</v>
      </c>
      <c r="E62" s="2115">
        <v>0</v>
      </c>
      <c r="F62" s="2115">
        <v>0</v>
      </c>
      <c r="G62" s="2115">
        <v>0</v>
      </c>
      <c r="H62" s="498" t="e">
        <v>#DIV/0!</v>
      </c>
      <c r="I62" s="2116"/>
      <c r="J62" s="2117"/>
      <c r="K62" s="903"/>
      <c r="L62" s="2117"/>
      <c r="M62" s="355">
        <v>0</v>
      </c>
      <c r="N62" s="355">
        <v>0</v>
      </c>
      <c r="O62" s="355">
        <v>0</v>
      </c>
      <c r="P62" s="362" t="e">
        <v>#DIV/0!</v>
      </c>
      <c r="Q62" s="329" t="e">
        <v>#DIV/0!</v>
      </c>
      <c r="R62" s="2117"/>
      <c r="S62" s="2117"/>
      <c r="T62" s="2117"/>
      <c r="U62" s="2117"/>
      <c r="V62" s="2119">
        <v>0</v>
      </c>
      <c r="W62" s="2119">
        <v>0</v>
      </c>
      <c r="X62" s="2118" t="s">
        <v>3</v>
      </c>
      <c r="Y62" s="1997" t="s">
        <v>3</v>
      </c>
    </row>
    <row r="63" spans="2:26" s="284" customFormat="1" ht="15.75" x14ac:dyDescent="0.25">
      <c r="B63" s="422" t="s">
        <v>92</v>
      </c>
      <c r="C63" s="686">
        <v>9342249.4097621497</v>
      </c>
      <c r="D63" s="423">
        <v>3622285.4653896694</v>
      </c>
      <c r="E63" s="423">
        <v>12857936.87515182</v>
      </c>
      <c r="F63" s="423">
        <v>14027213.746951872</v>
      </c>
      <c r="G63" s="423">
        <v>14410332.342331614</v>
      </c>
      <c r="H63" s="497">
        <v>0.5871695111131725</v>
      </c>
      <c r="I63" s="400"/>
      <c r="J63" s="400"/>
      <c r="K63" s="353"/>
      <c r="L63" s="400"/>
      <c r="M63" s="424">
        <v>1108607.7707369719</v>
      </c>
      <c r="N63" s="424">
        <v>21273276.591234405</v>
      </c>
      <c r="O63" s="424">
        <v>13774.987795086527</v>
      </c>
      <c r="P63" s="2120">
        <v>8.4270105770156025</v>
      </c>
      <c r="Q63" s="356">
        <v>0.43915423041185853</v>
      </c>
      <c r="R63" s="424">
        <v>0</v>
      </c>
      <c r="S63" s="424">
        <v>0</v>
      </c>
      <c r="T63" s="424">
        <v>0</v>
      </c>
      <c r="U63" s="424">
        <v>0</v>
      </c>
      <c r="V63" s="2121">
        <v>114075.73960883441</v>
      </c>
      <c r="W63" s="2121">
        <v>2189020.1612380203</v>
      </c>
      <c r="X63" s="2120">
        <v>81.895146521045689</v>
      </c>
      <c r="Y63" s="2138">
        <v>4.2677767775690816</v>
      </c>
    </row>
    <row r="64" spans="2:26" s="284" customFormat="1" ht="19.5" customHeight="1" thickBot="1" x14ac:dyDescent="0.3">
      <c r="B64" s="2122" t="s">
        <v>93</v>
      </c>
      <c r="C64" s="2123">
        <v>6688186.7953733802</v>
      </c>
      <c r="D64" s="2123">
        <v>3377608.6313032135</v>
      </c>
      <c r="E64" s="2123">
        <v>9959197.4266765937</v>
      </c>
      <c r="F64" s="2123">
        <v>9374345.7290028147</v>
      </c>
      <c r="G64" s="2123">
        <v>9653817.012289241</v>
      </c>
      <c r="H64" s="2124">
        <v>0.58647990405628614</v>
      </c>
      <c r="I64" s="2125"/>
      <c r="J64" s="2125"/>
      <c r="K64" s="2126"/>
      <c r="L64" s="2125"/>
      <c r="M64" s="2127">
        <v>749457.58518567949</v>
      </c>
      <c r="N64" s="2127">
        <v>14292038.985933978</v>
      </c>
      <c r="O64" s="2127">
        <v>11501.265960173407</v>
      </c>
      <c r="P64" s="2128">
        <v>8.9240364332510822</v>
      </c>
      <c r="Q64" s="2129">
        <v>0.46796589359683377</v>
      </c>
      <c r="R64" s="2127">
        <v>0</v>
      </c>
      <c r="S64" s="2127">
        <v>0</v>
      </c>
      <c r="T64" s="2127">
        <v>0</v>
      </c>
      <c r="U64" s="2127">
        <v>0</v>
      </c>
      <c r="V64" s="2130">
        <v>77119.185515606412</v>
      </c>
      <c r="W64" s="2130">
        <v>1470650.8116526064</v>
      </c>
      <c r="X64" s="2128">
        <v>86.72532976920391</v>
      </c>
      <c r="Y64" s="2143">
        <v>4.5477735043424081</v>
      </c>
    </row>
    <row r="65" spans="2:25" ht="16.5" thickBot="1" x14ac:dyDescent="0.3">
      <c r="B65" s="364" t="s">
        <v>94</v>
      </c>
      <c r="C65" s="430">
        <v>16030436.20513553</v>
      </c>
      <c r="D65" s="430">
        <v>6999894.0966928825</v>
      </c>
      <c r="E65" s="430">
        <v>22817134.301828414</v>
      </c>
      <c r="F65" s="430">
        <v>23401559.475954689</v>
      </c>
      <c r="G65" s="365">
        <v>24064149.354620855</v>
      </c>
      <c r="H65" s="496">
        <v>0.58688159756120395</v>
      </c>
      <c r="I65" s="431"/>
      <c r="J65" s="406"/>
      <c r="K65" s="346"/>
      <c r="L65" s="406"/>
      <c r="M65" s="432">
        <v>1858065.3559226515</v>
      </c>
      <c r="N65" s="432">
        <v>35565315.577168383</v>
      </c>
      <c r="O65" s="432">
        <v>25276.253755259931</v>
      </c>
      <c r="P65" s="433">
        <v>8.6274878082398594</v>
      </c>
      <c r="Q65" s="363">
        <v>0.45073229198130543</v>
      </c>
      <c r="R65" s="432">
        <v>0</v>
      </c>
      <c r="S65" s="432">
        <v>0</v>
      </c>
      <c r="T65" s="432">
        <v>0</v>
      </c>
      <c r="U65" s="432">
        <v>0</v>
      </c>
      <c r="V65" s="346">
        <v>191194.92512444084</v>
      </c>
      <c r="W65" s="346">
        <v>3659670.9728906266</v>
      </c>
      <c r="X65" s="349">
        <v>83.843418933331961</v>
      </c>
      <c r="Y65" s="363">
        <v>4.3802943827143386</v>
      </c>
    </row>
    <row r="66" spans="2:25" s="284" customFormat="1" ht="16.5" hidden="1" thickBot="1" x14ac:dyDescent="0.3">
      <c r="B66" s="434" t="s">
        <v>95</v>
      </c>
      <c r="C66" s="351">
        <v>0</v>
      </c>
      <c r="D66" s="351">
        <v>0</v>
      </c>
      <c r="E66" s="351">
        <v>0</v>
      </c>
      <c r="F66" s="351">
        <v>0</v>
      </c>
      <c r="G66" s="351">
        <v>0</v>
      </c>
      <c r="H66" s="497" t="e">
        <v>#DIV/0!</v>
      </c>
      <c r="I66" s="400"/>
      <c r="J66" s="400"/>
      <c r="K66" s="353"/>
      <c r="L66" s="400"/>
      <c r="M66" s="424">
        <v>0</v>
      </c>
      <c r="N66" s="424">
        <v>0</v>
      </c>
      <c r="O66" s="424">
        <v>0</v>
      </c>
      <c r="P66" s="435" t="e">
        <v>#DIV/0!</v>
      </c>
      <c r="Q66" s="436" t="e">
        <v>#DIV/0!</v>
      </c>
      <c r="R66" s="400"/>
      <c r="S66" s="400"/>
      <c r="T66" s="400"/>
      <c r="U66" s="400"/>
      <c r="V66" s="804">
        <v>0</v>
      </c>
      <c r="W66" s="804">
        <v>0</v>
      </c>
      <c r="X66" s="2004" t="s">
        <v>3</v>
      </c>
      <c r="Y66" s="2005" t="s">
        <v>3</v>
      </c>
    </row>
    <row r="67" spans="2:25" s="284" customFormat="1" ht="16.5" thickBot="1" x14ac:dyDescent="0.3">
      <c r="B67" s="437" t="s">
        <v>96</v>
      </c>
      <c r="C67" s="351">
        <v>4383811</v>
      </c>
      <c r="D67" s="351">
        <v>7490563.7335457336</v>
      </c>
      <c r="E67" s="351">
        <v>11874374.733545734</v>
      </c>
      <c r="F67" s="351">
        <v>9762407.6609380841</v>
      </c>
      <c r="G67" s="351">
        <v>9762407.6609380841</v>
      </c>
      <c r="H67" s="494">
        <v>0.27552680824307835</v>
      </c>
      <c r="I67" s="402"/>
      <c r="J67" s="402"/>
      <c r="K67" s="811"/>
      <c r="L67" s="402"/>
      <c r="M67" s="340">
        <v>1217887.9535875514</v>
      </c>
      <c r="N67" s="340">
        <v>12780152.675809331</v>
      </c>
      <c r="O67" s="340">
        <v>9328.0477087266227</v>
      </c>
      <c r="P67" s="438">
        <v>3.5995191405634155</v>
      </c>
      <c r="Q67" s="439">
        <v>0.34301710716631839</v>
      </c>
      <c r="R67" s="340">
        <v>0</v>
      </c>
      <c r="S67" s="340">
        <v>0</v>
      </c>
      <c r="T67" s="340"/>
      <c r="U67" s="340"/>
      <c r="V67" s="804">
        <v>125320.67042415905</v>
      </c>
      <c r="W67" s="804">
        <v>1315077.7103407802</v>
      </c>
      <c r="X67" s="335">
        <v>34.98074966533931</v>
      </c>
      <c r="Y67" s="336">
        <v>3.3334995837348727</v>
      </c>
    </row>
    <row r="68" spans="2:25" s="284" customFormat="1" ht="16.5" thickBot="1" x14ac:dyDescent="0.3">
      <c r="B68" s="440" t="s">
        <v>97</v>
      </c>
      <c r="C68" s="351">
        <v>2725239</v>
      </c>
      <c r="D68" s="351">
        <v>5054691.5052496828</v>
      </c>
      <c r="E68" s="351">
        <v>7779930.5052496828</v>
      </c>
      <c r="F68" s="351">
        <v>5915578.6419828152</v>
      </c>
      <c r="G68" s="351">
        <v>5915578.6419828143</v>
      </c>
      <c r="H68" s="495">
        <v>0.23897327573985938</v>
      </c>
      <c r="I68" s="403"/>
      <c r="J68" s="403"/>
      <c r="K68" s="812"/>
      <c r="L68" s="403"/>
      <c r="M68" s="327">
        <v>691706.22802968288</v>
      </c>
      <c r="N68" s="327">
        <v>7920122.407122287</v>
      </c>
      <c r="O68" s="327">
        <v>5470.3103963860203</v>
      </c>
      <c r="P68" s="441">
        <v>3.9398792284447279</v>
      </c>
      <c r="Q68" s="442">
        <v>0.34409051526139151</v>
      </c>
      <c r="R68" s="327">
        <v>0</v>
      </c>
      <c r="S68" s="327">
        <v>0</v>
      </c>
      <c r="T68" s="327"/>
      <c r="U68" s="327"/>
      <c r="V68" s="804">
        <v>71176.570864254361</v>
      </c>
      <c r="W68" s="804">
        <v>814980.59569288325</v>
      </c>
      <c r="X68" s="335">
        <v>38.288427876042064</v>
      </c>
      <c r="Y68" s="336">
        <v>3.3439311492846602</v>
      </c>
    </row>
    <row r="69" spans="2:25" ht="16.5" thickBot="1" x14ac:dyDescent="0.3">
      <c r="B69" s="364" t="s">
        <v>98</v>
      </c>
      <c r="C69" s="430">
        <v>7109050</v>
      </c>
      <c r="D69" s="430">
        <v>12545255.238795416</v>
      </c>
      <c r="E69" s="430">
        <v>19654305.238795415</v>
      </c>
      <c r="F69" s="430">
        <v>15677986.3029209</v>
      </c>
      <c r="G69" s="365">
        <v>15677986.302920898</v>
      </c>
      <c r="H69" s="496">
        <v>0.26026557030343789</v>
      </c>
      <c r="I69" s="443"/>
      <c r="J69" s="406"/>
      <c r="K69" s="346"/>
      <c r="L69" s="406"/>
      <c r="M69" s="432">
        <v>1909594.1816172344</v>
      </c>
      <c r="N69" s="432">
        <v>20700275.082931619</v>
      </c>
      <c r="O69" s="432">
        <v>14798.358105112642</v>
      </c>
      <c r="P69" s="444">
        <v>3.7228066928751056</v>
      </c>
      <c r="Q69" s="445">
        <v>0.34342780332720102</v>
      </c>
      <c r="R69" s="432">
        <v>0</v>
      </c>
      <c r="S69" s="432">
        <v>0</v>
      </c>
      <c r="T69" s="432"/>
      <c r="U69" s="432"/>
      <c r="V69" s="346">
        <v>196497.24128841341</v>
      </c>
      <c r="W69" s="346">
        <v>2130058.3060336635</v>
      </c>
      <c r="X69" s="349">
        <v>36.178879425414053</v>
      </c>
      <c r="Y69" s="363">
        <v>3.3374908000699812</v>
      </c>
    </row>
    <row r="70" spans="2:25" s="284" customFormat="1" ht="15.75" hidden="1" x14ac:dyDescent="0.25">
      <c r="B70" s="427" t="s">
        <v>99</v>
      </c>
      <c r="C70" s="323">
        <v>0</v>
      </c>
      <c r="D70" s="323"/>
      <c r="E70" s="323"/>
      <c r="F70" s="323"/>
      <c r="G70" s="323"/>
      <c r="H70" s="493" t="e">
        <v>#DIV/0!</v>
      </c>
      <c r="I70" s="408"/>
      <c r="J70" s="408"/>
      <c r="K70" s="813"/>
      <c r="L70" s="408"/>
      <c r="M70" s="446"/>
      <c r="N70" s="446"/>
      <c r="O70" s="446"/>
      <c r="P70" s="446"/>
      <c r="Q70" s="448"/>
      <c r="R70" s="408"/>
      <c r="S70" s="408"/>
      <c r="T70" s="408"/>
      <c r="U70" s="408"/>
      <c r="V70" s="804">
        <v>0</v>
      </c>
      <c r="W70" s="804">
        <v>0</v>
      </c>
      <c r="X70" s="2018"/>
      <c r="Y70" s="448"/>
    </row>
    <row r="71" spans="2:25" s="284" customFormat="1" ht="15.75" x14ac:dyDescent="0.25">
      <c r="B71" s="449" t="s">
        <v>100</v>
      </c>
      <c r="C71" s="331">
        <v>2184591</v>
      </c>
      <c r="D71" s="323"/>
      <c r="E71" s="323"/>
      <c r="F71" s="323"/>
      <c r="G71" s="323"/>
      <c r="H71" s="494">
        <v>0.13730368064374918</v>
      </c>
      <c r="I71" s="402"/>
      <c r="J71" s="402"/>
      <c r="K71" s="814"/>
      <c r="L71" s="402"/>
      <c r="M71" s="446"/>
      <c r="N71" s="446"/>
      <c r="O71" s="446"/>
      <c r="P71" s="446"/>
      <c r="Q71" s="439"/>
      <c r="R71" s="408"/>
      <c r="S71" s="408"/>
      <c r="T71" s="408"/>
      <c r="U71" s="408"/>
      <c r="V71" s="804">
        <v>0</v>
      </c>
      <c r="W71" s="804">
        <v>0</v>
      </c>
      <c r="X71" s="446"/>
      <c r="Y71" s="439"/>
    </row>
    <row r="72" spans="2:25" s="284" customFormat="1" ht="16.5" thickBot="1" x14ac:dyDescent="0.3">
      <c r="B72" s="427" t="s">
        <v>101</v>
      </c>
      <c r="C72" s="323">
        <v>1990523</v>
      </c>
      <c r="D72" s="323"/>
      <c r="E72" s="323"/>
      <c r="F72" s="323"/>
      <c r="G72" s="323"/>
      <c r="H72" s="498">
        <v>0.17454682020385445</v>
      </c>
      <c r="I72" s="429"/>
      <c r="J72" s="429"/>
      <c r="K72" s="815"/>
      <c r="L72" s="429"/>
      <c r="M72" s="446"/>
      <c r="N72" s="446"/>
      <c r="O72" s="446"/>
      <c r="P72" s="446"/>
      <c r="Q72" s="453"/>
      <c r="R72" s="429"/>
      <c r="S72" s="429"/>
      <c r="T72" s="429"/>
      <c r="U72" s="429"/>
      <c r="V72" s="804">
        <v>0</v>
      </c>
      <c r="W72" s="804">
        <v>0</v>
      </c>
      <c r="X72" s="446"/>
      <c r="Y72" s="453"/>
    </row>
    <row r="73" spans="2:25" s="284" customFormat="1" ht="16.5" thickBot="1" x14ac:dyDescent="0.3">
      <c r="B73" s="364" t="s">
        <v>102</v>
      </c>
      <c r="C73" s="430">
        <v>4175114</v>
      </c>
      <c r="D73" s="430">
        <v>0</v>
      </c>
      <c r="E73" s="430">
        <v>0</v>
      </c>
      <c r="F73" s="430">
        <v>0</v>
      </c>
      <c r="G73" s="365">
        <v>0</v>
      </c>
      <c r="H73" s="496">
        <v>0.15285283213535814</v>
      </c>
      <c r="I73" s="443"/>
      <c r="J73" s="406"/>
      <c r="K73" s="816"/>
      <c r="L73" s="406"/>
      <c r="M73" s="454">
        <v>0</v>
      </c>
      <c r="N73" s="454">
        <v>0</v>
      </c>
      <c r="O73" s="454">
        <v>0</v>
      </c>
      <c r="P73" s="455"/>
      <c r="Q73" s="456"/>
      <c r="R73" s="406"/>
      <c r="S73" s="406"/>
      <c r="T73" s="406"/>
      <c r="U73" s="406"/>
      <c r="V73" s="346">
        <v>0</v>
      </c>
      <c r="W73" s="346">
        <v>0</v>
      </c>
      <c r="X73" s="455"/>
      <c r="Y73" s="456"/>
    </row>
    <row r="74" spans="2:25" s="284" customFormat="1" ht="16.5" hidden="1" thickBot="1" x14ac:dyDescent="0.3">
      <c r="B74" s="364" t="s">
        <v>103</v>
      </c>
      <c r="C74" s="457">
        <v>0</v>
      </c>
      <c r="D74" s="457">
        <v>0</v>
      </c>
      <c r="E74" s="457">
        <v>0</v>
      </c>
      <c r="F74" s="457">
        <v>0</v>
      </c>
      <c r="G74" s="457">
        <v>0</v>
      </c>
      <c r="H74" s="499">
        <v>0</v>
      </c>
      <c r="I74" s="458"/>
      <c r="J74" s="408"/>
      <c r="K74" s="813"/>
      <c r="L74" s="408"/>
      <c r="M74" s="446">
        <v>0</v>
      </c>
      <c r="N74" s="446">
        <v>0</v>
      </c>
      <c r="O74" s="446">
        <v>0</v>
      </c>
      <c r="P74" s="447" t="e">
        <v>#DIV/0!</v>
      </c>
      <c r="Q74" s="448" t="e">
        <v>#DIV/0!</v>
      </c>
      <c r="R74" s="408"/>
      <c r="S74" s="408"/>
      <c r="T74" s="408"/>
      <c r="U74" s="408"/>
      <c r="V74" s="804">
        <v>0</v>
      </c>
      <c r="W74" s="804">
        <v>0</v>
      </c>
      <c r="X74" s="2030"/>
      <c r="Y74" s="2031"/>
    </row>
    <row r="75" spans="2:25" s="284" customFormat="1" ht="16.5" thickBot="1" x14ac:dyDescent="0.3">
      <c r="B75" s="364" t="s">
        <v>104</v>
      </c>
      <c r="C75" s="457">
        <v>15910651.40976215</v>
      </c>
      <c r="D75" s="457">
        <v>11112849.198935403</v>
      </c>
      <c r="E75" s="457">
        <v>24732311.608697556</v>
      </c>
      <c r="F75" s="457">
        <v>23789621.407889955</v>
      </c>
      <c r="G75" s="457">
        <v>24172740.003269698</v>
      </c>
      <c r="H75" s="499">
        <v>0.58249622144462954</v>
      </c>
      <c r="I75" s="459"/>
      <c r="J75" s="402"/>
      <c r="K75" s="814"/>
      <c r="L75" s="402"/>
      <c r="M75" s="450">
        <v>2326495.7243245235</v>
      </c>
      <c r="N75" s="450">
        <v>34053429.26704374</v>
      </c>
      <c r="O75" s="450">
        <v>23103.035503813149</v>
      </c>
      <c r="P75" s="438">
        <v>6.8388913177055848</v>
      </c>
      <c r="Q75" s="439">
        <v>0.46722611355797211</v>
      </c>
      <c r="R75" s="450">
        <v>0</v>
      </c>
      <c r="S75" s="450">
        <v>0</v>
      </c>
      <c r="T75" s="450">
        <v>0</v>
      </c>
      <c r="U75" s="450">
        <v>0</v>
      </c>
      <c r="V75" s="804">
        <v>239396.41003299347</v>
      </c>
      <c r="W75" s="804">
        <v>3504097.871578801</v>
      </c>
      <c r="X75" s="335">
        <v>66.461528840676237</v>
      </c>
      <c r="Y75" s="336">
        <v>4.5405841939550253</v>
      </c>
    </row>
    <row r="76" spans="2:25" s="284" customFormat="1" ht="16.5" thickBot="1" x14ac:dyDescent="0.3">
      <c r="B76" s="364" t="s">
        <v>105</v>
      </c>
      <c r="C76" s="457">
        <v>11403948.79537338</v>
      </c>
      <c r="D76" s="457">
        <v>8432300.1365528964</v>
      </c>
      <c r="E76" s="457">
        <v>17739127.931926277</v>
      </c>
      <c r="F76" s="457">
        <v>15289924.370985631</v>
      </c>
      <c r="G76" s="457">
        <v>15569395.654272055</v>
      </c>
      <c r="H76" s="499">
        <v>0.41750377855537041</v>
      </c>
      <c r="I76" s="460"/>
      <c r="J76" s="403"/>
      <c r="K76" s="817"/>
      <c r="L76" s="403"/>
      <c r="M76" s="461">
        <v>1441163.8132153624</v>
      </c>
      <c r="N76" s="461">
        <v>22212161.393056266</v>
      </c>
      <c r="O76" s="461">
        <v>16971.576356559428</v>
      </c>
      <c r="P76" s="441">
        <v>7.9130135594580144</v>
      </c>
      <c r="Q76" s="442">
        <v>0.51341013571684035</v>
      </c>
      <c r="R76" s="461">
        <v>0</v>
      </c>
      <c r="S76" s="461">
        <v>0</v>
      </c>
      <c r="T76" s="461">
        <v>0</v>
      </c>
      <c r="U76" s="461">
        <v>0</v>
      </c>
      <c r="V76" s="804">
        <v>148295.75637986077</v>
      </c>
      <c r="W76" s="804">
        <v>2285631.4073454896</v>
      </c>
      <c r="X76" s="335">
        <v>76.900034591428721</v>
      </c>
      <c r="Y76" s="336">
        <v>4.9894085103677401</v>
      </c>
    </row>
    <row r="77" spans="2:25" ht="16.5" thickBot="1" x14ac:dyDescent="0.3">
      <c r="B77" s="364" t="s">
        <v>106</v>
      </c>
      <c r="C77" s="411">
        <v>27314600.205135532</v>
      </c>
      <c r="D77" s="411">
        <v>19545149.335488297</v>
      </c>
      <c r="E77" s="411">
        <v>42471439.540623829</v>
      </c>
      <c r="F77" s="411">
        <v>39079545.778875589</v>
      </c>
      <c r="G77" s="411">
        <v>39742135.657541752</v>
      </c>
      <c r="H77" s="500">
        <v>1</v>
      </c>
      <c r="I77" s="317">
        <v>1.4307200356360361</v>
      </c>
      <c r="J77" s="317">
        <v>0.9357379002783387</v>
      </c>
      <c r="K77" s="818"/>
      <c r="L77" s="462"/>
      <c r="M77" s="395">
        <v>3767659.5375398858</v>
      </c>
      <c r="N77" s="395">
        <v>56265590.660100006</v>
      </c>
      <c r="O77" s="395">
        <v>40074.611860372577</v>
      </c>
      <c r="P77" s="367">
        <v>7.2497527796714749</v>
      </c>
      <c r="Q77" s="367">
        <v>0.48545833936308991</v>
      </c>
      <c r="R77" s="395">
        <v>0</v>
      </c>
      <c r="S77" s="395">
        <v>0</v>
      </c>
      <c r="T77" s="395">
        <v>0</v>
      </c>
      <c r="U77" s="395">
        <v>0</v>
      </c>
      <c r="V77" s="346">
        <v>387692.16641285428</v>
      </c>
      <c r="W77" s="346">
        <v>5789729.278924291</v>
      </c>
      <c r="X77" s="349">
        <v>70.45435160030587</v>
      </c>
      <c r="Y77" s="363">
        <v>4.7177681182030113</v>
      </c>
    </row>
    <row r="78" spans="2:25" x14ac:dyDescent="0.2">
      <c r="C78" s="788"/>
    </row>
    <row r="80" spans="2:25" x14ac:dyDescent="0.2">
      <c r="C80" s="751"/>
      <c r="L80" s="704"/>
      <c r="M80" s="704"/>
      <c r="R80" s="704"/>
      <c r="S80" s="704"/>
      <c r="T80" s="704"/>
      <c r="U80" s="704"/>
      <c r="V80" s="704"/>
      <c r="W80" s="704"/>
    </row>
    <row r="81" spans="3:25" x14ac:dyDescent="0.2">
      <c r="L81" s="704"/>
      <c r="M81" s="1038"/>
      <c r="R81" s="704"/>
      <c r="S81" s="704"/>
      <c r="T81" s="704"/>
      <c r="U81" s="704"/>
      <c r="V81" s="704"/>
      <c r="W81" s="704"/>
    </row>
    <row r="82" spans="3:25" ht="13.5" customHeight="1" x14ac:dyDescent="0.2">
      <c r="L82" s="704"/>
      <c r="M82" s="1038"/>
      <c r="R82" s="704"/>
      <c r="S82" s="704"/>
      <c r="T82" s="704"/>
      <c r="U82" s="704"/>
      <c r="V82" s="704"/>
      <c r="W82" s="704"/>
    </row>
    <row r="84" spans="3:25"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row>
    <row r="85" spans="3:25" x14ac:dyDescent="0.2">
      <c r="R85" s="704"/>
      <c r="S85" s="704"/>
      <c r="T85" s="704"/>
      <c r="U85" s="704"/>
      <c r="V85" s="704"/>
      <c r="W85" s="704"/>
    </row>
    <row r="86" spans="3:25" x14ac:dyDescent="0.2">
      <c r="C86" s="788"/>
      <c r="D86" s="788"/>
      <c r="E86" s="788"/>
      <c r="F86" s="788"/>
      <c r="G86" s="788"/>
      <c r="H86" s="788"/>
      <c r="I86" s="788"/>
      <c r="J86" s="788"/>
      <c r="K86" s="788"/>
      <c r="L86" s="788"/>
      <c r="M86" s="788"/>
      <c r="N86" s="788"/>
      <c r="O86" s="788"/>
      <c r="P86" s="788"/>
      <c r="Q86" s="788"/>
      <c r="R86" s="704"/>
      <c r="S86" s="704"/>
      <c r="T86" s="704"/>
      <c r="U86" s="704"/>
      <c r="V86" s="704"/>
      <c r="W86" s="704"/>
    </row>
    <row r="88" spans="3:25" x14ac:dyDescent="0.2">
      <c r="R88" s="704"/>
      <c r="S88" s="704"/>
      <c r="T88" s="704"/>
      <c r="U88" s="704"/>
      <c r="V88" s="704"/>
      <c r="W88" s="704"/>
    </row>
    <row r="89" spans="3:25" x14ac:dyDescent="0.2">
      <c r="R89" s="704"/>
      <c r="S89" s="704"/>
      <c r="T89" s="704"/>
      <c r="U89" s="704"/>
      <c r="V89" s="704"/>
      <c r="W89" s="704"/>
    </row>
    <row r="90" spans="3:25" x14ac:dyDescent="0.2">
      <c r="C90" s="2205"/>
      <c r="R90" s="704"/>
      <c r="S90" s="704"/>
      <c r="T90" s="704"/>
      <c r="U90" s="704"/>
      <c r="V90" s="704"/>
      <c r="W90" s="704"/>
    </row>
  </sheetData>
  <printOptions horizontalCentered="1"/>
  <pageMargins left="0.25" right="0.21"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pageSetUpPr fitToPage="1"/>
  </sheetPr>
  <dimension ref="B1:AD90"/>
  <sheetViews>
    <sheetView zoomScale="75" zoomScaleNormal="100" workbookViewId="0">
      <pane xSplit="2" ySplit="5" topLeftCell="C7" activePane="bottomRight" state="frozen"/>
      <selection activeCell="S52" sqref="S52"/>
      <selection pane="topRight" activeCell="S52" sqref="S52"/>
      <selection pane="bottomLeft" activeCell="S52" sqref="S52"/>
      <selection pane="bottomRight" activeCell="F7" sqref="F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6.140625" style="321" bestFit="1" customWidth="1"/>
    <col min="7" max="7" width="22" style="321" customWidth="1"/>
    <col min="8" max="8" width="12.28515625" style="321" hidden="1" customWidth="1"/>
    <col min="9" max="9" width="12.85546875" style="321" customWidth="1"/>
    <col min="10" max="10" width="13.140625" style="321" customWidth="1"/>
    <col min="11" max="11" width="11.28515625" style="819" customWidth="1"/>
    <col min="12" max="12" width="15.5703125" style="321" customWidth="1"/>
    <col min="13" max="13" width="17.5703125" style="321" bestFit="1" customWidth="1"/>
    <col min="14" max="14" width="18" style="321" bestFit="1" customWidth="1"/>
    <col min="15" max="15" width="11.28515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row>
    <row r="2" spans="2:29" s="284" customFormat="1" ht="18" customHeight="1" x14ac:dyDescent="0.2">
      <c r="B2" s="2154" t="s">
        <v>618</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row>
    <row r="3" spans="2:29" s="284" customFormat="1" ht="13.5" thickBot="1" x14ac:dyDescent="0.25">
      <c r="C3" s="243"/>
      <c r="K3" s="802"/>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x14ac:dyDescent="0.2">
      <c r="B6" s="359" t="s">
        <v>232</v>
      </c>
      <c r="C6" s="2132"/>
      <c r="D6" s="2133"/>
      <c r="E6" s="2133"/>
      <c r="F6" s="2133"/>
      <c r="G6" s="2133"/>
      <c r="H6" s="337"/>
      <c r="I6" s="338"/>
      <c r="J6" s="338"/>
      <c r="K6" s="2119"/>
      <c r="L6" s="2134"/>
      <c r="M6" s="2119"/>
      <c r="N6" s="2119"/>
      <c r="O6" s="2119"/>
      <c r="P6" s="341"/>
      <c r="Q6" s="336"/>
      <c r="R6" s="329"/>
      <c r="S6" s="2119"/>
      <c r="T6" s="2119"/>
      <c r="U6" s="2119"/>
      <c r="V6" s="2119"/>
      <c r="W6" s="2119">
        <f t="shared" ref="W6:W27" si="0">+(M6*102900+S6*138690+U6*91330)/10^6</f>
        <v>0</v>
      </c>
      <c r="X6" s="2119">
        <f t="shared" ref="X6:X27" si="1">+(N6*102900+T6*138690+V6*91330)/10^6</f>
        <v>0</v>
      </c>
      <c r="Y6" s="341" t="s">
        <v>3</v>
      </c>
      <c r="Z6" s="336" t="s">
        <v>3</v>
      </c>
    </row>
    <row r="7" spans="2:29" s="2060" customFormat="1" ht="18" customHeight="1" x14ac:dyDescent="0.2">
      <c r="B7" s="2290" t="s">
        <v>233</v>
      </c>
      <c r="C7" s="2354" t="e">
        <f>'CNG Table A'!#REF!</f>
        <v>#REF!</v>
      </c>
      <c r="D7" s="2291" t="e">
        <f>E7-C7</f>
        <v>#REF!</v>
      </c>
      <c r="E7" s="331">
        <v>4299167</v>
      </c>
      <c r="F7" s="331">
        <v>4909134.7115035793</v>
      </c>
      <c r="G7" s="331">
        <v>11027558.118977528</v>
      </c>
      <c r="H7" s="401" t="e">
        <f>SUM(C7/$C$75)</f>
        <v>#REF!</v>
      </c>
      <c r="I7" s="2137" t="e">
        <f>F7/C7</f>
        <v>#REF!</v>
      </c>
      <c r="J7" s="2137">
        <f>G7/E7</f>
        <v>2.5650453027243483</v>
      </c>
      <c r="K7" s="2438">
        <v>4433.1048366249788</v>
      </c>
      <c r="L7" s="354" t="s">
        <v>241</v>
      </c>
      <c r="M7" s="2437">
        <v>375811.34933203331</v>
      </c>
      <c r="N7" s="2437">
        <v>8055399.0096241124</v>
      </c>
      <c r="O7" s="2437">
        <v>3424.3634293505288</v>
      </c>
      <c r="P7" s="2359" t="e">
        <f>C7/M7</f>
        <v>#REF!</v>
      </c>
      <c r="Q7" s="2360" t="e">
        <f>C7/N7</f>
        <v>#REF!</v>
      </c>
      <c r="R7" s="2360" t="e">
        <f>C7/O7</f>
        <v>#REF!</v>
      </c>
      <c r="S7" s="2357"/>
      <c r="T7" s="2357"/>
      <c r="U7" s="2357"/>
      <c r="V7" s="2357"/>
      <c r="W7" s="2357">
        <f t="shared" si="0"/>
        <v>38670.987846266231</v>
      </c>
      <c r="X7" s="2357">
        <f t="shared" si="1"/>
        <v>828900.55809032114</v>
      </c>
      <c r="Y7" s="2359" t="e">
        <f>+C7/W7</f>
        <v>#REF!</v>
      </c>
      <c r="Z7" s="2361" t="e">
        <f>+C7/X7</f>
        <v>#REF!</v>
      </c>
    </row>
    <row r="8" spans="2:29" s="2060" customFormat="1" ht="19.5" customHeight="1" x14ac:dyDescent="0.2">
      <c r="B8" s="2202" t="s">
        <v>234</v>
      </c>
      <c r="C8" s="2200" t="e">
        <f>'SCG Table A'!#REF!</f>
        <v>#REF!</v>
      </c>
      <c r="D8" s="331">
        <v>0</v>
      </c>
      <c r="E8" s="331">
        <v>2123695</v>
      </c>
      <c r="F8" s="331">
        <v>2366844.6790111652</v>
      </c>
      <c r="G8" s="331">
        <v>5294745.5862047179</v>
      </c>
      <c r="H8" s="332" t="e">
        <f>SUM(C8/$C$76)</f>
        <v>#REF!</v>
      </c>
      <c r="I8" s="333" t="e">
        <f>F8/C8</f>
        <v>#REF!</v>
      </c>
      <c r="J8" s="333">
        <f>G8/E8</f>
        <v>2.4931760851745275</v>
      </c>
      <c r="K8" s="2438">
        <v>1685.5472674238695</v>
      </c>
      <c r="L8" s="2337" t="s">
        <v>241</v>
      </c>
      <c r="M8" s="2437">
        <v>178481.71849476462</v>
      </c>
      <c r="N8" s="2437">
        <v>3901346.6427920158</v>
      </c>
      <c r="O8" s="2437">
        <v>1642.575739723904</v>
      </c>
      <c r="P8" s="2057" t="e">
        <f>C8/M8</f>
        <v>#REF!</v>
      </c>
      <c r="Q8" s="2329" t="e">
        <f>C8/N8</f>
        <v>#REF!</v>
      </c>
      <c r="R8" s="2329" t="e">
        <f t="shared" ref="R8:R28" si="2">C8/O8</f>
        <v>#REF!</v>
      </c>
      <c r="S8" s="2055"/>
      <c r="T8" s="2055"/>
      <c r="U8" s="2055"/>
      <c r="V8" s="2055"/>
      <c r="W8" s="2055">
        <f t="shared" si="0"/>
        <v>18365.768833111277</v>
      </c>
      <c r="X8" s="2055">
        <f t="shared" si="1"/>
        <v>401448.56954329839</v>
      </c>
      <c r="Y8" s="2057" t="e">
        <f>+C8/W8</f>
        <v>#REF!</v>
      </c>
      <c r="Z8" s="2362" t="e">
        <f>+C8/X8</f>
        <v>#REF!</v>
      </c>
    </row>
    <row r="9" spans="2:29" ht="17.25" customHeight="1" x14ac:dyDescent="0.25">
      <c r="B9" s="2363" t="s">
        <v>235</v>
      </c>
      <c r="C9" s="2330" t="e">
        <f>SUM(C6:C8)</f>
        <v>#REF!</v>
      </c>
      <c r="D9" s="2330" t="e">
        <f>SUM(D6:D8)</f>
        <v>#REF!</v>
      </c>
      <c r="E9" s="2330">
        <f>SUM(E6:E8)</f>
        <v>6422862</v>
      </c>
      <c r="F9" s="2330">
        <f>SUM(F6:F8)</f>
        <v>7275979.3905147444</v>
      </c>
      <c r="G9" s="2330">
        <f>SUM(G6:G8)</f>
        <v>16322303.705182247</v>
      </c>
      <c r="H9" s="2331" t="e">
        <f>SUM(C9/$C$77)</f>
        <v>#REF!</v>
      </c>
      <c r="I9" s="2332" t="e">
        <f>F9/C9</f>
        <v>#REF!</v>
      </c>
      <c r="J9" s="2332">
        <f>G9/E9</f>
        <v>2.5412820180757811</v>
      </c>
      <c r="K9" s="2439">
        <f>SUM(K6:K8)</f>
        <v>6118.6521040488478</v>
      </c>
      <c r="L9" s="2334" t="s">
        <v>241</v>
      </c>
      <c r="M9" s="2447">
        <f>SUM(M6:M8)</f>
        <v>554293.06782679795</v>
      </c>
      <c r="N9" s="2447">
        <f>SUM(N6:N8)</f>
        <v>11956745.652416129</v>
      </c>
      <c r="O9" s="2447">
        <f>SUM(O6:O8)</f>
        <v>5066.9391690744324</v>
      </c>
      <c r="P9" s="2336" t="e">
        <f>C9/M9</f>
        <v>#REF!</v>
      </c>
      <c r="Q9" s="2336" t="e">
        <f>C9/N9</f>
        <v>#REF!</v>
      </c>
      <c r="R9" s="2336" t="e">
        <f t="shared" si="2"/>
        <v>#REF!</v>
      </c>
      <c r="S9" s="2335">
        <f>SUM(S6:S8)</f>
        <v>0</v>
      </c>
      <c r="T9" s="2335">
        <f>SUM(T6:T8)</f>
        <v>0</v>
      </c>
      <c r="U9" s="2335"/>
      <c r="V9" s="2335"/>
      <c r="W9" s="2333">
        <f t="shared" si="0"/>
        <v>57036.756679377511</v>
      </c>
      <c r="X9" s="2333">
        <f t="shared" si="1"/>
        <v>1230349.1276336196</v>
      </c>
      <c r="Y9" s="2336" t="e">
        <f>+C9/W9</f>
        <v>#REF!</v>
      </c>
      <c r="Z9" s="2364" t="e">
        <f>+C9/X9</f>
        <v>#REF!</v>
      </c>
      <c r="AB9" s="704"/>
    </row>
    <row r="10" spans="2:29" s="284" customFormat="1" ht="15" hidden="1" x14ac:dyDescent="0.2">
      <c r="B10" s="330" t="s">
        <v>139</v>
      </c>
      <c r="C10" s="331"/>
      <c r="D10" s="331"/>
      <c r="E10" s="331"/>
      <c r="F10" s="331"/>
      <c r="G10" s="331"/>
      <c r="H10" s="332"/>
      <c r="I10" s="333"/>
      <c r="J10" s="333"/>
      <c r="K10" s="2438"/>
      <c r="L10" s="2337"/>
      <c r="M10" s="2438"/>
      <c r="N10" s="2438"/>
      <c r="O10" s="2438"/>
      <c r="P10" s="335"/>
      <c r="Q10" s="2338"/>
      <c r="R10" s="2338" t="e">
        <f t="shared" si="2"/>
        <v>#DIV/0!</v>
      </c>
      <c r="S10" s="804"/>
      <c r="T10" s="804"/>
      <c r="U10" s="804"/>
      <c r="V10" s="804"/>
      <c r="W10" s="804">
        <f t="shared" si="0"/>
        <v>0</v>
      </c>
      <c r="X10" s="804">
        <f t="shared" si="1"/>
        <v>0</v>
      </c>
      <c r="Y10" s="335" t="s">
        <v>3</v>
      </c>
      <c r="Z10" s="358" t="s">
        <v>3</v>
      </c>
      <c r="AA10" s="393"/>
      <c r="AB10" s="797"/>
    </row>
    <row r="11" spans="2:29" s="2060" customFormat="1" ht="15" x14ac:dyDescent="0.2">
      <c r="B11" s="2202" t="s">
        <v>140</v>
      </c>
      <c r="C11" s="2052" t="e">
        <f>'CNG Table A'!#REF!</f>
        <v>#REF!</v>
      </c>
      <c r="D11" s="2052" t="e">
        <f>E11-C11</f>
        <v>#REF!</v>
      </c>
      <c r="E11" s="331">
        <v>4067071.5262183668</v>
      </c>
      <c r="F11" s="331">
        <v>4035378.1177577581</v>
      </c>
      <c r="G11" s="331">
        <v>9455465.611878166</v>
      </c>
      <c r="H11" s="332" t="e">
        <f>SUM(C11/$C$75)</f>
        <v>#REF!</v>
      </c>
      <c r="I11" s="333" t="e">
        <f>F11/C11</f>
        <v>#REF!</v>
      </c>
      <c r="J11" s="333">
        <f>G11/E11</f>
        <v>2.3248830395343503</v>
      </c>
      <c r="K11" s="2438">
        <v>3262.8211730899043</v>
      </c>
      <c r="L11" s="2337" t="s">
        <v>241</v>
      </c>
      <c r="M11" s="2437">
        <v>324300.88725698087</v>
      </c>
      <c r="N11" s="2437">
        <v>6466225.1001243312</v>
      </c>
      <c r="O11" s="2437">
        <v>3008.1722473496925</v>
      </c>
      <c r="P11" s="2057" t="e">
        <f>C11/M11</f>
        <v>#REF!</v>
      </c>
      <c r="Q11" s="2329" t="e">
        <f>C11/N11</f>
        <v>#REF!</v>
      </c>
      <c r="R11" s="2329" t="e">
        <f>C11/O11</f>
        <v>#REF!</v>
      </c>
      <c r="S11" s="2055">
        <v>0</v>
      </c>
      <c r="T11" s="2055">
        <v>0</v>
      </c>
      <c r="U11" s="2055">
        <v>0</v>
      </c>
      <c r="V11" s="2055">
        <v>0</v>
      </c>
      <c r="W11" s="2055">
        <f t="shared" si="0"/>
        <v>33370.561298743334</v>
      </c>
      <c r="X11" s="2055">
        <f t="shared" si="1"/>
        <v>665374.56280279369</v>
      </c>
      <c r="Y11" s="2057" t="e">
        <f>+C11/W11</f>
        <v>#REF!</v>
      </c>
      <c r="Z11" s="2362" t="e">
        <f>+C11/X11</f>
        <v>#REF!</v>
      </c>
      <c r="AA11" s="2072"/>
      <c r="AB11" s="2203"/>
      <c r="AC11" s="2072"/>
    </row>
    <row r="12" spans="2:29" s="2060" customFormat="1" ht="15" x14ac:dyDescent="0.2">
      <c r="B12" s="2202" t="s">
        <v>141</v>
      </c>
      <c r="C12" s="2052" t="e">
        <f>'SCG Table A'!#REF!</f>
        <v>#REF!</v>
      </c>
      <c r="D12" s="2052" t="e">
        <f>E12-C12</f>
        <v>#REF!</v>
      </c>
      <c r="E12" s="331">
        <v>2248874.1211480657</v>
      </c>
      <c r="F12" s="331">
        <v>2486674.7234154018</v>
      </c>
      <c r="G12" s="331">
        <v>5758549.978104461</v>
      </c>
      <c r="H12" s="332" t="e">
        <f>SUM(C12/$C$76)</f>
        <v>#REF!</v>
      </c>
      <c r="I12" s="333" t="e">
        <f>F12/C12</f>
        <v>#REF!</v>
      </c>
      <c r="J12" s="333">
        <f>G12/E12</f>
        <v>2.5606368644433872</v>
      </c>
      <c r="K12" s="2438">
        <v>1737.4774439383498</v>
      </c>
      <c r="L12" s="2337" t="s">
        <v>241</v>
      </c>
      <c r="M12" s="2437">
        <v>191210.2172333507</v>
      </c>
      <c r="N12" s="2437">
        <v>4045995.4317036574</v>
      </c>
      <c r="O12" s="2437">
        <v>1811.7955335843963</v>
      </c>
      <c r="P12" s="2057" t="e">
        <f>C12/M12</f>
        <v>#REF!</v>
      </c>
      <c r="Q12" s="2329" t="e">
        <f>C12/N12</f>
        <v>#REF!</v>
      </c>
      <c r="R12" s="2329" t="e">
        <f t="shared" si="2"/>
        <v>#REF!</v>
      </c>
      <c r="S12" s="2055" t="e">
        <v>#REF!</v>
      </c>
      <c r="T12" s="2055" t="e">
        <v>#REF!</v>
      </c>
      <c r="U12" s="2055"/>
      <c r="V12" s="2055"/>
      <c r="W12" s="2055" t="e">
        <f t="shared" si="0"/>
        <v>#REF!</v>
      </c>
      <c r="X12" s="2055" t="e">
        <f t="shared" si="1"/>
        <v>#REF!</v>
      </c>
      <c r="Y12" s="2057" t="e">
        <f>+C12/W12</f>
        <v>#REF!</v>
      </c>
      <c r="Z12" s="2362" t="e">
        <f>+C12/X12</f>
        <v>#REF!</v>
      </c>
      <c r="AA12" s="2072"/>
      <c r="AB12" s="2203"/>
      <c r="AC12" s="2072"/>
    </row>
    <row r="13" spans="2:29" ht="17.25" customHeight="1" x14ac:dyDescent="0.25">
      <c r="B13" s="2363" t="s">
        <v>146</v>
      </c>
      <c r="C13" s="2330" t="e">
        <f>SUM(C10:C12)</f>
        <v>#REF!</v>
      </c>
      <c r="D13" s="2330" t="e">
        <f>SUM(D10:D12)</f>
        <v>#REF!</v>
      </c>
      <c r="E13" s="2330">
        <f>SUM(E10:E12)</f>
        <v>6315945.6473664325</v>
      </c>
      <c r="F13" s="2330">
        <f>SUM(F10:F12)</f>
        <v>6522052.8411731599</v>
      </c>
      <c r="G13" s="2330">
        <f>SUM(G10:G12)</f>
        <v>15214015.589982627</v>
      </c>
      <c r="H13" s="2331" t="e">
        <f>SUM(C13/$C$77)</f>
        <v>#REF!</v>
      </c>
      <c r="I13" s="2332" t="e">
        <f>F13/C13</f>
        <v>#REF!</v>
      </c>
      <c r="J13" s="2332">
        <f>G13/E13</f>
        <v>2.40882623749722</v>
      </c>
      <c r="K13" s="2439">
        <f>SUM(K10:K12)</f>
        <v>5000.2986170282538</v>
      </c>
      <c r="L13" s="2334" t="s">
        <v>241</v>
      </c>
      <c r="M13" s="2447">
        <f>SUM(M10:M12)</f>
        <v>515511.10449033161</v>
      </c>
      <c r="N13" s="2447">
        <f>SUM(N10:N12)</f>
        <v>10512220.531827988</v>
      </c>
      <c r="O13" s="2447">
        <f>SUM(O10:O12)</f>
        <v>4819.9677809340883</v>
      </c>
      <c r="P13" s="2336" t="e">
        <f>C13/M13</f>
        <v>#REF!</v>
      </c>
      <c r="Q13" s="2339" t="e">
        <f>C13/N13</f>
        <v>#REF!</v>
      </c>
      <c r="R13" s="2339" t="e">
        <f t="shared" si="2"/>
        <v>#REF!</v>
      </c>
      <c r="S13" s="2335" t="e">
        <f>SUM(S10:S12)</f>
        <v>#REF!</v>
      </c>
      <c r="T13" s="2335" t="e">
        <f>SUM(T10:T12)</f>
        <v>#REF!</v>
      </c>
      <c r="U13" s="2335">
        <f>SUM(U10:U12)</f>
        <v>0</v>
      </c>
      <c r="V13" s="2335">
        <f>SUM(V10:V12)</f>
        <v>0</v>
      </c>
      <c r="W13" s="2333" t="e">
        <f t="shared" si="0"/>
        <v>#REF!</v>
      </c>
      <c r="X13" s="2333" t="e">
        <f t="shared" si="1"/>
        <v>#REF!</v>
      </c>
      <c r="Y13" s="2336" t="e">
        <f>+C13/W13</f>
        <v>#REF!</v>
      </c>
      <c r="Z13" s="2365" t="e">
        <f>+C13/X13</f>
        <v>#REF!</v>
      </c>
    </row>
    <row r="14" spans="2:29" s="284" customFormat="1" ht="15.75" hidden="1" customHeight="1" x14ac:dyDescent="0.2">
      <c r="B14" s="330" t="s">
        <v>169</v>
      </c>
      <c r="C14" s="331"/>
      <c r="D14" s="331"/>
      <c r="E14" s="331"/>
      <c r="F14" s="331"/>
      <c r="G14" s="331"/>
      <c r="H14" s="332"/>
      <c r="I14" s="333"/>
      <c r="J14" s="333"/>
      <c r="K14" s="2438"/>
      <c r="L14" s="2337"/>
      <c r="M14" s="2438"/>
      <c r="N14" s="2438"/>
      <c r="O14" s="2438"/>
      <c r="P14" s="335"/>
      <c r="Q14" s="2338"/>
      <c r="R14" s="2338" t="e">
        <f t="shared" si="2"/>
        <v>#DIV/0!</v>
      </c>
      <c r="S14" s="804"/>
      <c r="T14" s="804"/>
      <c r="U14" s="804"/>
      <c r="V14" s="804"/>
      <c r="W14" s="804">
        <f t="shared" si="0"/>
        <v>0</v>
      </c>
      <c r="X14" s="804">
        <f t="shared" si="1"/>
        <v>0</v>
      </c>
      <c r="Y14" s="335" t="s">
        <v>3</v>
      </c>
      <c r="Z14" s="358" t="s">
        <v>3</v>
      </c>
    </row>
    <row r="15" spans="2:29" s="284" customFormat="1" ht="30" x14ac:dyDescent="0.2">
      <c r="B15" s="2073" t="s">
        <v>597</v>
      </c>
      <c r="C15" s="2052" t="e">
        <f>'CNG Table A'!#REF!</f>
        <v>#REF!</v>
      </c>
      <c r="D15" s="2052" t="e">
        <f>E15-C15</f>
        <v>#REF!</v>
      </c>
      <c r="E15" s="331">
        <v>4427465.0656888392</v>
      </c>
      <c r="F15" s="331">
        <v>3131064.2402582578</v>
      </c>
      <c r="G15" s="331">
        <v>8632892.288698649</v>
      </c>
      <c r="H15" s="331">
        <v>3819557.4789911304</v>
      </c>
      <c r="I15" s="333" t="e">
        <f>F15/C15</f>
        <v>#REF!</v>
      </c>
      <c r="J15" s="333">
        <f>G15/E15</f>
        <v>1.9498498939269475</v>
      </c>
      <c r="K15" s="2438">
        <v>3166.749289994324</v>
      </c>
      <c r="L15" s="2337" t="s">
        <v>572</v>
      </c>
      <c r="M15" s="2437">
        <v>249894.99745324589</v>
      </c>
      <c r="N15" s="2437">
        <v>4993711.4033879638</v>
      </c>
      <c r="O15" s="2437">
        <v>2387.4148348613353</v>
      </c>
      <c r="P15" s="2057" t="e">
        <f t="shared" ref="P15:P23" si="3">C15/M15</f>
        <v>#REF!</v>
      </c>
      <c r="Q15" s="2329" t="e">
        <f t="shared" ref="Q15:Q23" si="4">C15/N15</f>
        <v>#REF!</v>
      </c>
      <c r="R15" s="2329" t="e">
        <f t="shared" si="2"/>
        <v>#REF!</v>
      </c>
      <c r="S15" s="804"/>
      <c r="T15" s="804"/>
      <c r="U15" s="804"/>
      <c r="V15" s="804"/>
      <c r="W15" s="2055">
        <f t="shared" si="0"/>
        <v>25714.195237939002</v>
      </c>
      <c r="X15" s="2055">
        <f t="shared" si="1"/>
        <v>513852.90340862144</v>
      </c>
      <c r="Y15" s="2057" t="e">
        <f t="shared" ref="Y15:Y20" si="5">+C15/W15</f>
        <v>#REF!</v>
      </c>
      <c r="Z15" s="2362" t="e">
        <f>+C15/X15</f>
        <v>#REF!</v>
      </c>
    </row>
    <row r="16" spans="2:29" s="284" customFormat="1" ht="30" x14ac:dyDescent="0.2">
      <c r="B16" s="2073" t="s">
        <v>598</v>
      </c>
      <c r="C16" s="2052" t="e">
        <f>'SCG Table A'!#REF!</f>
        <v>#REF!</v>
      </c>
      <c r="D16" s="2052" t="e">
        <f>E16-C16</f>
        <v>#REF!</v>
      </c>
      <c r="E16" s="331">
        <v>2517873.7068453501</v>
      </c>
      <c r="F16" s="331">
        <v>2090045.960159668</v>
      </c>
      <c r="G16" s="331">
        <v>5767696.1143697212</v>
      </c>
      <c r="H16" s="331">
        <v>3819557.4789911304</v>
      </c>
      <c r="I16" s="333" t="e">
        <f>F16/C16</f>
        <v>#REF!</v>
      </c>
      <c r="J16" s="333">
        <f>G16/E16</f>
        <v>2.2907011176490188</v>
      </c>
      <c r="K16" s="2438">
        <v>2090.2699500151152</v>
      </c>
      <c r="L16" s="2337" t="s">
        <v>572</v>
      </c>
      <c r="M16" s="2437">
        <v>166926.5024870804</v>
      </c>
      <c r="N16" s="2437">
        <v>3338530.0497416081</v>
      </c>
      <c r="O16" s="2437">
        <v>1505.8956580809204</v>
      </c>
      <c r="P16" s="2057" t="e">
        <f t="shared" si="3"/>
        <v>#REF!</v>
      </c>
      <c r="Q16" s="2329" t="e">
        <f t="shared" si="4"/>
        <v>#REF!</v>
      </c>
      <c r="R16" s="2329" t="e">
        <f t="shared" si="2"/>
        <v>#REF!</v>
      </c>
      <c r="S16" s="804"/>
      <c r="T16" s="804"/>
      <c r="U16" s="804"/>
      <c r="V16" s="804"/>
      <c r="W16" s="2055">
        <f t="shared" si="0"/>
        <v>17176.737105920573</v>
      </c>
      <c r="X16" s="2055">
        <f t="shared" si="1"/>
        <v>343534.74211841152</v>
      </c>
      <c r="Y16" s="2057" t="e">
        <f t="shared" si="5"/>
        <v>#REF!</v>
      </c>
      <c r="Z16" s="2362" t="e">
        <f>+C16/X16</f>
        <v>#REF!</v>
      </c>
    </row>
    <row r="17" spans="2:27" s="284" customFormat="1" ht="15.75" customHeight="1" x14ac:dyDescent="0.25">
      <c r="B17" s="2366" t="s">
        <v>599</v>
      </c>
      <c r="C17" s="2330" t="e">
        <f>SUM(C14:C16)</f>
        <v>#REF!</v>
      </c>
      <c r="D17" s="2330" t="e">
        <f>SUM(D14:D16)</f>
        <v>#REF!</v>
      </c>
      <c r="E17" s="2330">
        <f>SUM(E14:E16)</f>
        <v>6945338.7725341897</v>
      </c>
      <c r="F17" s="2330">
        <f>SUM(F14:F16)</f>
        <v>5221110.2004179256</v>
      </c>
      <c r="G17" s="2330">
        <f>SUM(G14:G16)</f>
        <v>14400588.403068371</v>
      </c>
      <c r="H17" s="2331" t="e">
        <f>SUM(C17/$C$77)</f>
        <v>#REF!</v>
      </c>
      <c r="I17" s="2332" t="e">
        <f t="shared" ref="I17:I23" si="6">F17/C17</f>
        <v>#REF!</v>
      </c>
      <c r="J17" s="2332">
        <f t="shared" ref="J17:J23" si="7">G17/E17</f>
        <v>2.0734177085812528</v>
      </c>
      <c r="K17" s="2439">
        <f>SUM(K14:K16)</f>
        <v>5257.0192400094393</v>
      </c>
      <c r="L17" s="2334" t="s">
        <v>572</v>
      </c>
      <c r="M17" s="2447">
        <f>SUM(M14:M16)</f>
        <v>416821.49994032632</v>
      </c>
      <c r="N17" s="2447">
        <f>SUM(N14:N16)</f>
        <v>8332241.4531295719</v>
      </c>
      <c r="O17" s="2447">
        <f>SUM(O14:O16)</f>
        <v>3893.3104929422557</v>
      </c>
      <c r="P17" s="2336" t="e">
        <f t="shared" si="3"/>
        <v>#REF!</v>
      </c>
      <c r="Q17" s="2339" t="e">
        <f t="shared" si="4"/>
        <v>#REF!</v>
      </c>
      <c r="R17" s="2339" t="e">
        <f t="shared" si="2"/>
        <v>#REF!</v>
      </c>
      <c r="S17" s="2335">
        <f>SUM(S14:S16)</f>
        <v>0</v>
      </c>
      <c r="T17" s="2335">
        <f>SUM(T14:T16)</f>
        <v>0</v>
      </c>
      <c r="U17" s="2335">
        <f>SUM(U14:U16)</f>
        <v>0</v>
      </c>
      <c r="V17" s="2335">
        <f>SUM(V14:V16)</f>
        <v>0</v>
      </c>
      <c r="W17" s="2333">
        <f t="shared" si="0"/>
        <v>42890.932343859582</v>
      </c>
      <c r="X17" s="2333">
        <f t="shared" si="1"/>
        <v>857387.6455270329</v>
      </c>
      <c r="Y17" s="2336" t="e">
        <f t="shared" si="5"/>
        <v>#REF!</v>
      </c>
      <c r="Z17" s="2365" t="e">
        <f>+C17/X17</f>
        <v>#REF!</v>
      </c>
    </row>
    <row r="18" spans="2:27" s="284" customFormat="1" ht="15" x14ac:dyDescent="0.2">
      <c r="B18" s="2073" t="s">
        <v>609</v>
      </c>
      <c r="C18" s="2052" t="e">
        <f>'CNG Table A'!#REF!</f>
        <v>#REF!</v>
      </c>
      <c r="D18" s="2340" t="e">
        <f>E18-C18</f>
        <v>#REF!</v>
      </c>
      <c r="E18" s="331">
        <v>157486</v>
      </c>
      <c r="F18" s="331">
        <v>303130.72359697788</v>
      </c>
      <c r="G18" s="331">
        <v>303130.72359697788</v>
      </c>
      <c r="H18" s="1115" t="e">
        <f>SUM(C18/$C$75)</f>
        <v>#REF!</v>
      </c>
      <c r="I18" s="1922" t="e">
        <f>F18/C18</f>
        <v>#REF!</v>
      </c>
      <c r="J18" s="333">
        <f>G18/E18</f>
        <v>1.9248106091778183</v>
      </c>
      <c r="K18" s="2438">
        <v>46357</v>
      </c>
      <c r="L18" s="1923" t="s">
        <v>242</v>
      </c>
      <c r="M18" s="2437">
        <v>123226.12922860001</v>
      </c>
      <c r="N18" s="2437">
        <v>309297.58436378604</v>
      </c>
      <c r="O18" s="2437">
        <v>0</v>
      </c>
      <c r="P18" s="2341" t="e">
        <f>C18/M18</f>
        <v>#REF!</v>
      </c>
      <c r="Q18" s="2400" t="e">
        <f t="shared" si="4"/>
        <v>#REF!</v>
      </c>
      <c r="R18" s="2400"/>
      <c r="S18" s="2342">
        <v>0</v>
      </c>
      <c r="T18" s="2342">
        <v>0</v>
      </c>
      <c r="U18" s="2342">
        <v>0</v>
      </c>
      <c r="V18" s="2342">
        <v>0</v>
      </c>
      <c r="W18" s="1923">
        <f t="shared" si="0"/>
        <v>12679.96869762294</v>
      </c>
      <c r="X18" s="1923">
        <f t="shared" si="1"/>
        <v>31826.721431033584</v>
      </c>
      <c r="Y18" s="1925" t="e">
        <f t="shared" si="5"/>
        <v>#REF!</v>
      </c>
      <c r="Z18" s="1989">
        <f>+E18/X18</f>
        <v>4.9482319547510363</v>
      </c>
    </row>
    <row r="19" spans="2:27" s="2060" customFormat="1" ht="15" x14ac:dyDescent="0.2">
      <c r="B19" s="693" t="s">
        <v>530</v>
      </c>
      <c r="C19" s="2343" t="e">
        <f>'SCG Table A'!#REF!</f>
        <v>#REF!</v>
      </c>
      <c r="D19" s="2340" t="e">
        <f>E19-C19</f>
        <v>#REF!</v>
      </c>
      <c r="E19" s="331">
        <v>0</v>
      </c>
      <c r="F19" s="331">
        <v>0</v>
      </c>
      <c r="G19" s="331">
        <v>0</v>
      </c>
      <c r="H19" s="1115" t="e">
        <f>SUM(C19/$C$76)</f>
        <v>#REF!</v>
      </c>
      <c r="I19" s="1922"/>
      <c r="J19" s="333"/>
      <c r="K19" s="2438">
        <v>0</v>
      </c>
      <c r="L19" s="1923" t="s">
        <v>242</v>
      </c>
      <c r="M19" s="2437">
        <v>0</v>
      </c>
      <c r="N19" s="2437">
        <v>0</v>
      </c>
      <c r="O19" s="2437">
        <v>0</v>
      </c>
      <c r="P19" s="2341"/>
      <c r="Q19" s="2400"/>
      <c r="R19" s="2400"/>
      <c r="S19" s="2342">
        <v>0</v>
      </c>
      <c r="T19" s="2342">
        <v>0</v>
      </c>
      <c r="U19" s="2342">
        <v>0</v>
      </c>
      <c r="V19" s="2342">
        <v>0</v>
      </c>
      <c r="W19" s="1923"/>
      <c r="X19" s="1923"/>
      <c r="Y19" s="1925"/>
      <c r="Z19" s="1989"/>
    </row>
    <row r="20" spans="2:27" s="284" customFormat="1" ht="15.75" x14ac:dyDescent="0.25">
      <c r="B20" s="2366" t="s">
        <v>610</v>
      </c>
      <c r="C20" s="2330" t="e">
        <f>SUM(C18:C19)</f>
        <v>#REF!</v>
      </c>
      <c r="D20" s="2330" t="e">
        <f>SUM(D18:D19)</f>
        <v>#REF!</v>
      </c>
      <c r="E20" s="2330">
        <f>SUM(E18:E19)</f>
        <v>157486</v>
      </c>
      <c r="F20" s="2330">
        <f>SUM(F18:F19)</f>
        <v>303130.72359697788</v>
      </c>
      <c r="G20" s="2330">
        <f>SUM(G18:G19)</f>
        <v>303130.72359697788</v>
      </c>
      <c r="H20" s="2331" t="e">
        <f>SUM(C20/$C$77)</f>
        <v>#REF!</v>
      </c>
      <c r="I20" s="2332"/>
      <c r="J20" s="2332"/>
      <c r="K20" s="2439">
        <f>SUM(K18:K19)</f>
        <v>46357</v>
      </c>
      <c r="L20" s="2334"/>
      <c r="M20" s="2447">
        <f>SUM(M18:M19)</f>
        <v>123226.12922860001</v>
      </c>
      <c r="N20" s="2447">
        <f>SUM(N18:N19)</f>
        <v>309297.58436378604</v>
      </c>
      <c r="O20" s="2447">
        <f>SUM(O18:O19)</f>
        <v>0</v>
      </c>
      <c r="P20" s="2336" t="e">
        <f t="shared" si="3"/>
        <v>#REF!</v>
      </c>
      <c r="Q20" s="2339" t="e">
        <f t="shared" si="4"/>
        <v>#REF!</v>
      </c>
      <c r="R20" s="2339"/>
      <c r="S20" s="2335">
        <f>SUM(S18:S19)</f>
        <v>0</v>
      </c>
      <c r="T20" s="2335">
        <f>SUM(T18:T19)</f>
        <v>0</v>
      </c>
      <c r="U20" s="2335">
        <f>SUM(U18:U19)</f>
        <v>0</v>
      </c>
      <c r="V20" s="2335">
        <f>SUM(V18:V19)</f>
        <v>0</v>
      </c>
      <c r="W20" s="2333">
        <f t="shared" si="0"/>
        <v>12679.96869762294</v>
      </c>
      <c r="X20" s="2333">
        <f t="shared" si="1"/>
        <v>31826.721431033584</v>
      </c>
      <c r="Y20" s="2336" t="e">
        <f t="shared" si="5"/>
        <v>#REF!</v>
      </c>
      <c r="Z20" s="2365" t="e">
        <f>+C20/X20</f>
        <v>#REF!</v>
      </c>
    </row>
    <row r="21" spans="2:27" s="2060" customFormat="1" ht="15.75" customHeight="1" x14ac:dyDescent="0.2">
      <c r="B21" s="2202" t="s">
        <v>170</v>
      </c>
      <c r="C21" s="2052" t="e">
        <f>'CNG Table A'!#REF!</f>
        <v>#REF!</v>
      </c>
      <c r="D21" s="2052" t="e">
        <f>E21-C21</f>
        <v>#REF!</v>
      </c>
      <c r="E21" s="331">
        <v>1733766</v>
      </c>
      <c r="F21" s="331">
        <v>2030708.9652998657</v>
      </c>
      <c r="G21" s="331">
        <v>2030708.9652998657</v>
      </c>
      <c r="H21" s="332" t="e">
        <f>SUM(C21/$C$75)</f>
        <v>#REF!</v>
      </c>
      <c r="I21" s="333" t="e">
        <f t="shared" si="6"/>
        <v>#REF!</v>
      </c>
      <c r="J21" s="333">
        <f t="shared" si="7"/>
        <v>1.171270497460364</v>
      </c>
      <c r="K21" s="2438">
        <v>435.09675795268578</v>
      </c>
      <c r="L21" s="2337" t="s">
        <v>241</v>
      </c>
      <c r="M21" s="2437">
        <v>146359.23098065061</v>
      </c>
      <c r="N21" s="2437">
        <v>3386445.6534416969</v>
      </c>
      <c r="O21" s="2437">
        <v>1408.1007428407936</v>
      </c>
      <c r="P21" s="2057" t="e">
        <f t="shared" si="3"/>
        <v>#REF!</v>
      </c>
      <c r="Q21" s="2329" t="e">
        <f t="shared" si="4"/>
        <v>#REF!</v>
      </c>
      <c r="R21" s="2329" t="e">
        <f t="shared" si="2"/>
        <v>#REF!</v>
      </c>
      <c r="S21" s="2055"/>
      <c r="T21" s="2055"/>
      <c r="U21" s="2055"/>
      <c r="V21" s="2055"/>
      <c r="W21" s="2055">
        <f t="shared" si="0"/>
        <v>15060.364867908947</v>
      </c>
      <c r="X21" s="2055">
        <f t="shared" si="1"/>
        <v>348465.25773915066</v>
      </c>
      <c r="Y21" s="2057" t="e">
        <f t="shared" ref="Y21:Y28" si="8">+C21/W21</f>
        <v>#REF!</v>
      </c>
      <c r="Z21" s="2362" t="e">
        <f t="shared" ref="Z21:Z28" si="9">+C21/X21</f>
        <v>#REF!</v>
      </c>
    </row>
    <row r="22" spans="2:27" s="2060" customFormat="1" ht="15.75" customHeight="1" x14ac:dyDescent="0.2">
      <c r="B22" s="2202" t="s">
        <v>171</v>
      </c>
      <c r="C22" s="2052" t="e">
        <f>'SCG Table A'!#REF!</f>
        <v>#REF!</v>
      </c>
      <c r="D22" s="2052" t="e">
        <f>E22-C22</f>
        <v>#REF!</v>
      </c>
      <c r="E22" s="331">
        <v>1248992</v>
      </c>
      <c r="F22" s="331">
        <v>943569.76788111881</v>
      </c>
      <c r="G22" s="331">
        <v>943569.76788111869</v>
      </c>
      <c r="H22" s="332" t="e">
        <f>SUM(C22/$C$76)</f>
        <v>#REF!</v>
      </c>
      <c r="I22" s="333" t="e">
        <f t="shared" si="6"/>
        <v>#REF!</v>
      </c>
      <c r="J22" s="333">
        <f t="shared" si="7"/>
        <v>0.75546502129806969</v>
      </c>
      <c r="K22" s="2438">
        <v>304.70120885215579</v>
      </c>
      <c r="L22" s="2337" t="s">
        <v>241</v>
      </c>
      <c r="M22" s="2437">
        <v>68005.877732104709</v>
      </c>
      <c r="N22" s="2437">
        <v>1612556.4996797577</v>
      </c>
      <c r="O22" s="2437">
        <v>654.27459758091129</v>
      </c>
      <c r="P22" s="2057" t="e">
        <f t="shared" si="3"/>
        <v>#REF!</v>
      </c>
      <c r="Q22" s="2329" t="e">
        <f t="shared" si="4"/>
        <v>#REF!</v>
      </c>
      <c r="R22" s="2329" t="e">
        <f t="shared" si="2"/>
        <v>#REF!</v>
      </c>
      <c r="S22" s="2055"/>
      <c r="T22" s="2055"/>
      <c r="U22" s="2055"/>
      <c r="V22" s="2055"/>
      <c r="W22" s="2055">
        <f t="shared" si="0"/>
        <v>6997.8048186335745</v>
      </c>
      <c r="X22" s="2055">
        <f t="shared" si="1"/>
        <v>165932.06381704705</v>
      </c>
      <c r="Y22" s="2057" t="e">
        <f t="shared" si="8"/>
        <v>#REF!</v>
      </c>
      <c r="Z22" s="2362" t="e">
        <f t="shared" si="9"/>
        <v>#REF!</v>
      </c>
    </row>
    <row r="23" spans="2:27" ht="17.25" customHeight="1" x14ac:dyDescent="0.25">
      <c r="B23" s="2363" t="s">
        <v>204</v>
      </c>
      <c r="C23" s="2330" t="e">
        <f>SUM(C21:C22)</f>
        <v>#REF!</v>
      </c>
      <c r="D23" s="2330" t="e">
        <f>SUM(D21:D22)</f>
        <v>#REF!</v>
      </c>
      <c r="E23" s="2330">
        <f>SUM(E21:E22)</f>
        <v>2982758</v>
      </c>
      <c r="F23" s="2330">
        <f>SUM(F21:F22)</f>
        <v>2974278.7331809844</v>
      </c>
      <c r="G23" s="2330">
        <f>SUM(G21:G22)</f>
        <v>2974278.7331809844</v>
      </c>
      <c r="H23" s="2331" t="e">
        <f>SUM(C23/$C$77)</f>
        <v>#REF!</v>
      </c>
      <c r="I23" s="2332" t="e">
        <f t="shared" si="6"/>
        <v>#REF!</v>
      </c>
      <c r="J23" s="2332">
        <f t="shared" si="7"/>
        <v>0.99715723943443768</v>
      </c>
      <c r="K23" s="2439">
        <f>SUM(K21:K22)</f>
        <v>739.79796680484151</v>
      </c>
      <c r="L23" s="2334" t="s">
        <v>241</v>
      </c>
      <c r="M23" s="2447">
        <f>SUM(M21:M22)</f>
        <v>214365.10871275532</v>
      </c>
      <c r="N23" s="2447">
        <f>SUM(N21:N22)</f>
        <v>4999002.1531214546</v>
      </c>
      <c r="O23" s="2447">
        <f>SUM(O21:O22)</f>
        <v>2062.375340421705</v>
      </c>
      <c r="P23" s="2336" t="e">
        <f t="shared" si="3"/>
        <v>#REF!</v>
      </c>
      <c r="Q23" s="2339" t="e">
        <f t="shared" si="4"/>
        <v>#REF!</v>
      </c>
      <c r="R23" s="2339" t="e">
        <f t="shared" si="2"/>
        <v>#REF!</v>
      </c>
      <c r="S23" s="2344">
        <f>SUM(S14:S22)</f>
        <v>0</v>
      </c>
      <c r="T23" s="2344">
        <f>SUM(T14:T22)</f>
        <v>0</v>
      </c>
      <c r="U23" s="2344">
        <f>SUM(U14:U22)</f>
        <v>0</v>
      </c>
      <c r="V23" s="2344">
        <f>SUM(V14:V22)</f>
        <v>0</v>
      </c>
      <c r="W23" s="2333">
        <f t="shared" si="0"/>
        <v>22058.169686542522</v>
      </c>
      <c r="X23" s="2333">
        <f t="shared" si="1"/>
        <v>514397.32155619771</v>
      </c>
      <c r="Y23" s="2345" t="e">
        <f t="shared" si="8"/>
        <v>#REF!</v>
      </c>
      <c r="Z23" s="2367" t="e">
        <f t="shared" si="9"/>
        <v>#REF!</v>
      </c>
    </row>
    <row r="24" spans="2:27" s="284" customFormat="1" ht="15.75" hidden="1" customHeight="1" x14ac:dyDescent="0.2">
      <c r="B24" s="330" t="s">
        <v>142</v>
      </c>
      <c r="C24" s="331"/>
      <c r="D24" s="331"/>
      <c r="E24" s="331"/>
      <c r="F24" s="331"/>
      <c r="G24" s="331"/>
      <c r="H24" s="332"/>
      <c r="I24" s="333"/>
      <c r="J24" s="333"/>
      <c r="K24" s="2438"/>
      <c r="L24" s="2337"/>
      <c r="M24" s="2438"/>
      <c r="N24" s="2438"/>
      <c r="O24" s="2438"/>
      <c r="P24" s="335"/>
      <c r="Q24" s="2338"/>
      <c r="R24" s="2338" t="e">
        <f t="shared" si="2"/>
        <v>#DIV/0!</v>
      </c>
      <c r="S24" s="2055"/>
      <c r="T24" s="2055"/>
      <c r="U24" s="2055"/>
      <c r="V24" s="2055"/>
      <c r="W24" s="804">
        <f t="shared" si="0"/>
        <v>0</v>
      </c>
      <c r="X24" s="804">
        <f t="shared" si="1"/>
        <v>0</v>
      </c>
      <c r="Y24" s="2078" t="s">
        <v>3</v>
      </c>
      <c r="Z24" s="2368" t="s">
        <v>3</v>
      </c>
    </row>
    <row r="25" spans="2:27" s="2060" customFormat="1" ht="16.5" hidden="1" customHeight="1" x14ac:dyDescent="0.2">
      <c r="B25" s="2202" t="s">
        <v>143</v>
      </c>
      <c r="C25" s="2052"/>
      <c r="D25" s="2052"/>
      <c r="E25" s="2052"/>
      <c r="F25" s="2052"/>
      <c r="G25" s="2052"/>
      <c r="H25" s="2053" t="e">
        <f>SUM(C25/$C$75)</f>
        <v>#REF!</v>
      </c>
      <c r="I25" s="2054" t="e">
        <f>F25/C25</f>
        <v>#DIV/0!</v>
      </c>
      <c r="J25" s="2054" t="e">
        <f>G25/E25</f>
        <v>#DIV/0!</v>
      </c>
      <c r="K25" s="2440"/>
      <c r="L25" s="2328" t="s">
        <v>242</v>
      </c>
      <c r="M25" s="2440"/>
      <c r="N25" s="2440"/>
      <c r="O25" s="2440"/>
      <c r="P25" s="2057" t="e">
        <f>C25/M25</f>
        <v>#DIV/0!</v>
      </c>
      <c r="Q25" s="2329" t="e">
        <f>C25/N25</f>
        <v>#DIV/0!</v>
      </c>
      <c r="R25" s="2329" t="e">
        <f t="shared" si="2"/>
        <v>#DIV/0!</v>
      </c>
      <c r="S25" s="2077"/>
      <c r="T25" s="2077"/>
      <c r="U25" s="2077"/>
      <c r="V25" s="2077"/>
      <c r="W25" s="2055">
        <f t="shared" si="0"/>
        <v>0</v>
      </c>
      <c r="X25" s="2055">
        <f t="shared" si="1"/>
        <v>0</v>
      </c>
      <c r="Y25" s="2078" t="e">
        <f t="shared" si="8"/>
        <v>#DIV/0!</v>
      </c>
      <c r="Z25" s="2368" t="e">
        <f t="shared" si="9"/>
        <v>#DIV/0!</v>
      </c>
    </row>
    <row r="26" spans="2:27" s="2060" customFormat="1" ht="15.75" hidden="1" customHeight="1" thickBot="1" x14ac:dyDescent="0.25">
      <c r="B26" s="2202" t="s">
        <v>144</v>
      </c>
      <c r="C26" s="2052" t="e">
        <f>'SCG Table A'!#REF!</f>
        <v>#REF!</v>
      </c>
      <c r="D26" s="2052" t="e">
        <f>E26-C26</f>
        <v>#REF!</v>
      </c>
      <c r="E26" s="2052"/>
      <c r="F26" s="2052"/>
      <c r="G26" s="2052"/>
      <c r="H26" s="2053" t="e">
        <f>SUM(C26/$C$76)</f>
        <v>#REF!</v>
      </c>
      <c r="I26" s="2054" t="e">
        <f>F26/C26</f>
        <v>#REF!</v>
      </c>
      <c r="J26" s="2054" t="e">
        <f>G26/E26</f>
        <v>#DIV/0!</v>
      </c>
      <c r="K26" s="2440"/>
      <c r="L26" s="2328" t="s">
        <v>242</v>
      </c>
      <c r="M26" s="2440"/>
      <c r="N26" s="2440"/>
      <c r="O26" s="2440"/>
      <c r="P26" s="2057" t="e">
        <f>C26/M26</f>
        <v>#REF!</v>
      </c>
      <c r="Q26" s="2329" t="e">
        <f>C26/N26</f>
        <v>#REF!</v>
      </c>
      <c r="R26" s="2329" t="e">
        <f t="shared" si="2"/>
        <v>#REF!</v>
      </c>
      <c r="S26" s="2077"/>
      <c r="T26" s="2077"/>
      <c r="U26" s="2077"/>
      <c r="V26" s="2077"/>
      <c r="W26" s="2055">
        <f t="shared" si="0"/>
        <v>0</v>
      </c>
      <c r="X26" s="2055">
        <f t="shared" si="1"/>
        <v>0</v>
      </c>
      <c r="Y26" s="2078" t="e">
        <f t="shared" si="8"/>
        <v>#REF!</v>
      </c>
      <c r="Z26" s="2368" t="e">
        <f t="shared" si="9"/>
        <v>#REF!</v>
      </c>
    </row>
    <row r="27" spans="2:27" ht="17.25" hidden="1" customHeight="1" thickBot="1" x14ac:dyDescent="0.3">
      <c r="B27" s="2363" t="s">
        <v>145</v>
      </c>
      <c r="C27" s="2330" t="e">
        <f>SUM(C24:C26)</f>
        <v>#REF!</v>
      </c>
      <c r="D27" s="2330" t="e">
        <f>SUM(D24:D26)</f>
        <v>#REF!</v>
      </c>
      <c r="E27" s="2330">
        <f>SUM(E24:E26)</f>
        <v>0</v>
      </c>
      <c r="F27" s="2330">
        <f>SUM(F24:F26)</f>
        <v>0</v>
      </c>
      <c r="G27" s="2330">
        <f>SUM(G24:G26)</f>
        <v>0</v>
      </c>
      <c r="H27" s="2331" t="e">
        <f>SUM(C27/$C$77)</f>
        <v>#REF!</v>
      </c>
      <c r="I27" s="2332" t="e">
        <f>F27/C27</f>
        <v>#REF!</v>
      </c>
      <c r="J27" s="2332" t="e">
        <f>G27/E27</f>
        <v>#DIV/0!</v>
      </c>
      <c r="K27" s="2439">
        <f>SUM(K24:K26)</f>
        <v>0</v>
      </c>
      <c r="L27" s="2346" t="s">
        <v>242</v>
      </c>
      <c r="M27" s="2447">
        <f>SUM(M24:M26)</f>
        <v>0</v>
      </c>
      <c r="N27" s="2447">
        <f>SUM(N24:N26)</f>
        <v>0</v>
      </c>
      <c r="O27" s="2447">
        <f>SUM(O24:O26)</f>
        <v>0</v>
      </c>
      <c r="P27" s="2336" t="e">
        <f>C27/M27</f>
        <v>#REF!</v>
      </c>
      <c r="Q27" s="2339" t="e">
        <f>C27/N27</f>
        <v>#REF!</v>
      </c>
      <c r="R27" s="2339" t="e">
        <f t="shared" si="2"/>
        <v>#REF!</v>
      </c>
      <c r="S27" s="2335">
        <f>SUM(S24:S26)</f>
        <v>0</v>
      </c>
      <c r="T27" s="2335">
        <f>SUM(T24:T26)</f>
        <v>0</v>
      </c>
      <c r="U27" s="2335">
        <f>SUM(U24:U26)</f>
        <v>0</v>
      </c>
      <c r="V27" s="2335">
        <f>SUM(V24:V26)</f>
        <v>0</v>
      </c>
      <c r="W27" s="2333">
        <f t="shared" si="0"/>
        <v>0</v>
      </c>
      <c r="X27" s="2333">
        <f t="shared" si="1"/>
        <v>0</v>
      </c>
      <c r="Y27" s="2336" t="e">
        <f t="shared" si="8"/>
        <v>#REF!</v>
      </c>
      <c r="Z27" s="2365" t="e">
        <f t="shared" si="9"/>
        <v>#REF!</v>
      </c>
    </row>
    <row r="28" spans="2:27" ht="32.25" thickBot="1" x14ac:dyDescent="0.3">
      <c r="B28" s="2369" t="s">
        <v>88</v>
      </c>
      <c r="C28" s="2370" t="e">
        <f>C9+C13+C17+C20+C23+C27</f>
        <v>#REF!</v>
      </c>
      <c r="D28" s="2370" t="e">
        <f>D9+D13+D17+D20+D23+D27</f>
        <v>#REF!</v>
      </c>
      <c r="E28" s="2370">
        <f>E9+E13+E17+E20+E23+E27</f>
        <v>22824390.419900622</v>
      </c>
      <c r="F28" s="2370">
        <f>F9+F13+F17+F20+F23+F27</f>
        <v>22296551.888883792</v>
      </c>
      <c r="G28" s="2370">
        <f>G9+G13+G17+G20+G23+G27</f>
        <v>49214317.155011207</v>
      </c>
      <c r="H28" s="2371" t="e">
        <f>SUM(C28/C77)</f>
        <v>#REF!</v>
      </c>
      <c r="I28" s="2372" t="e">
        <f>F28/C28</f>
        <v>#REF!</v>
      </c>
      <c r="J28" s="2372">
        <f>G28/E28</f>
        <v>2.156216058769358</v>
      </c>
      <c r="K28" s="2441">
        <f>K9+K13+K17+K20+K23+K27</f>
        <v>63472.767927891378</v>
      </c>
      <c r="L28" s="2374" t="s">
        <v>462</v>
      </c>
      <c r="M28" s="2448">
        <f>M9+M13+M17+M20+M23+M27</f>
        <v>1824216.9101988114</v>
      </c>
      <c r="N28" s="2448">
        <f>N9+N13+N17+N20+N23+N27</f>
        <v>36109507.374858931</v>
      </c>
      <c r="O28" s="2448">
        <f>O9+O13+O17+O20+O23+O27</f>
        <v>15842.592783372482</v>
      </c>
      <c r="P28" s="2376" t="e">
        <f>C28/M28</f>
        <v>#REF!</v>
      </c>
      <c r="Q28" s="2376" t="e">
        <f>C28/N28</f>
        <v>#REF!</v>
      </c>
      <c r="R28" s="2376" t="e">
        <f t="shared" si="2"/>
        <v>#REF!</v>
      </c>
      <c r="S28" s="2375" t="e">
        <f t="shared" ref="S28:X28" si="10">S9+S13+S17+S20+S23+S27</f>
        <v>#REF!</v>
      </c>
      <c r="T28" s="2375" t="e">
        <f t="shared" si="10"/>
        <v>#REF!</v>
      </c>
      <c r="U28" s="2375">
        <f t="shared" si="10"/>
        <v>0</v>
      </c>
      <c r="V28" s="2375">
        <f t="shared" si="10"/>
        <v>0</v>
      </c>
      <c r="W28" s="2375" t="e">
        <f t="shared" si="10"/>
        <v>#REF!</v>
      </c>
      <c r="X28" s="2375" t="e">
        <f t="shared" si="10"/>
        <v>#REF!</v>
      </c>
      <c r="Y28" s="2376" t="e">
        <f t="shared" si="8"/>
        <v>#REF!</v>
      </c>
      <c r="Z28" s="2377" t="e">
        <f t="shared" si="9"/>
        <v>#REF!</v>
      </c>
    </row>
    <row r="29" spans="2:27" ht="15.75" customHeight="1" x14ac:dyDescent="0.25">
      <c r="B29" s="2322"/>
      <c r="C29" s="2323"/>
      <c r="D29" s="2323"/>
      <c r="E29" s="2323"/>
      <c r="F29" s="2323"/>
      <c r="G29" s="2323"/>
      <c r="H29" s="2324"/>
      <c r="I29" s="2325"/>
      <c r="J29" s="2325"/>
      <c r="K29" s="2442"/>
      <c r="L29" s="2326"/>
      <c r="M29" s="2449"/>
      <c r="N29" s="2449"/>
      <c r="O29" s="2449"/>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443"/>
      <c r="L30" s="2159"/>
      <c r="M30" s="2443"/>
      <c r="N30" s="2443"/>
      <c r="O30" s="2443"/>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444"/>
      <c r="L31" s="2134"/>
      <c r="M31" s="2444"/>
      <c r="N31" s="2444"/>
      <c r="O31" s="2444"/>
      <c r="P31" s="341"/>
      <c r="Q31" s="336"/>
      <c r="R31" s="336"/>
      <c r="S31" s="336"/>
      <c r="T31" s="336"/>
      <c r="U31" s="336"/>
      <c r="V31" s="336"/>
      <c r="W31" s="2146" t="s">
        <v>3</v>
      </c>
      <c r="X31" s="2146" t="s">
        <v>3</v>
      </c>
      <c r="Y31" s="341" t="s">
        <v>3</v>
      </c>
      <c r="Z31" s="336" t="s">
        <v>3</v>
      </c>
    </row>
    <row r="32" spans="2:27" s="284" customFormat="1" ht="15" x14ac:dyDescent="0.2">
      <c r="B32" s="399" t="s">
        <v>125</v>
      </c>
      <c r="C32" s="351" t="e">
        <f>'CNG Table A'!#REF!</f>
        <v>#REF!</v>
      </c>
      <c r="D32" s="1108" t="e">
        <f>E32-C32</f>
        <v>#REF!</v>
      </c>
      <c r="E32" s="351">
        <v>7418929.0060836831</v>
      </c>
      <c r="F32" s="1108">
        <v>2967473.2544098711</v>
      </c>
      <c r="G32" s="351">
        <v>2967473.2544098706</v>
      </c>
      <c r="H32" s="401" t="e">
        <f>SUM(C32/$C$75)</f>
        <v>#REF!</v>
      </c>
      <c r="I32" s="2137" t="e">
        <f>F32/C32</f>
        <v>#REF!</v>
      </c>
      <c r="J32" s="2137">
        <f>G32/E32</f>
        <v>0.39998674363597198</v>
      </c>
      <c r="K32" s="2445">
        <v>231.38077777090803</v>
      </c>
      <c r="L32" s="354" t="s">
        <v>244</v>
      </c>
      <c r="M32" s="2445">
        <v>281433.75311723334</v>
      </c>
      <c r="N32" s="2445">
        <v>4415479.4884411609</v>
      </c>
      <c r="O32" s="2445">
        <v>3527.0761458619518</v>
      </c>
      <c r="P32" s="2120" t="e">
        <f>C32/M32</f>
        <v>#REF!</v>
      </c>
      <c r="Q32" s="2378" t="e">
        <f>C32/N32</f>
        <v>#REF!</v>
      </c>
      <c r="R32" s="2378" t="e">
        <f>C32/O32</f>
        <v>#REF!</v>
      </c>
      <c r="S32" s="2121"/>
      <c r="T32" s="2121"/>
      <c r="U32" s="2121"/>
      <c r="V32" s="2121"/>
      <c r="W32" s="2121">
        <f t="shared" ref="W32:X34" si="11">+(M32*102900+S32*138690+U32*91330)/10^6</f>
        <v>28959.53319576331</v>
      </c>
      <c r="X32" s="2121">
        <f t="shared" si="11"/>
        <v>454352.83936059545</v>
      </c>
      <c r="Y32" s="2120" t="e">
        <f>+C32/W32</f>
        <v>#REF!</v>
      </c>
      <c r="Z32" s="356" t="e">
        <f>+C32/X32</f>
        <v>#REF!</v>
      </c>
    </row>
    <row r="33" spans="2:30" s="284" customFormat="1" ht="15" x14ac:dyDescent="0.2">
      <c r="B33" s="381" t="s">
        <v>126</v>
      </c>
      <c r="C33" s="331" t="e">
        <f>'SCG Table A'!#REF!</f>
        <v>#REF!</v>
      </c>
      <c r="D33" s="874" t="e">
        <f>E33-C33</f>
        <v>#REF!</v>
      </c>
      <c r="E33" s="331">
        <v>3717289</v>
      </c>
      <c r="F33" s="874">
        <v>1561812.2371554014</v>
      </c>
      <c r="G33" s="331">
        <v>1561812.2371554016</v>
      </c>
      <c r="H33" s="332" t="e">
        <f>SUM(C33/$C$76)</f>
        <v>#REF!</v>
      </c>
      <c r="I33" s="333" t="e">
        <f>F33/C33</f>
        <v>#REF!</v>
      </c>
      <c r="J33" s="333">
        <f>G33/E33</f>
        <v>0.42014818787438951</v>
      </c>
      <c r="K33" s="2438">
        <v>93.78523148342093</v>
      </c>
      <c r="L33" s="2337" t="s">
        <v>244</v>
      </c>
      <c r="M33" s="2438">
        <v>147742.44718648461</v>
      </c>
      <c r="N33" s="2438">
        <v>2346690.068064352</v>
      </c>
      <c r="O33" s="2438">
        <v>1905.0467378543801</v>
      </c>
      <c r="P33" s="335" t="e">
        <f>C33/M33</f>
        <v>#REF!</v>
      </c>
      <c r="Q33" s="2338" t="e">
        <f>C33/N33</f>
        <v>#REF!</v>
      </c>
      <c r="R33" s="2338" t="e">
        <f>C33/O33</f>
        <v>#REF!</v>
      </c>
      <c r="S33" s="804"/>
      <c r="T33" s="804"/>
      <c r="U33" s="804"/>
      <c r="V33" s="804"/>
      <c r="W33" s="804">
        <f t="shared" si="11"/>
        <v>15202.697815489268</v>
      </c>
      <c r="X33" s="804">
        <f t="shared" si="11"/>
        <v>241474.40800382185</v>
      </c>
      <c r="Y33" s="335" t="e">
        <f>+C33/W33</f>
        <v>#REF!</v>
      </c>
      <c r="Z33" s="358" t="e">
        <f>+C33/X33</f>
        <v>#REF!</v>
      </c>
    </row>
    <row r="34" spans="2:30" ht="17.25" customHeight="1" thickBot="1" x14ac:dyDescent="0.3">
      <c r="B34" s="2369" t="s">
        <v>137</v>
      </c>
      <c r="C34" s="2379" t="e">
        <f>SUM(C31:C33)</f>
        <v>#REF!</v>
      </c>
      <c r="D34" s="2379" t="e">
        <f>SUM(D31:D33)</f>
        <v>#REF!</v>
      </c>
      <c r="E34" s="2379">
        <f>SUM(E31:E33)</f>
        <v>11136218.006083682</v>
      </c>
      <c r="F34" s="2379">
        <f>SUM(F31:F33)</f>
        <v>4529285.4915652722</v>
      </c>
      <c r="G34" s="2379">
        <f>SUM(G31:G33)</f>
        <v>4529285.4915652722</v>
      </c>
      <c r="H34" s="2380" t="e">
        <f>SUM(C34/$C$77)</f>
        <v>#REF!</v>
      </c>
      <c r="I34" s="2372" t="e">
        <f>F34/C34</f>
        <v>#REF!</v>
      </c>
      <c r="J34" s="2372">
        <f>G34/E34</f>
        <v>0.40671666889880725</v>
      </c>
      <c r="K34" s="2446">
        <f>+K31+K32+K33</f>
        <v>325.16600925432897</v>
      </c>
      <c r="L34" s="2379" t="s">
        <v>244</v>
      </c>
      <c r="M34" s="2448">
        <f>SUM(M31:M33)</f>
        <v>429176.20030371798</v>
      </c>
      <c r="N34" s="2448">
        <f>SUM(N31:N33)</f>
        <v>6762169.5565055124</v>
      </c>
      <c r="O34" s="2448">
        <f>SUM(O31:O33)</f>
        <v>5432.1228837163317</v>
      </c>
      <c r="P34" s="2382" t="e">
        <f>C34/M34</f>
        <v>#REF!</v>
      </c>
      <c r="Q34" s="2376" t="e">
        <f>C34/N34</f>
        <v>#REF!</v>
      </c>
      <c r="R34" s="2376" t="e">
        <f>C34/O34</f>
        <v>#REF!</v>
      </c>
      <c r="S34" s="2375">
        <f>SUM(S31:S33)</f>
        <v>0</v>
      </c>
      <c r="T34" s="2375">
        <f>SUM(T31:T33)</f>
        <v>0</v>
      </c>
      <c r="U34" s="2375">
        <f>SUM(U31:U33)</f>
        <v>0</v>
      </c>
      <c r="V34" s="2375">
        <f>SUM(V31:V33)</f>
        <v>0</v>
      </c>
      <c r="W34" s="2381">
        <f t="shared" si="11"/>
        <v>44162.231011252581</v>
      </c>
      <c r="X34" s="2381">
        <f t="shared" si="11"/>
        <v>695827.24736441718</v>
      </c>
      <c r="Y34" s="2382" t="e">
        <f>+C34/W34</f>
        <v>#REF!</v>
      </c>
      <c r="Z34" s="2377" t="e">
        <f>+C34/X34</f>
        <v>#REF!</v>
      </c>
    </row>
    <row r="35" spans="2:30" ht="15.75" customHeight="1" thickBot="1" x14ac:dyDescent="0.3">
      <c r="B35" s="2158" t="s">
        <v>132</v>
      </c>
      <c r="C35" s="2159"/>
      <c r="D35" s="2159"/>
      <c r="E35" s="2159"/>
      <c r="F35" s="2159"/>
      <c r="G35" s="2159"/>
      <c r="H35" s="2159"/>
      <c r="I35" s="2159"/>
      <c r="J35" s="2159"/>
      <c r="K35" s="2443"/>
      <c r="L35" s="2159"/>
      <c r="M35" s="2443"/>
      <c r="N35" s="2443"/>
      <c r="O35" s="2443"/>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444"/>
      <c r="L36" s="2134"/>
      <c r="M36" s="2444"/>
      <c r="N36" s="2444"/>
      <c r="O36" s="2444"/>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t="e">
        <f>'CNG Table A'!#REF!</f>
        <v>#REF!</v>
      </c>
      <c r="D37" s="1108" t="e">
        <f>E37-C37</f>
        <v>#REF!</v>
      </c>
      <c r="E37" s="351">
        <f>'Mar 16 2017 Summary Table B'!E37*('CNG Table C 2017'!$F$25/'Mar 16 CNG Table C 2017'!$F$25)</f>
        <v>3498961.2838735185</v>
      </c>
      <c r="F37" s="351">
        <f>'Mar 16 2017 Summary Table B'!F37*('CNG Table C 2017'!$F$25/'Mar 16 CNG Table C 2017'!$F$25)</f>
        <v>3045041.6539827245</v>
      </c>
      <c r="G37" s="351">
        <f>'Mar 16 2017 Summary Table B'!G37*('CNG Table C 2017'!$F$25/'Mar 16 CNG Table C 2017'!$F$25)</f>
        <v>3045041.6539827245</v>
      </c>
      <c r="H37" s="401" t="e">
        <f>SUM(C37/$C$75)</f>
        <v>#REF!</v>
      </c>
      <c r="I37" s="2137" t="e">
        <f>F37/C37</f>
        <v>#REF!</v>
      </c>
      <c r="J37" s="2137">
        <f>G37/E37</f>
        <v>0.87027017647126315</v>
      </c>
      <c r="K37" s="2445">
        <f>'Mar 16 2017 Summary Table B'!K37*('CNG Table C 2017'!$F$25/'Mar 16 CNG Table C 2017'!$F$25)</f>
        <v>46.77656596062748</v>
      </c>
      <c r="L37" s="354" t="s">
        <v>244</v>
      </c>
      <c r="M37" s="2445">
        <f>'Mar 16 2017 Summary Table B'!M37*('CNG Table C 2017'!$F$25/'Mar 16 CNG Table C 2017'!$F$25)</f>
        <v>401589.34380808473</v>
      </c>
      <c r="N37" s="2445">
        <f>'Mar 16 2017 Summary Table B'!N37*('CNG Table C 2017'!$F$25/'Mar 16 CNG Table C 2017'!$F$25)</f>
        <v>4411365.1742170686</v>
      </c>
      <c r="O37" s="2445">
        <f>'Mar 16 2017 Summary Table B'!O37*('CNG Table C 2017'!$F$25/'Mar 16 CNG Table C 2017'!$F$25)</f>
        <v>2749.8663739411568</v>
      </c>
      <c r="P37" s="2120" t="e">
        <f>C37/M37</f>
        <v>#REF!</v>
      </c>
      <c r="Q37" s="2378" t="e">
        <f>C37/N37</f>
        <v>#REF!</v>
      </c>
      <c r="R37" s="2378" t="e">
        <f t="shared" ref="R37:R48" si="12">C37/O37</f>
        <v>#REF!</v>
      </c>
      <c r="S37" s="2121"/>
      <c r="T37" s="2121"/>
      <c r="U37" s="2121"/>
      <c r="V37" s="2121"/>
      <c r="W37" s="2121">
        <f t="shared" ref="W37:W47" si="13">+(M37*102900+S37*138690+U37*91330)/10^6</f>
        <v>41323.543477851919</v>
      </c>
      <c r="X37" s="2121">
        <f t="shared" ref="X37:X47" si="14">+(N37*102900+T37*138690+V37*91330)/10^6</f>
        <v>453929.47642693634</v>
      </c>
      <c r="Y37" s="2120" t="e">
        <f>+C37/W37</f>
        <v>#REF!</v>
      </c>
      <c r="Z37" s="356" t="e">
        <f>+C37/X37</f>
        <v>#REF!</v>
      </c>
      <c r="AA37" s="295"/>
    </row>
    <row r="38" spans="2:30" s="284" customFormat="1" ht="15.75" customHeight="1" x14ac:dyDescent="0.2">
      <c r="B38" s="330" t="s">
        <v>130</v>
      </c>
      <c r="C38" s="331" t="e">
        <f>'SCG Table A'!#REF!</f>
        <v>#REF!</v>
      </c>
      <c r="D38" s="874" t="e">
        <f>E38-C38</f>
        <v>#REF!</v>
      </c>
      <c r="E38" s="331">
        <f>'10.1.15 2017 Summary Table B'!E38*('SCG Table C 2017'!$F$25/'10.1.15 SCG Table C 2017'!$F$25)</f>
        <v>2084422.5365507738</v>
      </c>
      <c r="F38" s="331">
        <f>'10.1.15 2017 Summary Table B'!F38*('SCG Table C 2017'!$F$25/'10.1.15 SCG Table C 2017'!$F$25)</f>
        <v>1829480.6209528823</v>
      </c>
      <c r="G38" s="331">
        <f>'10.1.15 2017 Summary Table B'!G38*('SCG Table C 2017'!$F$25/'10.1.15 SCG Table C 2017'!$F$25)</f>
        <v>1829480.6209528823</v>
      </c>
      <c r="H38" s="332" t="e">
        <f>SUM(C38/$C$76)</f>
        <v>#REF!</v>
      </c>
      <c r="I38" s="333" t="e">
        <f>F38/C38</f>
        <v>#REF!</v>
      </c>
      <c r="J38" s="333">
        <f>G38/E38</f>
        <v>0.87769182537252743</v>
      </c>
      <c r="K38" s="2438">
        <f>'10.1.15 2017 Summary Table B'!K38*('SCG Table C 2017'!$F$25/'10.1.15 SCG Table C 2017'!$F$25)</f>
        <v>28.103661842445764</v>
      </c>
      <c r="L38" s="2337" t="s">
        <v>244</v>
      </c>
      <c r="M38" s="2438">
        <f>'10.1.15 2017 Summary Table B'!M38*('SCG Table C 2017'!$F$25/'10.1.15 SCG Table C 2017'!$F$25)</f>
        <v>241277.4620396847</v>
      </c>
      <c r="N38" s="2438">
        <f>'10.1.15 2017 Summary Table B'!N38*('SCG Table C 2017'!$F$25/'10.1.15 SCG Table C 2017'!$F$25)</f>
        <v>2650376.584379673</v>
      </c>
      <c r="O38" s="2438">
        <f>'10.1.15 2017 Summary Table B'!O38*('SCG Table C 2017'!$F$25/'10.1.15 SCG Table C 2017'!$F$25)</f>
        <v>1652.1381989854801</v>
      </c>
      <c r="P38" s="335" t="e">
        <f>C38/M38</f>
        <v>#REF!</v>
      </c>
      <c r="Q38" s="2338" t="e">
        <f>C38/N38</f>
        <v>#REF!</v>
      </c>
      <c r="R38" s="2338" t="e">
        <f t="shared" si="12"/>
        <v>#REF!</v>
      </c>
      <c r="S38" s="804"/>
      <c r="T38" s="804"/>
      <c r="U38" s="804"/>
      <c r="V38" s="804"/>
      <c r="W38" s="804">
        <f t="shared" si="13"/>
        <v>24827.450843883555</v>
      </c>
      <c r="X38" s="804">
        <f t="shared" si="14"/>
        <v>272723.75053266837</v>
      </c>
      <c r="Y38" s="335" t="e">
        <f>+C38/W38</f>
        <v>#REF!</v>
      </c>
      <c r="Z38" s="358" t="e">
        <f>+C38/X38</f>
        <v>#REF!</v>
      </c>
      <c r="AA38" s="295"/>
    </row>
    <row r="39" spans="2:30" ht="18" customHeight="1" x14ac:dyDescent="0.25">
      <c r="B39" s="2366" t="s">
        <v>617</v>
      </c>
      <c r="C39" s="2330" t="e">
        <f>SUM(C36:C38)</f>
        <v>#REF!</v>
      </c>
      <c r="D39" s="2330" t="e">
        <f>SUM(D36:D38)</f>
        <v>#REF!</v>
      </c>
      <c r="E39" s="2330">
        <f>SUM(E36:E38)</f>
        <v>5583383.8204242922</v>
      </c>
      <c r="F39" s="2330">
        <f>SUM(F36:F38)</f>
        <v>4874522.2749356069</v>
      </c>
      <c r="G39" s="2330">
        <f>SUM(G36:G38)</f>
        <v>4874522.2749356069</v>
      </c>
      <c r="H39" s="2331" t="e">
        <f>SUM(C39/$C$77)</f>
        <v>#REF!</v>
      </c>
      <c r="I39" s="2332" t="e">
        <f>F39/C39</f>
        <v>#REF!</v>
      </c>
      <c r="J39" s="2332">
        <f>G39/E39</f>
        <v>0.87304087121941443</v>
      </c>
      <c r="K39" s="2439">
        <f>+K36+K37+K38</f>
        <v>74.88022780307324</v>
      </c>
      <c r="L39" s="2330" t="s">
        <v>244</v>
      </c>
      <c r="M39" s="2447">
        <f>SUM(M36:M38)</f>
        <v>642866.80584776937</v>
      </c>
      <c r="N39" s="2447">
        <f>SUM(N36:N38)</f>
        <v>7061741.7585967416</v>
      </c>
      <c r="O39" s="2447">
        <f>SUM(O36:O38)</f>
        <v>4402.0045729266367</v>
      </c>
      <c r="P39" s="2336" t="e">
        <f>C39/M39</f>
        <v>#REF!</v>
      </c>
      <c r="Q39" s="2339" t="e">
        <f>C39/N39</f>
        <v>#REF!</v>
      </c>
      <c r="R39" s="2339" t="e">
        <f t="shared" si="12"/>
        <v>#REF!</v>
      </c>
      <c r="S39" s="2335">
        <f>SUM(S36:S38)</f>
        <v>0</v>
      </c>
      <c r="T39" s="2335">
        <f>SUM(T36:T38)</f>
        <v>0</v>
      </c>
      <c r="U39" s="2335">
        <f>SUM(U36:U38)</f>
        <v>0</v>
      </c>
      <c r="V39" s="2335">
        <f>SUM(V36:V38)</f>
        <v>0</v>
      </c>
      <c r="W39" s="2333">
        <f t="shared" si="13"/>
        <v>66150.994321735459</v>
      </c>
      <c r="X39" s="2333">
        <f t="shared" si="14"/>
        <v>726653.22695960477</v>
      </c>
      <c r="Y39" s="2336" t="e">
        <f>+C39/W39</f>
        <v>#REF!</v>
      </c>
      <c r="Z39" s="2365" t="e">
        <f>+C39/X39</f>
        <v>#REF!</v>
      </c>
    </row>
    <row r="40" spans="2:30" s="284" customFormat="1" ht="15.75" hidden="1" customHeight="1" x14ac:dyDescent="0.2">
      <c r="B40" s="330" t="s">
        <v>133</v>
      </c>
      <c r="C40" s="331"/>
      <c r="D40" s="331"/>
      <c r="E40" s="331"/>
      <c r="F40" s="331"/>
      <c r="G40" s="331"/>
      <c r="H40" s="332"/>
      <c r="I40" s="333"/>
      <c r="J40" s="333"/>
      <c r="K40" s="2438"/>
      <c r="L40" s="2337"/>
      <c r="M40" s="2438"/>
      <c r="N40" s="2438"/>
      <c r="O40" s="2438"/>
      <c r="P40" s="335"/>
      <c r="Q40" s="2338"/>
      <c r="R40" s="2338" t="e">
        <f t="shared" si="12"/>
        <v>#DIV/0!</v>
      </c>
      <c r="S40" s="2337"/>
      <c r="T40" s="2337"/>
      <c r="U40" s="2337"/>
      <c r="V40" s="2337"/>
      <c r="W40" s="804">
        <f t="shared" si="13"/>
        <v>0</v>
      </c>
      <c r="X40" s="804">
        <f t="shared" si="14"/>
        <v>0</v>
      </c>
      <c r="Y40" s="335" t="s">
        <v>3</v>
      </c>
      <c r="Z40" s="358" t="s">
        <v>3</v>
      </c>
    </row>
    <row r="41" spans="2:30" s="284" customFormat="1" ht="15.75" customHeight="1" x14ac:dyDescent="0.2">
      <c r="B41" s="615" t="s">
        <v>582</v>
      </c>
      <c r="C41" s="331" t="e">
        <f>'CNG Table A'!#REF!</f>
        <v>#REF!</v>
      </c>
      <c r="D41" s="874" t="e">
        <f>E41-C41</f>
        <v>#REF!</v>
      </c>
      <c r="E41" s="331">
        <f>'Mar 16 2017 Summary Table B'!E41*('CNG Table C 2017'!$F$26/'Mar 16 CNG Table C 2017'!$F$26)</f>
        <v>1649731.4479439685</v>
      </c>
      <c r="F41" s="331">
        <f>'Mar 16 2017 Summary Table B'!F41*('CNG Table C 2017'!$F$26/'Mar 16 CNG Table C 2017'!$F$26)</f>
        <v>2079095.466743279</v>
      </c>
      <c r="G41" s="331">
        <f>'Mar 16 2017 Summary Table B'!G41*('CNG Table C 2017'!$F$26/'Mar 16 CNG Table C 2017'!$F$26)</f>
        <v>2079095.466743279</v>
      </c>
      <c r="H41" s="332" t="e">
        <f>SUM(C41/$C$75)</f>
        <v>#REF!</v>
      </c>
      <c r="I41" s="333" t="e">
        <f>F41/C41</f>
        <v>#REF!</v>
      </c>
      <c r="J41" s="333">
        <f>G41/E41</f>
        <v>1.2602629775497214</v>
      </c>
      <c r="K41" s="2438">
        <f>'Mar 16 2017 Summary Table B'!K41*('CNG Table C 2017'!$F$26/'Mar 16 CNG Table C 2017'!$F$26)</f>
        <v>90.096986426674874</v>
      </c>
      <c r="L41" s="804" t="s">
        <v>244</v>
      </c>
      <c r="M41" s="2438">
        <f>'Mar 16 2017 Summary Table B'!M41*('CNG Table C 2017'!$F$26/'Mar 16 CNG Table C 2017'!$F$26)</f>
        <v>478022.86738903483</v>
      </c>
      <c r="N41" s="2438">
        <f>'Mar 16 2017 Summary Table B'!N41*('CNG Table C 2017'!$F$26/'Mar 16 CNG Table C 2017'!$F$26)</f>
        <v>2446098.6601125817</v>
      </c>
      <c r="O41" s="2438">
        <f>'Mar 16 2017 Summary Table B'!O41*('CNG Table C 2017'!$F$26/'Mar 16 CNG Table C 2017'!$F$26)</f>
        <v>3241.7796686181896</v>
      </c>
      <c r="P41" s="335" t="e">
        <f>C41/M41</f>
        <v>#REF!</v>
      </c>
      <c r="Q41" s="2338" t="e">
        <f>C41/N41</f>
        <v>#REF!</v>
      </c>
      <c r="R41" s="2338" t="e">
        <f t="shared" si="12"/>
        <v>#REF!</v>
      </c>
      <c r="S41" s="804"/>
      <c r="T41" s="804"/>
      <c r="U41" s="804"/>
      <c r="V41" s="804"/>
      <c r="W41" s="804">
        <f t="shared" si="13"/>
        <v>49188.553054331678</v>
      </c>
      <c r="X41" s="804">
        <f t="shared" si="14"/>
        <v>251703.55212558465</v>
      </c>
      <c r="Y41" s="335" t="e">
        <f>+C41/W41</f>
        <v>#REF!</v>
      </c>
      <c r="Z41" s="358" t="e">
        <f>+C41/X41</f>
        <v>#REF!</v>
      </c>
    </row>
    <row r="42" spans="2:30" s="284" customFormat="1" ht="16.5" customHeight="1" x14ac:dyDescent="0.2">
      <c r="B42" s="615" t="s">
        <v>583</v>
      </c>
      <c r="C42" s="331" t="e">
        <f>'SCG Table A'!#REF!</f>
        <v>#REF!</v>
      </c>
      <c r="D42" s="874" t="e">
        <f>E42-C42</f>
        <v>#REF!</v>
      </c>
      <c r="E42" s="331">
        <f>'10.1.15 2017 Summary Table B'!E42*('SCG Table C 2017'!$F$26/'10.1.15 SCG Table C 2017'!$F$26)</f>
        <v>443460.492506437</v>
      </c>
      <c r="F42" s="331">
        <f>'10.1.15 2017 Summary Table B'!F42*('SCG Table C 2017'!$F$26/'10.1.15 SCG Table C 2017'!$F$26)</f>
        <v>584815.11153059104</v>
      </c>
      <c r="G42" s="331">
        <f>'10.1.15 2017 Summary Table B'!G42*('SCG Table C 2017'!$F$26/'10.1.15 SCG Table C 2017'!$F$26)</f>
        <v>584815.11153059104</v>
      </c>
      <c r="H42" s="332" t="e">
        <f>SUM(C42/$C$76)</f>
        <v>#REF!</v>
      </c>
      <c r="I42" s="333" t="e">
        <f>F42/C42</f>
        <v>#REF!</v>
      </c>
      <c r="J42" s="333">
        <f>G42/E42</f>
        <v>1.3187535787578692</v>
      </c>
      <c r="K42" s="2438">
        <f>'10.1.15 2017 Summary Table B'!K42*('SCG Table C 2017'!$F$26/'10.1.15 SCG Table C 2017'!$F$26)</f>
        <v>25.34278969316421</v>
      </c>
      <c r="L42" s="804" t="s">
        <v>244</v>
      </c>
      <c r="M42" s="2438">
        <f>'10.1.15 2017 Summary Table B'!M42*('SCG Table C 2017'!$F$26/'10.1.15 SCG Table C 2017'!$F$26)</f>
        <v>134459.91344697113</v>
      </c>
      <c r="N42" s="2438">
        <f>'10.1.15 2017 Summary Table B'!N42*('SCG Table C 2017'!$F$26/'10.1.15 SCG Table C 2017'!$F$26)</f>
        <v>688047.02987946279</v>
      </c>
      <c r="O42" s="2438">
        <f>'10.1.15 2017 Summary Table B'!O42*('SCG Table C 2017'!$F$26/'10.1.15 SCG Table C 2017'!$F$26)</f>
        <v>911.85891594974169</v>
      </c>
      <c r="P42" s="335" t="e">
        <f>C42/M42</f>
        <v>#REF!</v>
      </c>
      <c r="Q42" s="2338" t="e">
        <f>C42/N42</f>
        <v>#REF!</v>
      </c>
      <c r="R42" s="2338" t="e">
        <f t="shared" si="12"/>
        <v>#REF!</v>
      </c>
      <c r="S42" s="804"/>
      <c r="T42" s="804"/>
      <c r="U42" s="804"/>
      <c r="V42" s="804"/>
      <c r="W42" s="804">
        <f t="shared" si="13"/>
        <v>13835.925093693329</v>
      </c>
      <c r="X42" s="804">
        <f t="shared" si="14"/>
        <v>70800.03937459673</v>
      </c>
      <c r="Y42" s="335" t="e">
        <f>+C42/W42</f>
        <v>#REF!</v>
      </c>
      <c r="Z42" s="358" t="e">
        <f>+C42/X42</f>
        <v>#REF!</v>
      </c>
    </row>
    <row r="43" spans="2:30" ht="19.5" customHeight="1" x14ac:dyDescent="0.25">
      <c r="B43" s="2363" t="s">
        <v>136</v>
      </c>
      <c r="C43" s="2330" t="e">
        <f>SUM(C40:C42)</f>
        <v>#REF!</v>
      </c>
      <c r="D43" s="2330" t="e">
        <f>SUM(D40:D42)</f>
        <v>#REF!</v>
      </c>
      <c r="E43" s="2330">
        <f>SUM(E40:E42)</f>
        <v>2093191.9404504055</v>
      </c>
      <c r="F43" s="2330">
        <f>SUM(F40:F42)</f>
        <v>2663910.5782738701</v>
      </c>
      <c r="G43" s="2330">
        <f>SUM(G40:G42)</f>
        <v>2663910.5782738701</v>
      </c>
      <c r="H43" s="2331" t="e">
        <f>SUM(C43/$C$77)</f>
        <v>#REF!</v>
      </c>
      <c r="I43" s="2332" t="e">
        <f>F43/C43</f>
        <v>#REF!</v>
      </c>
      <c r="J43" s="2332">
        <f>G43/E43</f>
        <v>1.2726547082446054</v>
      </c>
      <c r="K43" s="2439">
        <f>SUM(K40:K42)</f>
        <v>115.43977611983908</v>
      </c>
      <c r="L43" s="2330" t="s">
        <v>244</v>
      </c>
      <c r="M43" s="2447">
        <f>SUM(M40:M42)</f>
        <v>612482.78083600593</v>
      </c>
      <c r="N43" s="2447">
        <f>SUM(N40:N42)</f>
        <v>3134145.6899920446</v>
      </c>
      <c r="O43" s="2447">
        <f>SUM(O40:O42)</f>
        <v>4153.6385845679315</v>
      </c>
      <c r="P43" s="2336" t="e">
        <f>C43/M43</f>
        <v>#REF!</v>
      </c>
      <c r="Q43" s="2339" t="e">
        <f>C43/N43</f>
        <v>#REF!</v>
      </c>
      <c r="R43" s="2339" t="e">
        <f t="shared" si="12"/>
        <v>#REF!</v>
      </c>
      <c r="S43" s="2335">
        <f>SUM(S40:S42)</f>
        <v>0</v>
      </c>
      <c r="T43" s="2335">
        <f>SUM(T40:T42)</f>
        <v>0</v>
      </c>
      <c r="U43" s="2335"/>
      <c r="V43" s="2335"/>
      <c r="W43" s="2333">
        <f t="shared" si="13"/>
        <v>63024.478148025009</v>
      </c>
      <c r="X43" s="2333">
        <f t="shared" si="14"/>
        <v>322503.59150018141</v>
      </c>
      <c r="Y43" s="2336" t="e">
        <f>+C43/W43</f>
        <v>#REF!</v>
      </c>
      <c r="Z43" s="2365" t="e">
        <f>+C43/X43</f>
        <v>#REF!</v>
      </c>
    </row>
    <row r="44" spans="2:30" ht="15.75" hidden="1" customHeight="1" x14ac:dyDescent="0.2">
      <c r="B44" s="330" t="s">
        <v>251</v>
      </c>
      <c r="C44" s="331"/>
      <c r="D44" s="331"/>
      <c r="E44" s="331"/>
      <c r="F44" s="331"/>
      <c r="G44" s="331"/>
      <c r="H44" s="332"/>
      <c r="I44" s="333"/>
      <c r="J44" s="333"/>
      <c r="K44" s="2438"/>
      <c r="L44" s="2337"/>
      <c r="M44" s="2438"/>
      <c r="N44" s="2438"/>
      <c r="O44" s="2438"/>
      <c r="P44" s="335"/>
      <c r="Q44" s="2338"/>
      <c r="R44" s="2338" t="e">
        <f t="shared" si="12"/>
        <v>#DIV/0!</v>
      </c>
      <c r="S44" s="2337"/>
      <c r="T44" s="2337"/>
      <c r="U44" s="2337"/>
      <c r="V44" s="2337"/>
      <c r="W44" s="804">
        <f t="shared" si="13"/>
        <v>0</v>
      </c>
      <c r="X44" s="804">
        <f t="shared" si="14"/>
        <v>0</v>
      </c>
      <c r="Y44" s="335" t="s">
        <v>3</v>
      </c>
      <c r="Z44" s="358" t="s">
        <v>3</v>
      </c>
    </row>
    <row r="45" spans="2:30" ht="15.75" customHeight="1" x14ac:dyDescent="0.2">
      <c r="B45" s="330" t="s">
        <v>252</v>
      </c>
      <c r="C45" s="331" t="e">
        <f>'CNG Table A'!#REF!</f>
        <v>#REF!</v>
      </c>
      <c r="D45" s="874" t="e">
        <f>E45-C45</f>
        <v>#REF!</v>
      </c>
      <c r="E45" s="331">
        <f>'Mar 16 2017 Summary Table B'!E45*('CNG Table C 2017'!$F$28/'Mar 16 CNG Table C 2017'!$F$28)</f>
        <v>1037422.1381323944</v>
      </c>
      <c r="F45" s="331">
        <f>'Mar 16 2017 Summary Table B'!F45*('CNG Table C 2017'!$F$28/'Mar 16 CNG Table C 2017'!$F$28)</f>
        <v>575224.37079813902</v>
      </c>
      <c r="G45" s="331">
        <f>'Mar 16 2017 Summary Table B'!G45*('CNG Table C 2017'!$F$28/'Mar 16 CNG Table C 2017'!$F$28)</f>
        <v>575224.37079813913</v>
      </c>
      <c r="H45" s="332" t="e">
        <f>SUM(C45/$C$75)</f>
        <v>#REF!</v>
      </c>
      <c r="I45" s="333" t="e">
        <f>F45/C45</f>
        <v>#REF!</v>
      </c>
      <c r="J45" s="333">
        <f>G45/E45</f>
        <v>0.55447474046937084</v>
      </c>
      <c r="K45" s="2438">
        <f>'Mar 16 2017 Summary Table B'!K45*('CNG Table C 2017'!$F$28/'Mar 16 CNG Table C 2017'!$F$28)</f>
        <v>60.870366549299682</v>
      </c>
      <c r="L45" s="804" t="s">
        <v>244</v>
      </c>
      <c r="M45" s="2438">
        <f>'Mar 16 2017 Summary Table B'!M45*('CNG Table C 2017'!$F$28/'Mar 16 CNG Table C 2017'!$F$28)</f>
        <v>55114.102743642012</v>
      </c>
      <c r="N45" s="2438">
        <f>'Mar 16 2017 Summary Table B'!N45*('CNG Table C 2017'!$F$28/'Mar 16 CNG Table C 2017'!$F$28)</f>
        <v>815365.71720952215</v>
      </c>
      <c r="O45" s="2438">
        <f>'Mar 16 2017 Summary Table B'!O45*('CNG Table C 2017'!$F$28/'Mar 16 CNG Table C 2017'!$F$28)</f>
        <v>519.70665912642357</v>
      </c>
      <c r="P45" s="335" t="e">
        <f>C45/M45</f>
        <v>#REF!</v>
      </c>
      <c r="Q45" s="2338" t="e">
        <f>C45/N45</f>
        <v>#REF!</v>
      </c>
      <c r="R45" s="2338" t="e">
        <f t="shared" si="12"/>
        <v>#REF!</v>
      </c>
      <c r="S45" s="804"/>
      <c r="T45" s="804"/>
      <c r="U45" s="804"/>
      <c r="V45" s="804"/>
      <c r="W45" s="804">
        <f t="shared" si="13"/>
        <v>5671.2411723207624</v>
      </c>
      <c r="X45" s="804">
        <f t="shared" si="14"/>
        <v>83901.132300859827</v>
      </c>
      <c r="Y45" s="335" t="e">
        <f>+C45/W45</f>
        <v>#REF!</v>
      </c>
      <c r="Z45" s="358" t="e">
        <f>+C45/X45</f>
        <v>#REF!</v>
      </c>
    </row>
    <row r="46" spans="2:30" ht="15.75" customHeight="1" x14ac:dyDescent="0.2">
      <c r="B46" s="330" t="s">
        <v>253</v>
      </c>
      <c r="C46" s="331" t="e">
        <f>'SCG Table A'!#REF!</f>
        <v>#REF!</v>
      </c>
      <c r="D46" s="874" t="e">
        <f>E46-C46</f>
        <v>#REF!</v>
      </c>
      <c r="E46" s="331">
        <f>'10.1.15 2017 Summary Table B'!E46*('SCG Table C 2017'!$F$28/'10.1.15 SCG Table C 2017'!$F$28)</f>
        <v>1082346.0047512969</v>
      </c>
      <c r="F46" s="331">
        <f>'10.1.15 2017 Summary Table B'!F46*('SCG Table C 2017'!$F$28/'10.1.15 SCG Table C 2017'!$F$28)</f>
        <v>594707.58237718011</v>
      </c>
      <c r="G46" s="331">
        <f>'10.1.15 2017 Summary Table B'!G46*('SCG Table C 2017'!$F$28/'10.1.15 SCG Table C 2017'!$F$28)</f>
        <v>594707.58237718022</v>
      </c>
      <c r="H46" s="332" t="e">
        <f>SUM(C46/$C$76)</f>
        <v>#REF!</v>
      </c>
      <c r="I46" s="333" t="e">
        <f>F46/C46</f>
        <v>#REF!</v>
      </c>
      <c r="J46" s="333">
        <f>G46/E46</f>
        <v>0.54946161372289903</v>
      </c>
      <c r="K46" s="2438">
        <f>'10.1.15 2017 Summary Table B'!K46*('SCG Table C 2017'!$F$28/'10.1.15 SCG Table C 2017'!$F$28)</f>
        <v>65.386898409382596</v>
      </c>
      <c r="L46" s="804" t="s">
        <v>244</v>
      </c>
      <c r="M46" s="2438">
        <f>'10.1.15 2017 Summary Table B'!M46*('SCG Table C 2017'!$F$28/'10.1.15 SCG Table C 2017'!$F$28)</f>
        <v>59697.524957851536</v>
      </c>
      <c r="N46" s="2438">
        <f>'10.1.15 2017 Summary Table B'!N46*('SCG Table C 2017'!$F$28/'10.1.15 SCG Table C 2017'!$F$28)</f>
        <v>842963.48330851388</v>
      </c>
      <c r="O46" s="2438">
        <f>'10.1.15 2017 Summary Table B'!O46*('SCG Table C 2017'!$F$28/'10.1.15 SCG Table C 2017'!$F$28)</f>
        <v>508.42439002942569</v>
      </c>
      <c r="P46" s="335" t="e">
        <f>C46/M46</f>
        <v>#REF!</v>
      </c>
      <c r="Q46" s="2338" t="e">
        <f>C46/N46</f>
        <v>#REF!</v>
      </c>
      <c r="R46" s="2338" t="e">
        <f t="shared" si="12"/>
        <v>#REF!</v>
      </c>
      <c r="S46" s="804"/>
      <c r="T46" s="804"/>
      <c r="U46" s="804"/>
      <c r="V46" s="804"/>
      <c r="W46" s="804">
        <f t="shared" si="13"/>
        <v>6142.8753181629227</v>
      </c>
      <c r="X46" s="804">
        <f t="shared" si="14"/>
        <v>86740.942432446071</v>
      </c>
      <c r="Y46" s="335" t="e">
        <f>+C46/W46</f>
        <v>#REF!</v>
      </c>
      <c r="Z46" s="358" t="e">
        <f>+C46/X46</f>
        <v>#REF!</v>
      </c>
    </row>
    <row r="47" spans="2:30" ht="19.5" customHeight="1" x14ac:dyDescent="0.25">
      <c r="B47" s="2363" t="s">
        <v>302</v>
      </c>
      <c r="C47" s="2330" t="e">
        <f>SUM(C44:C46)</f>
        <v>#REF!</v>
      </c>
      <c r="D47" s="2330" t="e">
        <f>SUM(D44:D46)</f>
        <v>#REF!</v>
      </c>
      <c r="E47" s="2330">
        <f>SUM(E44:E46)</f>
        <v>2119768.1428836915</v>
      </c>
      <c r="F47" s="2330">
        <f>SUM(F44:F46)</f>
        <v>1169931.9531753191</v>
      </c>
      <c r="G47" s="2330">
        <f>SUM(G44:G46)</f>
        <v>1169931.9531753194</v>
      </c>
      <c r="H47" s="2331" t="e">
        <f>SUM(C47/$C$77)</f>
        <v>#REF!</v>
      </c>
      <c r="I47" s="2332" t="e">
        <f>F47/C47</f>
        <v>#REF!</v>
      </c>
      <c r="J47" s="2332">
        <f>G47/E47</f>
        <v>0.55191505594747103</v>
      </c>
      <c r="K47" s="2439">
        <f>SUM(K44:K46)</f>
        <v>126.25726495868227</v>
      </c>
      <c r="L47" s="2330" t="s">
        <v>244</v>
      </c>
      <c r="M47" s="2447">
        <f>SUM(M44:M46)</f>
        <v>114811.62770149355</v>
      </c>
      <c r="N47" s="2447">
        <f>SUM(N44:N46)</f>
        <v>1658329.200518036</v>
      </c>
      <c r="O47" s="2447">
        <f>SUM(O44:O46)</f>
        <v>1028.1310491558493</v>
      </c>
      <c r="P47" s="2336" t="e">
        <f>C47/M47</f>
        <v>#REF!</v>
      </c>
      <c r="Q47" s="2339" t="e">
        <f>C47/N47</f>
        <v>#REF!</v>
      </c>
      <c r="R47" s="2339" t="e">
        <f t="shared" si="12"/>
        <v>#REF!</v>
      </c>
      <c r="S47" s="2335">
        <f>SUM(S44:S46)</f>
        <v>0</v>
      </c>
      <c r="T47" s="2335">
        <f>SUM(T44:T46)</f>
        <v>0</v>
      </c>
      <c r="U47" s="2335">
        <f>SUM(U44:U46)</f>
        <v>0</v>
      </c>
      <c r="V47" s="2335">
        <f>SUM(V44:V46)</f>
        <v>0</v>
      </c>
      <c r="W47" s="2333">
        <f t="shared" si="13"/>
        <v>11814.116490483686</v>
      </c>
      <c r="X47" s="2333">
        <f t="shared" si="14"/>
        <v>170642.0747333059</v>
      </c>
      <c r="Y47" s="2336" t="e">
        <f>+C47/W47</f>
        <v>#REF!</v>
      </c>
      <c r="Z47" s="2365" t="e">
        <f>+C47/X47</f>
        <v>#REF!</v>
      </c>
    </row>
    <row r="48" spans="2:30" ht="15.75" customHeight="1" thickBot="1" x14ac:dyDescent="0.3">
      <c r="B48" s="2369" t="s">
        <v>127</v>
      </c>
      <c r="C48" s="2370" t="e">
        <f>C47+C43+C39+C34</f>
        <v>#REF!</v>
      </c>
      <c r="D48" s="2370" t="e">
        <f>D47+D43+D39+D34</f>
        <v>#REF!</v>
      </c>
      <c r="E48" s="2370">
        <f>E47+E43+E39+E34</f>
        <v>20932561.90984207</v>
      </c>
      <c r="F48" s="2370">
        <f>F47+F43+F39+F34</f>
        <v>13237650.297950068</v>
      </c>
      <c r="G48" s="2370">
        <f>G47+G43+G39+G34</f>
        <v>13237650.297950068</v>
      </c>
      <c r="H48" s="2371" t="e">
        <f>SUM(C48/C77)</f>
        <v>#REF!</v>
      </c>
      <c r="I48" s="2372" t="e">
        <f>F48/C48</f>
        <v>#REF!</v>
      </c>
      <c r="J48" s="2372">
        <f>G48/E48</f>
        <v>0.63239513419167248</v>
      </c>
      <c r="K48" s="2446">
        <f>K47+K43+K39+K34</f>
        <v>641.74327813592356</v>
      </c>
      <c r="L48" s="2379" t="s">
        <v>244</v>
      </c>
      <c r="M48" s="2450">
        <f>M47+M43+M39+M34</f>
        <v>1799337.4146889867</v>
      </c>
      <c r="N48" s="2451">
        <f>N47+N43+N39+N34</f>
        <v>18616386.205612335</v>
      </c>
      <c r="O48" s="2451">
        <f>O47+O43+O39+O34</f>
        <v>15015.89709036675</v>
      </c>
      <c r="P48" s="2376" t="e">
        <f>C48/M48</f>
        <v>#REF!</v>
      </c>
      <c r="Q48" s="2376" t="e">
        <f>C48/N48</f>
        <v>#REF!</v>
      </c>
      <c r="R48" s="2376" t="e">
        <f t="shared" si="12"/>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2442"/>
      <c r="N49" s="2442"/>
      <c r="O49" s="2442"/>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452"/>
      <c r="N50" s="2452"/>
      <c r="O50" s="2452"/>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2453"/>
      <c r="N51" s="2453"/>
      <c r="O51" s="2453"/>
      <c r="P51" s="1966"/>
      <c r="Q51" s="1968"/>
      <c r="R51" s="1968"/>
      <c r="S51" s="1966"/>
      <c r="T51" s="1966"/>
      <c r="U51" s="1966"/>
      <c r="V51" s="1966"/>
      <c r="W51" s="1966"/>
      <c r="X51" s="1966"/>
      <c r="Y51" s="1966"/>
      <c r="Z51" s="1968"/>
    </row>
    <row r="52" spans="2:27" s="704" customFormat="1" ht="15.75" customHeight="1" x14ac:dyDescent="0.2">
      <c r="B52" s="1107" t="s">
        <v>556</v>
      </c>
      <c r="C52" s="1108" t="e">
        <f>'CNG Table A'!#REF!+'CNG Table A'!#REF!</f>
        <v>#REF!</v>
      </c>
      <c r="D52" s="1109"/>
      <c r="E52" s="1108"/>
      <c r="F52" s="1109"/>
      <c r="G52" s="1109"/>
      <c r="H52" s="1110"/>
      <c r="I52" s="1111"/>
      <c r="J52" s="1111"/>
      <c r="K52" s="1112"/>
      <c r="L52" s="1111"/>
      <c r="M52" s="2454"/>
      <c r="N52" s="2454"/>
      <c r="O52" s="2454"/>
      <c r="P52" s="1111"/>
      <c r="Q52" s="1111"/>
      <c r="R52" s="1111"/>
      <c r="S52" s="1111"/>
      <c r="T52" s="1111"/>
      <c r="U52" s="1111"/>
      <c r="V52" s="1111"/>
      <c r="W52" s="1111"/>
      <c r="X52" s="1111"/>
      <c r="Y52" s="1111"/>
      <c r="Z52" s="1113"/>
    </row>
    <row r="53" spans="2:27" s="704" customFormat="1" ht="15.75" customHeight="1" x14ac:dyDescent="0.2">
      <c r="B53" s="979" t="s">
        <v>557</v>
      </c>
      <c r="C53" s="874" t="e">
        <f>+'SCG Table A'!#REF!+'SCG Table A'!#REF!</f>
        <v>#REF!</v>
      </c>
      <c r="D53" s="1114"/>
      <c r="E53" s="874"/>
      <c r="F53" s="1114"/>
      <c r="G53" s="1114"/>
      <c r="H53" s="1115"/>
      <c r="I53" s="1268"/>
      <c r="J53" s="1268"/>
      <c r="K53" s="900"/>
      <c r="L53" s="1268"/>
      <c r="M53" s="2455"/>
      <c r="N53" s="2455"/>
      <c r="O53" s="2455"/>
      <c r="P53" s="1268"/>
      <c r="Q53" s="1268"/>
      <c r="R53" s="1268"/>
      <c r="S53" s="1268"/>
      <c r="T53" s="1268"/>
      <c r="U53" s="1268"/>
      <c r="V53" s="1268"/>
      <c r="W53" s="1268"/>
      <c r="X53" s="1268"/>
      <c r="Y53" s="1268"/>
      <c r="Z53" s="1269"/>
    </row>
    <row r="54" spans="2:27" s="704" customFormat="1" ht="16.5" customHeight="1" x14ac:dyDescent="0.25">
      <c r="B54" s="2366" t="s">
        <v>630</v>
      </c>
      <c r="C54" s="2348" t="e">
        <f>SUM(C51:C53)</f>
        <v>#REF!</v>
      </c>
      <c r="D54" s="1114"/>
      <c r="E54" s="2348"/>
      <c r="F54" s="1114"/>
      <c r="G54" s="1114"/>
      <c r="H54" s="1986"/>
      <c r="I54" s="1114"/>
      <c r="J54" s="1114"/>
      <c r="K54" s="2349"/>
      <c r="L54" s="1114"/>
      <c r="M54" s="1858"/>
      <c r="N54" s="1858"/>
      <c r="O54" s="1858"/>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2455"/>
      <c r="N55" s="2455"/>
      <c r="O55" s="2455"/>
      <c r="P55" s="1268"/>
      <c r="Q55" s="1268"/>
      <c r="R55" s="1268"/>
      <c r="S55" s="1268"/>
      <c r="T55" s="1268"/>
      <c r="U55" s="1268"/>
      <c r="V55" s="1268"/>
      <c r="W55" s="1268"/>
      <c r="X55" s="1268"/>
      <c r="Y55" s="1268"/>
      <c r="Z55" s="1269"/>
    </row>
    <row r="56" spans="2:27" s="704" customFormat="1" ht="15.75" customHeight="1" x14ac:dyDescent="0.2">
      <c r="B56" s="979" t="s">
        <v>593</v>
      </c>
      <c r="C56" s="1277" t="e">
        <f>'CNG Table A'!#REF!+'CNG Table A'!#REF!+'CNG Table A'!#REF!</f>
        <v>#REF!</v>
      </c>
      <c r="D56" s="1114"/>
      <c r="E56" s="874"/>
      <c r="F56" s="1114"/>
      <c r="G56" s="1114"/>
      <c r="H56" s="1115"/>
      <c r="I56" s="1268"/>
      <c r="J56" s="1268"/>
      <c r="K56" s="900"/>
      <c r="L56" s="1268"/>
      <c r="M56" s="2455"/>
      <c r="N56" s="2455"/>
      <c r="O56" s="2455"/>
      <c r="P56" s="1268"/>
      <c r="Q56" s="1268"/>
      <c r="R56" s="1268"/>
      <c r="S56" s="1268"/>
      <c r="T56" s="1268"/>
      <c r="U56" s="1268"/>
      <c r="V56" s="1268"/>
      <c r="W56" s="1268"/>
      <c r="X56" s="1268"/>
      <c r="Y56" s="1268"/>
      <c r="Z56" s="1269"/>
    </row>
    <row r="57" spans="2:27" s="704" customFormat="1" ht="15.75" customHeight="1" x14ac:dyDescent="0.2">
      <c r="B57" s="979" t="s">
        <v>594</v>
      </c>
      <c r="C57" s="1277" t="e">
        <f>'SCG Table A'!#REF!+'SCG Table A'!#REF!+'SCG Table A'!#REF!</f>
        <v>#REF!</v>
      </c>
      <c r="D57" s="1114"/>
      <c r="E57" s="874"/>
      <c r="F57" s="1114"/>
      <c r="G57" s="1114"/>
      <c r="H57" s="1115"/>
      <c r="I57" s="1268"/>
      <c r="J57" s="1268"/>
      <c r="K57" s="900"/>
      <c r="L57" s="1268"/>
      <c r="M57" s="2455"/>
      <c r="N57" s="2455"/>
      <c r="O57" s="2455"/>
      <c r="P57" s="1268"/>
      <c r="Q57" s="1268"/>
      <c r="R57" s="1268"/>
      <c r="S57" s="1268"/>
      <c r="T57" s="1268"/>
      <c r="U57" s="1268"/>
      <c r="V57" s="1268"/>
      <c r="W57" s="1268"/>
      <c r="X57" s="1268"/>
      <c r="Y57" s="1268"/>
      <c r="Z57" s="1269"/>
    </row>
    <row r="58" spans="2:27" s="704" customFormat="1" ht="15.75" customHeight="1" x14ac:dyDescent="0.25">
      <c r="B58" s="2366" t="s">
        <v>630</v>
      </c>
      <c r="C58" s="2348" t="e">
        <f>SUM(C55:C57)</f>
        <v>#REF!</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t="e">
        <f>C54+C58</f>
        <v>#REF!</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5">SUM(C62/M62)</f>
        <v>#DIV/0!</v>
      </c>
      <c r="Q62" s="329" t="e">
        <f t="shared" ref="Q62:R69" si="16">SUM(C62/N62)</f>
        <v>#DIV/0!</v>
      </c>
      <c r="R62" s="329" t="e">
        <f t="shared" si="16"/>
        <v>#DIV/0!</v>
      </c>
      <c r="S62" s="2117"/>
      <c r="T62" s="2117"/>
      <c r="U62" s="2117"/>
      <c r="V62" s="2117"/>
      <c r="W62" s="2119">
        <f>+(M62*102900+S62*138690+U62*91330)/10^6</f>
        <v>0</v>
      </c>
      <c r="X62" s="2119">
        <f>+(N62*102900+T62*138690+V62*91330)/10^6</f>
        <v>0</v>
      </c>
      <c r="Y62" s="2118" t="s">
        <v>3</v>
      </c>
      <c r="Z62" s="1997" t="s">
        <v>3</v>
      </c>
    </row>
    <row r="63" spans="2:27" s="284" customFormat="1" ht="15.75" x14ac:dyDescent="0.25">
      <c r="B63" s="434" t="s">
        <v>92</v>
      </c>
      <c r="C63" s="351" t="e">
        <f t="shared" ref="C63:G64" si="17">C7+C11+C15+C18+C21+C25</f>
        <v>#REF!</v>
      </c>
      <c r="D63" s="351" t="e">
        <f t="shared" si="17"/>
        <v>#REF!</v>
      </c>
      <c r="E63" s="351">
        <f t="shared" si="17"/>
        <v>14684955.591907207</v>
      </c>
      <c r="F63" s="351">
        <f t="shared" si="17"/>
        <v>14409416.758416437</v>
      </c>
      <c r="G63" s="351">
        <f t="shared" si="17"/>
        <v>31449755.708451193</v>
      </c>
      <c r="H63" s="497" t="e">
        <f>SUM(C63/$C$75)</f>
        <v>#REF!</v>
      </c>
      <c r="I63" s="400"/>
      <c r="J63" s="400"/>
      <c r="K63" s="353"/>
      <c r="L63" s="400"/>
      <c r="M63" s="424">
        <f t="shared" ref="M63:O64" si="18">M7+M11+M15+M18+M21+M25</f>
        <v>1219592.5942515107</v>
      </c>
      <c r="N63" s="424">
        <f t="shared" si="18"/>
        <v>23211078.750941891</v>
      </c>
      <c r="O63" s="424">
        <f t="shared" si="18"/>
        <v>10228.051254402351</v>
      </c>
      <c r="P63" s="2120" t="e">
        <f t="shared" si="15"/>
        <v>#REF!</v>
      </c>
      <c r="Q63" s="2378" t="e">
        <f t="shared" si="16"/>
        <v>#REF!</v>
      </c>
      <c r="R63" s="2378" t="e">
        <f t="shared" ref="R63:R69" si="19">C63/O63</f>
        <v>#REF!</v>
      </c>
      <c r="S63" s="424">
        <f t="shared" ref="S63:X63" si="20">S7+S11+S15+S18+S21+S25</f>
        <v>0</v>
      </c>
      <c r="T63" s="424">
        <f t="shared" si="20"/>
        <v>0</v>
      </c>
      <c r="U63" s="424">
        <f t="shared" si="20"/>
        <v>0</v>
      </c>
      <c r="V63" s="424">
        <f t="shared" si="20"/>
        <v>0</v>
      </c>
      <c r="W63" s="2121">
        <f t="shared" si="20"/>
        <v>125496.07794848047</v>
      </c>
      <c r="X63" s="2121">
        <f t="shared" si="20"/>
        <v>2388420.0034719203</v>
      </c>
      <c r="Y63" s="2120" t="e">
        <f>+C63/W63</f>
        <v>#REF!</v>
      </c>
      <c r="Z63" s="356" t="e">
        <f>+C63/X63</f>
        <v>#REF!</v>
      </c>
    </row>
    <row r="64" spans="2:27" s="284" customFormat="1" ht="19.5" customHeight="1" x14ac:dyDescent="0.25">
      <c r="B64" s="437" t="s">
        <v>93</v>
      </c>
      <c r="C64" s="331" t="e">
        <f t="shared" si="17"/>
        <v>#REF!</v>
      </c>
      <c r="D64" s="331" t="e">
        <f t="shared" si="17"/>
        <v>#REF!</v>
      </c>
      <c r="E64" s="331">
        <f t="shared" si="17"/>
        <v>8139434.8279934153</v>
      </c>
      <c r="F64" s="331">
        <f t="shared" si="17"/>
        <v>7887135.1304673534</v>
      </c>
      <c r="G64" s="331">
        <f t="shared" si="17"/>
        <v>17764561.446560018</v>
      </c>
      <c r="H64" s="494" t="e">
        <f>SUM(C64/$C$76)</f>
        <v>#REF!</v>
      </c>
      <c r="I64" s="402"/>
      <c r="J64" s="402"/>
      <c r="K64" s="811"/>
      <c r="L64" s="402"/>
      <c r="M64" s="2350">
        <f t="shared" si="18"/>
        <v>604624.31594730041</v>
      </c>
      <c r="N64" s="2350">
        <f t="shared" si="18"/>
        <v>12898428.623917038</v>
      </c>
      <c r="O64" s="2350">
        <f t="shared" si="18"/>
        <v>5614.5415289701314</v>
      </c>
      <c r="P64" s="335" t="e">
        <f t="shared" si="15"/>
        <v>#REF!</v>
      </c>
      <c r="Q64" s="2338" t="e">
        <f t="shared" si="16"/>
        <v>#REF!</v>
      </c>
      <c r="R64" s="2338" t="e">
        <f t="shared" si="19"/>
        <v>#REF!</v>
      </c>
      <c r="S64" s="2350" t="e">
        <f t="shared" ref="S64:X64" si="21">S8+S12+S16+S19+S22+S26</f>
        <v>#REF!</v>
      </c>
      <c r="T64" s="2350" t="e">
        <f t="shared" si="21"/>
        <v>#REF!</v>
      </c>
      <c r="U64" s="2350">
        <f t="shared" si="21"/>
        <v>0</v>
      </c>
      <c r="V64" s="2350">
        <f t="shared" si="21"/>
        <v>0</v>
      </c>
      <c r="W64" s="804" t="e">
        <f t="shared" si="21"/>
        <v>#REF!</v>
      </c>
      <c r="X64" s="804" t="e">
        <f t="shared" si="21"/>
        <v>#REF!</v>
      </c>
      <c r="Y64" s="335" t="e">
        <f>+C64/W64</f>
        <v>#REF!</v>
      </c>
      <c r="Z64" s="358" t="e">
        <f>+C64/X64</f>
        <v>#REF!</v>
      </c>
    </row>
    <row r="65" spans="2:26" ht="15.75" x14ac:dyDescent="0.25">
      <c r="B65" s="2363" t="s">
        <v>94</v>
      </c>
      <c r="C65" s="2347" t="e">
        <f>SUM(C62:C64)</f>
        <v>#REF!</v>
      </c>
      <c r="D65" s="2347" t="e">
        <f>SUM(D62:D64)</f>
        <v>#REF!</v>
      </c>
      <c r="E65" s="2347">
        <f>SUM(E62:E64)</f>
        <v>22824390.419900622</v>
      </c>
      <c r="F65" s="2347">
        <f>SUM(F62:F64)</f>
        <v>22296551.888883792</v>
      </c>
      <c r="G65" s="2347">
        <f>SUM(G62:G64)</f>
        <v>49214317.155011207</v>
      </c>
      <c r="H65" s="2351" t="e">
        <f>SUM(C65/$C$77)</f>
        <v>#REF!</v>
      </c>
      <c r="I65" s="402"/>
      <c r="J65" s="402"/>
      <c r="K65" s="2333"/>
      <c r="L65" s="402"/>
      <c r="M65" s="2352">
        <f>SUM(M62:M64)</f>
        <v>1824216.910198811</v>
      </c>
      <c r="N65" s="2352">
        <f>SUM(N62:N64)</f>
        <v>36109507.374858931</v>
      </c>
      <c r="O65" s="2352">
        <f>SUM(O62:O64)</f>
        <v>15842.592783372482</v>
      </c>
      <c r="P65" s="2336" t="e">
        <f t="shared" si="15"/>
        <v>#REF!</v>
      </c>
      <c r="Q65" s="2339" t="e">
        <f t="shared" si="16"/>
        <v>#REF!</v>
      </c>
      <c r="R65" s="2339" t="e">
        <f t="shared" si="19"/>
        <v>#REF!</v>
      </c>
      <c r="S65" s="2352" t="e">
        <f>SUM(S62:S64)</f>
        <v>#REF!</v>
      </c>
      <c r="T65" s="2352" t="e">
        <f>SUM(T62:T64)</f>
        <v>#REF!</v>
      </c>
      <c r="U65" s="2352">
        <f>SUM(U62:U64)</f>
        <v>0</v>
      </c>
      <c r="V65" s="2352">
        <f>SUM(V62:V64)</f>
        <v>0</v>
      </c>
      <c r="W65" s="2333" t="e">
        <f t="shared" ref="W65:W77" si="22">+(M65*102900+S65*138690+U65*91330)/10^6</f>
        <v>#REF!</v>
      </c>
      <c r="X65" s="2333" t="e">
        <f t="shared" ref="X65:X77" si="23">+(N65*102900+T65*138690+V65*91330)/10^6</f>
        <v>#REF!</v>
      </c>
      <c r="Y65" s="2336" t="e">
        <f>+C65/W65</f>
        <v>#REF!</v>
      </c>
      <c r="Z65" s="2365" t="e">
        <f>+C65/X65</f>
        <v>#REF!</v>
      </c>
    </row>
    <row r="66" spans="2:26" s="284" customFormat="1" ht="15.75" hidden="1" x14ac:dyDescent="0.25">
      <c r="B66" s="437" t="s">
        <v>95</v>
      </c>
      <c r="C66" s="331">
        <f t="shared" ref="C66:G68" si="24">C31+C36+C40+C44</f>
        <v>0</v>
      </c>
      <c r="D66" s="331">
        <f t="shared" si="24"/>
        <v>0</v>
      </c>
      <c r="E66" s="331">
        <f t="shared" si="24"/>
        <v>0</v>
      </c>
      <c r="F66" s="331">
        <f t="shared" si="24"/>
        <v>0</v>
      </c>
      <c r="G66" s="331">
        <f t="shared" si="24"/>
        <v>0</v>
      </c>
      <c r="H66" s="494" t="e">
        <f>SUM(C66/$C$74)</f>
        <v>#DIV/0!</v>
      </c>
      <c r="I66" s="402"/>
      <c r="J66" s="402"/>
      <c r="K66" s="811"/>
      <c r="L66" s="402"/>
      <c r="M66" s="2350">
        <f t="shared" ref="M66:O68" si="25">M31+M36+M40+M44</f>
        <v>0</v>
      </c>
      <c r="N66" s="2350">
        <f t="shared" si="25"/>
        <v>0</v>
      </c>
      <c r="O66" s="2350">
        <f t="shared" si="25"/>
        <v>0</v>
      </c>
      <c r="P66" s="438" t="e">
        <f t="shared" si="15"/>
        <v>#DIV/0!</v>
      </c>
      <c r="Q66" s="438" t="e">
        <f t="shared" si="16"/>
        <v>#DIV/0!</v>
      </c>
      <c r="R66" s="438" t="e">
        <f t="shared" si="19"/>
        <v>#DIV/0!</v>
      </c>
      <c r="S66" s="402"/>
      <c r="T66" s="402"/>
      <c r="U66" s="402"/>
      <c r="V66" s="402"/>
      <c r="W66" s="804">
        <f t="shared" si="22"/>
        <v>0</v>
      </c>
      <c r="X66" s="804">
        <f t="shared" si="23"/>
        <v>0</v>
      </c>
      <c r="Y66" s="2008" t="s">
        <v>3</v>
      </c>
      <c r="Z66" s="2009" t="s">
        <v>3</v>
      </c>
    </row>
    <row r="67" spans="2:26" s="284" customFormat="1" ht="15.75" x14ac:dyDescent="0.25">
      <c r="B67" s="437" t="s">
        <v>96</v>
      </c>
      <c r="C67" s="331" t="e">
        <f t="shared" si="24"/>
        <v>#REF!</v>
      </c>
      <c r="D67" s="331" t="e">
        <f t="shared" si="24"/>
        <v>#REF!</v>
      </c>
      <c r="E67" s="331">
        <f t="shared" si="24"/>
        <v>13605043.876033565</v>
      </c>
      <c r="F67" s="331">
        <f t="shared" si="24"/>
        <v>8666834.7459340133</v>
      </c>
      <c r="G67" s="331">
        <f t="shared" si="24"/>
        <v>8666834.7459340133</v>
      </c>
      <c r="H67" s="494" t="e">
        <f>SUM(C67/$C$75)</f>
        <v>#REF!</v>
      </c>
      <c r="I67" s="402"/>
      <c r="J67" s="402"/>
      <c r="K67" s="811"/>
      <c r="L67" s="402"/>
      <c r="M67" s="2350">
        <f t="shared" si="25"/>
        <v>1216160.0670579947</v>
      </c>
      <c r="N67" s="2350">
        <f t="shared" si="25"/>
        <v>12088309.039980333</v>
      </c>
      <c r="O67" s="2350">
        <f t="shared" si="25"/>
        <v>10038.428847547721</v>
      </c>
      <c r="P67" s="438" t="e">
        <f t="shared" si="15"/>
        <v>#REF!</v>
      </c>
      <c r="Q67" s="438" t="e">
        <f t="shared" si="16"/>
        <v>#REF!</v>
      </c>
      <c r="R67" s="438" t="e">
        <f t="shared" si="19"/>
        <v>#REF!</v>
      </c>
      <c r="S67" s="2350">
        <f>S32+S37+S41+S45</f>
        <v>0</v>
      </c>
      <c r="T67" s="2350">
        <f>T32+T37+T41+T45</f>
        <v>0</v>
      </c>
      <c r="U67" s="2350"/>
      <c r="V67" s="2350"/>
      <c r="W67" s="804">
        <f t="shared" si="22"/>
        <v>125142.87090026765</v>
      </c>
      <c r="X67" s="804">
        <f t="shared" si="23"/>
        <v>1243887.0002139763</v>
      </c>
      <c r="Y67" s="335" t="e">
        <f>+C67/W67</f>
        <v>#REF!</v>
      </c>
      <c r="Z67" s="358" t="e">
        <f>+C67/X67</f>
        <v>#REF!</v>
      </c>
    </row>
    <row r="68" spans="2:26" s="284" customFormat="1" ht="15.75" x14ac:dyDescent="0.25">
      <c r="B68" s="437" t="s">
        <v>97</v>
      </c>
      <c r="C68" s="331" t="e">
        <f t="shared" si="24"/>
        <v>#REF!</v>
      </c>
      <c r="D68" s="331" t="e">
        <f t="shared" si="24"/>
        <v>#REF!</v>
      </c>
      <c r="E68" s="331">
        <f t="shared" si="24"/>
        <v>7327518.033808507</v>
      </c>
      <c r="F68" s="331">
        <f t="shared" si="24"/>
        <v>4570815.5520160552</v>
      </c>
      <c r="G68" s="331">
        <f t="shared" si="24"/>
        <v>4570815.5520160552</v>
      </c>
      <c r="H68" s="494" t="e">
        <f>SUM(C68/$C$76)</f>
        <v>#REF!</v>
      </c>
      <c r="I68" s="402"/>
      <c r="J68" s="402"/>
      <c r="K68" s="811"/>
      <c r="L68" s="402"/>
      <c r="M68" s="2350">
        <f t="shared" si="25"/>
        <v>583177.34763099195</v>
      </c>
      <c r="N68" s="2350">
        <f t="shared" si="25"/>
        <v>6528077.1656320021</v>
      </c>
      <c r="O68" s="2350">
        <f t="shared" si="25"/>
        <v>4977.4682428190281</v>
      </c>
      <c r="P68" s="438" t="e">
        <f t="shared" si="15"/>
        <v>#REF!</v>
      </c>
      <c r="Q68" s="438" t="e">
        <f t="shared" si="16"/>
        <v>#REF!</v>
      </c>
      <c r="R68" s="438" t="e">
        <f t="shared" si="19"/>
        <v>#REF!</v>
      </c>
      <c r="S68" s="2350">
        <f>S33+S38+S42+S46</f>
        <v>0</v>
      </c>
      <c r="T68" s="2350">
        <f>T33+T38+T42+T46</f>
        <v>0</v>
      </c>
      <c r="U68" s="2350"/>
      <c r="V68" s="2350"/>
      <c r="W68" s="804">
        <f t="shared" si="22"/>
        <v>60008.949071229072</v>
      </c>
      <c r="X68" s="804">
        <f t="shared" si="23"/>
        <v>671739.14034353301</v>
      </c>
      <c r="Y68" s="335" t="e">
        <f>+C68/W68</f>
        <v>#REF!</v>
      </c>
      <c r="Z68" s="358" t="e">
        <f>+C68/X68</f>
        <v>#REF!</v>
      </c>
    </row>
    <row r="69" spans="2:26" ht="15.75" x14ac:dyDescent="0.25">
      <c r="B69" s="2363" t="s">
        <v>98</v>
      </c>
      <c r="C69" s="2347" t="e">
        <f>SUM(C66:C68)</f>
        <v>#REF!</v>
      </c>
      <c r="D69" s="2347" t="e">
        <f>SUM(D66:D68)</f>
        <v>#REF!</v>
      </c>
      <c r="E69" s="2347">
        <f>SUM(E66:E68)</f>
        <v>20932561.909842074</v>
      </c>
      <c r="F69" s="2347">
        <f>SUM(F66:F68)</f>
        <v>13237650.297950068</v>
      </c>
      <c r="G69" s="2347">
        <f>SUM(G66:G68)</f>
        <v>13237650.297950068</v>
      </c>
      <c r="H69" s="2351" t="e">
        <f>SUM(C69/$C$77)</f>
        <v>#REF!</v>
      </c>
      <c r="I69" s="402"/>
      <c r="J69" s="402"/>
      <c r="K69" s="2333"/>
      <c r="L69" s="402"/>
      <c r="M69" s="2352">
        <f>SUM(M66:M68)</f>
        <v>1799337.4146889867</v>
      </c>
      <c r="N69" s="2352">
        <f>SUM(N66:N68)</f>
        <v>18616386.205612335</v>
      </c>
      <c r="O69" s="2352">
        <f>SUM(O66:O68)</f>
        <v>15015.897090366749</v>
      </c>
      <c r="P69" s="2353" t="e">
        <f t="shared" si="15"/>
        <v>#REF!</v>
      </c>
      <c r="Q69" s="2353" t="e">
        <f t="shared" si="16"/>
        <v>#REF!</v>
      </c>
      <c r="R69" s="2353" t="e">
        <f t="shared" si="19"/>
        <v>#REF!</v>
      </c>
      <c r="S69" s="2352">
        <f>SUM(S66:S68)</f>
        <v>0</v>
      </c>
      <c r="T69" s="2352">
        <f>SUM(T66:T68)</f>
        <v>0</v>
      </c>
      <c r="U69" s="2352"/>
      <c r="V69" s="2352"/>
      <c r="W69" s="2333">
        <f t="shared" si="22"/>
        <v>185151.81997149673</v>
      </c>
      <c r="X69" s="2333">
        <f t="shared" si="23"/>
        <v>1915626.1405575094</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22"/>
        <v>0</v>
      </c>
      <c r="X70" s="804">
        <f t="shared" si="23"/>
        <v>0</v>
      </c>
      <c r="Y70" s="2029"/>
      <c r="Z70" s="439"/>
    </row>
    <row r="71" spans="2:26" s="284" customFormat="1" ht="15.75" x14ac:dyDescent="0.25">
      <c r="B71" s="437" t="s">
        <v>100</v>
      </c>
      <c r="C71" s="331" t="e">
        <f>C52+C56</f>
        <v>#REF!</v>
      </c>
      <c r="D71" s="331"/>
      <c r="E71" s="331"/>
      <c r="F71" s="331"/>
      <c r="G71" s="331"/>
      <c r="H71" s="494" t="e">
        <f>SUM(C71/$C$75)</f>
        <v>#REF!</v>
      </c>
      <c r="I71" s="402"/>
      <c r="J71" s="402"/>
      <c r="K71" s="814"/>
      <c r="L71" s="402"/>
      <c r="M71" s="450"/>
      <c r="N71" s="450"/>
      <c r="O71" s="450"/>
      <c r="P71" s="450"/>
      <c r="Q71" s="438"/>
      <c r="R71" s="438"/>
      <c r="S71" s="402"/>
      <c r="T71" s="402"/>
      <c r="U71" s="402"/>
      <c r="V71" s="402"/>
      <c r="W71" s="804">
        <f t="shared" si="22"/>
        <v>0</v>
      </c>
      <c r="X71" s="804">
        <f t="shared" si="23"/>
        <v>0</v>
      </c>
      <c r="Y71" s="450"/>
      <c r="Z71" s="439"/>
    </row>
    <row r="72" spans="2:26" s="284" customFormat="1" ht="15.75" x14ac:dyDescent="0.25">
      <c r="B72" s="437" t="s">
        <v>101</v>
      </c>
      <c r="C72" s="331" t="e">
        <f>C53+C57</f>
        <v>#REF!</v>
      </c>
      <c r="D72" s="331"/>
      <c r="E72" s="331"/>
      <c r="F72" s="331"/>
      <c r="G72" s="331"/>
      <c r="H72" s="494" t="e">
        <f>SUM(C72/$C$76)</f>
        <v>#REF!</v>
      </c>
      <c r="I72" s="402"/>
      <c r="J72" s="402"/>
      <c r="K72" s="814"/>
      <c r="L72" s="402"/>
      <c r="M72" s="450"/>
      <c r="N72" s="450"/>
      <c r="O72" s="450"/>
      <c r="P72" s="450"/>
      <c r="Q72" s="438"/>
      <c r="R72" s="438"/>
      <c r="S72" s="402"/>
      <c r="T72" s="402"/>
      <c r="U72" s="402"/>
      <c r="V72" s="402"/>
      <c r="W72" s="804">
        <f t="shared" si="22"/>
        <v>0</v>
      </c>
      <c r="X72" s="804">
        <f t="shared" si="23"/>
        <v>0</v>
      </c>
      <c r="Y72" s="450"/>
      <c r="Z72" s="439"/>
    </row>
    <row r="73" spans="2:26" s="284" customFormat="1" ht="15.75" x14ac:dyDescent="0.25">
      <c r="B73" s="2363" t="s">
        <v>102</v>
      </c>
      <c r="C73" s="2347" t="e">
        <f>SUM(C70:C72)</f>
        <v>#REF!</v>
      </c>
      <c r="D73" s="2347">
        <f>SUM(D70:D72)</f>
        <v>0</v>
      </c>
      <c r="E73" s="2347">
        <f>SUM(E70:E72)</f>
        <v>0</v>
      </c>
      <c r="F73" s="2347">
        <f>SUM(F70:F72)</f>
        <v>0</v>
      </c>
      <c r="G73" s="2347">
        <f>SUM(G70:G72)</f>
        <v>0</v>
      </c>
      <c r="H73" s="2351" t="e">
        <f>SUM(C73/$C$77)</f>
        <v>#REF!</v>
      </c>
      <c r="I73" s="402"/>
      <c r="J73" s="402"/>
      <c r="K73" s="811"/>
      <c r="L73" s="402"/>
      <c r="M73" s="2350">
        <f>SUM(M70:M72)</f>
        <v>0</v>
      </c>
      <c r="N73" s="2350">
        <f>SUM(N70:N72)</f>
        <v>0</v>
      </c>
      <c r="O73" s="2350">
        <f>SUM(O70:O72)</f>
        <v>0</v>
      </c>
      <c r="P73" s="438"/>
      <c r="Q73" s="438"/>
      <c r="R73" s="438"/>
      <c r="S73" s="402"/>
      <c r="T73" s="402"/>
      <c r="U73" s="402"/>
      <c r="V73" s="402"/>
      <c r="W73" s="2333">
        <f t="shared" si="22"/>
        <v>0</v>
      </c>
      <c r="X73" s="2333">
        <f t="shared" si="23"/>
        <v>0</v>
      </c>
      <c r="Y73" s="438"/>
      <c r="Z73" s="439"/>
    </row>
    <row r="74" spans="2:26" s="284" customFormat="1" ht="15.75" hidden="1" x14ac:dyDescent="0.25">
      <c r="B74" s="2363" t="s">
        <v>103</v>
      </c>
      <c r="C74" s="331">
        <f t="shared" ref="C74:G76" si="26">SUM(C62,C66,C70)</f>
        <v>0</v>
      </c>
      <c r="D74" s="331">
        <f t="shared" si="26"/>
        <v>0</v>
      </c>
      <c r="E74" s="331">
        <f t="shared" si="26"/>
        <v>0</v>
      </c>
      <c r="F74" s="331">
        <f t="shared" si="26"/>
        <v>0</v>
      </c>
      <c r="G74" s="331">
        <f t="shared" si="26"/>
        <v>0</v>
      </c>
      <c r="H74" s="494" t="e">
        <f>SUM(C74/$C$77)</f>
        <v>#REF!</v>
      </c>
      <c r="I74" s="402"/>
      <c r="J74" s="402"/>
      <c r="K74" s="814"/>
      <c r="L74" s="402"/>
      <c r="M74" s="450">
        <f t="shared" ref="M74:N76" si="27">SUM(M62,M66,M70)</f>
        <v>0</v>
      </c>
      <c r="N74" s="450">
        <f t="shared" si="27"/>
        <v>0</v>
      </c>
      <c r="O74" s="450">
        <f>SUM(O62,O66,O70)</f>
        <v>0</v>
      </c>
      <c r="P74" s="438" t="e">
        <f>SUM(C74/M74)</f>
        <v>#DIV/0!</v>
      </c>
      <c r="Q74" s="438" t="e">
        <f>SUM(C74/N74)</f>
        <v>#DIV/0!</v>
      </c>
      <c r="R74" s="438" t="e">
        <f>SUM(D74/O74)</f>
        <v>#DIV/0!</v>
      </c>
      <c r="S74" s="402"/>
      <c r="T74" s="402"/>
      <c r="U74" s="402"/>
      <c r="V74" s="402"/>
      <c r="W74" s="804">
        <f t="shared" si="22"/>
        <v>0</v>
      </c>
      <c r="X74" s="804">
        <f t="shared" si="23"/>
        <v>0</v>
      </c>
      <c r="Y74" s="2008"/>
      <c r="Z74" s="2009"/>
    </row>
    <row r="75" spans="2:26" s="284" customFormat="1" ht="15.75" x14ac:dyDescent="0.25">
      <c r="B75" s="2363" t="s">
        <v>104</v>
      </c>
      <c r="C75" s="331" t="e">
        <f t="shared" si="26"/>
        <v>#REF!</v>
      </c>
      <c r="D75" s="331" t="e">
        <f t="shared" si="26"/>
        <v>#REF!</v>
      </c>
      <c r="E75" s="331">
        <f t="shared" si="26"/>
        <v>28289999.46794077</v>
      </c>
      <c r="F75" s="331">
        <f t="shared" si="26"/>
        <v>23076251.50435045</v>
      </c>
      <c r="G75" s="331">
        <f t="shared" si="26"/>
        <v>40116590.454385206</v>
      </c>
      <c r="H75" s="494" t="e">
        <f>SUM(C75/$C$77)</f>
        <v>#REF!</v>
      </c>
      <c r="I75" s="402"/>
      <c r="J75" s="402"/>
      <c r="K75" s="814"/>
      <c r="L75" s="402"/>
      <c r="M75" s="450">
        <f t="shared" si="27"/>
        <v>2435752.6613095053</v>
      </c>
      <c r="N75" s="450">
        <f t="shared" si="27"/>
        <v>35299387.790922225</v>
      </c>
      <c r="O75" s="450">
        <f>SUM(O63,O67,O71)</f>
        <v>20266.480101950074</v>
      </c>
      <c r="P75" s="438" t="e">
        <f>SUM(C75/M75)</f>
        <v>#REF!</v>
      </c>
      <c r="Q75" s="438" t="e">
        <f>SUM(C75/N75)</f>
        <v>#REF!</v>
      </c>
      <c r="R75" s="438" t="e">
        <f>C75/O75</f>
        <v>#REF!</v>
      </c>
      <c r="S75" s="450">
        <f t="shared" ref="S75:V76" si="28">SUM(S63,S67,S71)</f>
        <v>0</v>
      </c>
      <c r="T75" s="450">
        <f t="shared" si="28"/>
        <v>0</v>
      </c>
      <c r="U75" s="450">
        <f t="shared" si="28"/>
        <v>0</v>
      </c>
      <c r="V75" s="450">
        <f t="shared" si="28"/>
        <v>0</v>
      </c>
      <c r="W75" s="804">
        <f t="shared" si="22"/>
        <v>250638.94884874811</v>
      </c>
      <c r="X75" s="804">
        <f t="shared" si="23"/>
        <v>3632307.0036858968</v>
      </c>
      <c r="Y75" s="335" t="e">
        <f>+C75/W75</f>
        <v>#REF!</v>
      </c>
      <c r="Z75" s="358" t="e">
        <f>+C75/X75</f>
        <v>#REF!</v>
      </c>
    </row>
    <row r="76" spans="2:26" s="284" customFormat="1" ht="15.75" x14ac:dyDescent="0.25">
      <c r="B76" s="2363" t="s">
        <v>105</v>
      </c>
      <c r="C76" s="331" t="e">
        <f t="shared" si="26"/>
        <v>#REF!</v>
      </c>
      <c r="D76" s="331" t="e">
        <f t="shared" si="26"/>
        <v>#REF!</v>
      </c>
      <c r="E76" s="331">
        <f t="shared" si="26"/>
        <v>15466952.861801922</v>
      </c>
      <c r="F76" s="331">
        <f t="shared" si="26"/>
        <v>12457950.682483409</v>
      </c>
      <c r="G76" s="331">
        <f t="shared" si="26"/>
        <v>22335376.998576075</v>
      </c>
      <c r="H76" s="494" t="e">
        <f>SUM(C76/$C$77)</f>
        <v>#REF!</v>
      </c>
      <c r="I76" s="402"/>
      <c r="J76" s="402"/>
      <c r="K76" s="814"/>
      <c r="L76" s="402"/>
      <c r="M76" s="450">
        <f t="shared" si="27"/>
        <v>1187801.6635782924</v>
      </c>
      <c r="N76" s="450">
        <f t="shared" si="27"/>
        <v>19426505.789549038</v>
      </c>
      <c r="O76" s="450">
        <f>SUM(O64,O68,O72)</f>
        <v>10592.009771789159</v>
      </c>
      <c r="P76" s="438" t="e">
        <f>SUM(C76/M76)</f>
        <v>#REF!</v>
      </c>
      <c r="Q76" s="438" t="e">
        <f>SUM(C76/N76)</f>
        <v>#REF!</v>
      </c>
      <c r="R76" s="438" t="e">
        <f>C76/O76</f>
        <v>#REF!</v>
      </c>
      <c r="S76" s="450" t="e">
        <f t="shared" si="28"/>
        <v>#REF!</v>
      </c>
      <c r="T76" s="450" t="e">
        <f t="shared" si="28"/>
        <v>#REF!</v>
      </c>
      <c r="U76" s="450">
        <f t="shared" si="28"/>
        <v>0</v>
      </c>
      <c r="V76" s="450">
        <f t="shared" si="28"/>
        <v>0</v>
      </c>
      <c r="W76" s="804" t="e">
        <f t="shared" si="22"/>
        <v>#REF!</v>
      </c>
      <c r="X76" s="804" t="e">
        <f t="shared" si="23"/>
        <v>#REF!</v>
      </c>
      <c r="Y76" s="335" t="e">
        <f>+C76/W76</f>
        <v>#REF!</v>
      </c>
      <c r="Z76" s="358" t="e">
        <f>+C76/X76</f>
        <v>#REF!</v>
      </c>
    </row>
    <row r="77" spans="2:26" ht="16.5" thickBot="1" x14ac:dyDescent="0.3">
      <c r="B77" s="2369" t="s">
        <v>106</v>
      </c>
      <c r="C77" s="2370" t="e">
        <f>SUM(C74:C76)</f>
        <v>#REF!</v>
      </c>
      <c r="D77" s="2370" t="e">
        <f>SUM(D74:D76)</f>
        <v>#REF!</v>
      </c>
      <c r="E77" s="2370">
        <f>SUM(E74:E76)</f>
        <v>43756952.329742692</v>
      </c>
      <c r="F77" s="2370">
        <f>SUM(F74:F76)</f>
        <v>35534202.186833858</v>
      </c>
      <c r="G77" s="2370">
        <f>SUM(G74:G76)</f>
        <v>62451967.452961281</v>
      </c>
      <c r="H77" s="2396" t="e">
        <f>SUM(C77/$C$77)</f>
        <v>#REF!</v>
      </c>
      <c r="I77" s="2372" t="e">
        <f>F77/C77</f>
        <v>#REF!</v>
      </c>
      <c r="J77" s="2372">
        <f>G77/E77</f>
        <v>1.427246737440421</v>
      </c>
      <c r="K77" s="2397"/>
      <c r="L77" s="2398"/>
      <c r="M77" s="2384">
        <f>SUM(M74:M76)</f>
        <v>3623554.3248877977</v>
      </c>
      <c r="N77" s="2384">
        <f>SUM(N74:N76)</f>
        <v>54725893.580471262</v>
      </c>
      <c r="O77" s="2384">
        <f>SUM(O74:O76)</f>
        <v>30858.489873739232</v>
      </c>
      <c r="P77" s="2376" t="e">
        <f>SUM(C77/M77)</f>
        <v>#REF!</v>
      </c>
      <c r="Q77" s="2376" t="e">
        <f>SUM(C77/N77)</f>
        <v>#REF!</v>
      </c>
      <c r="R77" s="2376" t="e">
        <f>C77/O77</f>
        <v>#REF!</v>
      </c>
      <c r="S77" s="2384" t="e">
        <f>SUM(S74:S76)</f>
        <v>#REF!</v>
      </c>
      <c r="T77" s="2384" t="e">
        <f>SUM(T74:T76)</f>
        <v>#REF!</v>
      </c>
      <c r="U77" s="2384">
        <f>SUM(U74:U76)</f>
        <v>0</v>
      </c>
      <c r="V77" s="2384">
        <f>SUM(V74:V76)</f>
        <v>0</v>
      </c>
      <c r="W77" s="2381" t="e">
        <f t="shared" si="22"/>
        <v>#REF!</v>
      </c>
      <c r="X77" s="2381" t="e">
        <f t="shared" si="23"/>
        <v>#REF!</v>
      </c>
      <c r="Y77" s="2382" t="e">
        <f>+C77/W77</f>
        <v>#REF!</v>
      </c>
      <c r="Z77" s="2377" t="e">
        <f>+C77/X77</f>
        <v>#REF!</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N82" s="1038"/>
      <c r="S82" s="704"/>
      <c r="T82" s="704"/>
      <c r="U82" s="704"/>
      <c r="V82" s="704"/>
      <c r="W82" s="704"/>
      <c r="X82" s="704"/>
    </row>
    <row r="83" spans="3:26" x14ac:dyDescent="0.2">
      <c r="M83" s="1038"/>
      <c r="N83" s="1038"/>
    </row>
    <row r="84" spans="3:26" x14ac:dyDescent="0.2">
      <c r="C84" s="788"/>
      <c r="D84" s="788"/>
      <c r="E84" s="788"/>
      <c r="F84" s="788"/>
      <c r="G84" s="788"/>
      <c r="H84" s="788"/>
      <c r="I84" s="788"/>
      <c r="J84" s="788"/>
      <c r="K84" s="788"/>
      <c r="L84" s="788"/>
      <c r="M84" s="103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B1:AC90"/>
  <sheetViews>
    <sheetView zoomScale="75" zoomScaleNormal="100" workbookViewId="0">
      <pane xSplit="2" ySplit="5" topLeftCell="C6" activePane="bottomRight" state="frozen"/>
      <selection activeCell="S52" sqref="S52"/>
      <selection pane="topRight" activeCell="S52" sqref="S52"/>
      <selection pane="bottomLeft" activeCell="S52" sqref="S52"/>
      <selection pane="bottomRight" activeCell="E16" sqref="E16"/>
    </sheetView>
  </sheetViews>
  <sheetFormatPr defaultRowHeight="12.75" x14ac:dyDescent="0.2"/>
  <cols>
    <col min="1" max="1" width="9.140625" style="321"/>
    <col min="2" max="2" width="64.7109375" style="321" customWidth="1"/>
    <col min="3" max="3" width="18" style="321" bestFit="1" customWidth="1"/>
    <col min="4" max="4" width="15.7109375" style="321" customWidth="1"/>
    <col min="5" max="5" width="15.5703125" style="321" customWidth="1"/>
    <col min="6" max="6" width="16.140625" style="321" bestFit="1" customWidth="1"/>
    <col min="7" max="7" width="16.7109375" style="321" customWidth="1"/>
    <col min="8" max="8" width="12.28515625" style="321" customWidth="1"/>
    <col min="9" max="9" width="12.85546875" style="321" customWidth="1"/>
    <col min="10" max="10" width="13.140625" style="321" customWidth="1"/>
    <col min="11" max="11" width="11.28515625" style="819" customWidth="1"/>
    <col min="12" max="12" width="15.570312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28515625" style="321" bestFit="1" customWidth="1"/>
    <col min="20" max="20" width="13.140625" style="321" customWidth="1"/>
    <col min="21" max="21" width="14.5703125" style="321" customWidth="1"/>
    <col min="22" max="22" width="14.7109375" style="321" customWidth="1"/>
    <col min="23" max="23" width="14.5703125" style="321" customWidth="1"/>
    <col min="24" max="24" width="11" style="321" bestFit="1" customWidth="1"/>
    <col min="25" max="25" width="13.85546875" style="321" customWidth="1"/>
    <col min="26" max="26" width="12" style="321" bestFit="1" customWidth="1"/>
    <col min="27" max="16384" width="9.140625" style="321"/>
  </cols>
  <sheetData>
    <row r="1" spans="2:28"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row>
    <row r="2" spans="2:28" s="284" customFormat="1" ht="18" customHeight="1" x14ac:dyDescent="0.2">
      <c r="B2" s="2154" t="s">
        <v>618</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row>
    <row r="3" spans="2:28" s="284" customFormat="1" ht="13.5" thickBot="1" x14ac:dyDescent="0.25">
      <c r="C3" s="243"/>
      <c r="K3" s="802"/>
    </row>
    <row r="4" spans="2:28" ht="63.75" thickBot="1" x14ac:dyDescent="0.3">
      <c r="B4" s="315" t="s">
        <v>79</v>
      </c>
      <c r="C4" s="941" t="s">
        <v>552</v>
      </c>
      <c r="D4" s="941" t="s">
        <v>553</v>
      </c>
      <c r="E4" s="941" t="s">
        <v>554</v>
      </c>
      <c r="F4" s="941" t="s">
        <v>551</v>
      </c>
      <c r="G4" s="315" t="s">
        <v>161</v>
      </c>
      <c r="H4" s="943" t="s">
        <v>555</v>
      </c>
      <c r="I4" s="941" t="s">
        <v>498</v>
      </c>
      <c r="J4" s="317" t="s">
        <v>162</v>
      </c>
      <c r="K4" s="2140" t="s">
        <v>163</v>
      </c>
      <c r="L4" s="318" t="s">
        <v>81</v>
      </c>
      <c r="M4" s="2141" t="s">
        <v>166</v>
      </c>
      <c r="N4" s="2141" t="s">
        <v>165</v>
      </c>
      <c r="O4" s="2142" t="s">
        <v>463</v>
      </c>
      <c r="P4" s="319" t="s">
        <v>164</v>
      </c>
      <c r="Q4" s="320" t="s">
        <v>167</v>
      </c>
      <c r="R4" s="941" t="s">
        <v>512</v>
      </c>
      <c r="S4" s="941" t="s">
        <v>513</v>
      </c>
      <c r="T4" s="941" t="s">
        <v>514</v>
      </c>
      <c r="U4" s="941" t="s">
        <v>515</v>
      </c>
      <c r="V4" s="941" t="s">
        <v>508</v>
      </c>
      <c r="W4" s="941" t="s">
        <v>509</v>
      </c>
      <c r="X4" s="319" t="s">
        <v>510</v>
      </c>
      <c r="Y4" s="320" t="s">
        <v>511</v>
      </c>
    </row>
    <row r="5" spans="2:28" ht="16.5" thickBot="1" x14ac:dyDescent="0.3">
      <c r="B5" s="2155" t="s">
        <v>5</v>
      </c>
      <c r="C5" s="2156"/>
      <c r="D5" s="2156"/>
      <c r="E5" s="2156"/>
      <c r="F5" s="2156"/>
      <c r="G5" s="2156"/>
      <c r="H5" s="2156"/>
      <c r="I5" s="2156"/>
      <c r="J5" s="2156"/>
      <c r="K5" s="2156"/>
      <c r="L5" s="2156"/>
      <c r="M5" s="2156"/>
      <c r="N5" s="2156"/>
      <c r="O5" s="2156"/>
      <c r="P5" s="2156"/>
      <c r="Q5" s="2157"/>
      <c r="R5" s="2108"/>
      <c r="S5" s="2108"/>
      <c r="T5" s="2108"/>
      <c r="U5" s="2108"/>
      <c r="V5" s="2108"/>
      <c r="W5" s="2108"/>
      <c r="X5" s="2109"/>
      <c r="Y5" s="2109"/>
    </row>
    <row r="6" spans="2:28" s="284" customFormat="1" ht="19.5" hidden="1" customHeight="1" x14ac:dyDescent="0.2">
      <c r="B6" s="322" t="s">
        <v>232</v>
      </c>
      <c r="C6" s="683"/>
      <c r="D6" s="331"/>
      <c r="E6" s="331"/>
      <c r="F6" s="331"/>
      <c r="G6" s="331"/>
      <c r="H6" s="332"/>
      <c r="I6" s="333"/>
      <c r="J6" s="333"/>
      <c r="K6" s="804"/>
      <c r="L6" s="326"/>
      <c r="M6" s="804"/>
      <c r="N6" s="804"/>
      <c r="O6" s="804"/>
      <c r="P6" s="335"/>
      <c r="Q6" s="336"/>
      <c r="R6" s="804"/>
      <c r="S6" s="804"/>
      <c r="T6" s="804"/>
      <c r="U6" s="804"/>
      <c r="V6" s="804">
        <v>0</v>
      </c>
      <c r="W6" s="804">
        <v>0</v>
      </c>
      <c r="X6" s="335" t="s">
        <v>3</v>
      </c>
      <c r="Y6" s="336" t="s">
        <v>3</v>
      </c>
    </row>
    <row r="7" spans="2:28" s="2060" customFormat="1" ht="18" customHeight="1" x14ac:dyDescent="0.2">
      <c r="B7" s="2199" t="s">
        <v>233</v>
      </c>
      <c r="C7" s="2200">
        <v>3781275.1103359</v>
      </c>
      <c r="D7" s="2052">
        <v>0</v>
      </c>
      <c r="E7" s="2052">
        <v>3781275.1103359</v>
      </c>
      <c r="F7" s="2052">
        <v>4246718.5621754518</v>
      </c>
      <c r="G7" s="2052">
        <v>4521149.5102769397</v>
      </c>
      <c r="H7" s="2053">
        <v>0.22733717808680376</v>
      </c>
      <c r="I7" s="2054">
        <v>1.1230916657101433</v>
      </c>
      <c r="J7" s="2054">
        <v>1.1956679634122984</v>
      </c>
      <c r="K7" s="2055">
        <v>3829.1039950338009</v>
      </c>
      <c r="L7" s="2056" t="s">
        <v>241</v>
      </c>
      <c r="M7" s="2055">
        <v>324621.05701294902</v>
      </c>
      <c r="N7" s="2055">
        <v>6972552.8536692197</v>
      </c>
      <c r="O7" s="2055">
        <v>4000.8453418421418</v>
      </c>
      <c r="P7" s="2057">
        <v>11.648274283652112</v>
      </c>
      <c r="Q7" s="2058">
        <v>0.5423085618269714</v>
      </c>
      <c r="R7" s="2055"/>
      <c r="S7" s="2055"/>
      <c r="T7" s="2055"/>
      <c r="U7" s="2055"/>
      <c r="V7" s="2055">
        <v>33403.506766632454</v>
      </c>
      <c r="W7" s="2055">
        <v>717475.68864256272</v>
      </c>
      <c r="X7" s="2057">
        <v>113.19994444754239</v>
      </c>
      <c r="Y7" s="2058">
        <v>5.2702484142562822</v>
      </c>
    </row>
    <row r="8" spans="2:28" s="2060" customFormat="1" ht="19.5" customHeight="1" thickBot="1" x14ac:dyDescent="0.25">
      <c r="B8" s="2071" t="s">
        <v>234</v>
      </c>
      <c r="C8" s="2201">
        <v>3452173.5611613533</v>
      </c>
      <c r="D8" s="2052">
        <v>0</v>
      </c>
      <c r="E8" s="2052">
        <v>3452173.5611613533</v>
      </c>
      <c r="F8" s="2052">
        <v>3973073.2001575329</v>
      </c>
      <c r="G8" s="2052">
        <v>4190300.884239207</v>
      </c>
      <c r="H8" s="2053">
        <v>0.24565163049913027</v>
      </c>
      <c r="I8" s="2054">
        <v>1.1508903390190333</v>
      </c>
      <c r="J8" s="2054">
        <v>1.213815241325682</v>
      </c>
      <c r="K8" s="2055">
        <v>2823.2085287087407</v>
      </c>
      <c r="L8" s="2056" t="s">
        <v>241</v>
      </c>
      <c r="M8" s="2055">
        <v>298922.25682288106</v>
      </c>
      <c r="N8" s="2055">
        <v>6553734.4672001591</v>
      </c>
      <c r="O8" s="2055">
        <v>3716.326998136748</v>
      </c>
      <c r="P8" s="2057">
        <v>11.548733767278001</v>
      </c>
      <c r="Q8" s="2058">
        <v>0.52674907389651493</v>
      </c>
      <c r="R8" s="2055"/>
      <c r="S8" s="2055"/>
      <c r="T8" s="2055"/>
      <c r="U8" s="2055"/>
      <c r="V8" s="2055">
        <v>30759.100227074458</v>
      </c>
      <c r="W8" s="2055">
        <v>674379.27667489636</v>
      </c>
      <c r="X8" s="2057">
        <v>112.23259249055396</v>
      </c>
      <c r="Y8" s="2058">
        <v>5.1190386190137502</v>
      </c>
    </row>
    <row r="9" spans="2:28" ht="17.25" customHeight="1" thickBot="1" x14ac:dyDescent="0.3">
      <c r="B9" s="342" t="s">
        <v>235</v>
      </c>
      <c r="C9" s="343">
        <v>7233448.6714972537</v>
      </c>
      <c r="D9" s="343">
        <v>0</v>
      </c>
      <c r="E9" s="343">
        <v>7233448.6714972537</v>
      </c>
      <c r="F9" s="343">
        <v>8219791.7623329852</v>
      </c>
      <c r="G9" s="343">
        <v>8711450.3945161477</v>
      </c>
      <c r="H9" s="344">
        <v>0.23572455840093592</v>
      </c>
      <c r="I9" s="345">
        <v>1.1363586216796322</v>
      </c>
      <c r="J9" s="345">
        <v>1.2043287773427944</v>
      </c>
      <c r="K9" s="346">
        <v>6652.3125237425411</v>
      </c>
      <c r="L9" s="347" t="s">
        <v>241</v>
      </c>
      <c r="M9" s="348">
        <v>623543.31383583008</v>
      </c>
      <c r="N9" s="348">
        <v>13526287.320869379</v>
      </c>
      <c r="O9" s="348">
        <v>7717.1723399788898</v>
      </c>
      <c r="P9" s="349">
        <v>11.600555263754647</v>
      </c>
      <c r="Q9" s="350">
        <v>0.53476970434724846</v>
      </c>
      <c r="R9" s="348">
        <v>0</v>
      </c>
      <c r="S9" s="348">
        <v>0</v>
      </c>
      <c r="T9" s="348"/>
      <c r="U9" s="348"/>
      <c r="V9" s="346">
        <v>64162.606993706919</v>
      </c>
      <c r="W9" s="346">
        <v>1391854.9653174591</v>
      </c>
      <c r="X9" s="349">
        <v>112.73620275757672</v>
      </c>
      <c r="Y9" s="350">
        <v>5.1969844931705396</v>
      </c>
      <c r="Z9" s="321" t="s">
        <v>290</v>
      </c>
      <c r="AA9" s="704" t="s">
        <v>495</v>
      </c>
    </row>
    <row r="10" spans="2:28" s="284" customFormat="1" ht="15" hidden="1" x14ac:dyDescent="0.2">
      <c r="B10" s="322" t="s">
        <v>139</v>
      </c>
      <c r="C10" s="323"/>
      <c r="D10" s="331"/>
      <c r="E10" s="331"/>
      <c r="F10" s="331"/>
      <c r="G10" s="331"/>
      <c r="H10" s="332"/>
      <c r="I10" s="333"/>
      <c r="J10" s="333"/>
      <c r="K10" s="804"/>
      <c r="L10" s="326"/>
      <c r="M10" s="804"/>
      <c r="N10" s="804"/>
      <c r="O10" s="804"/>
      <c r="P10" s="335"/>
      <c r="Q10" s="336"/>
      <c r="R10" s="804"/>
      <c r="S10" s="804"/>
      <c r="T10" s="804"/>
      <c r="U10" s="804"/>
      <c r="V10" s="804">
        <v>0</v>
      </c>
      <c r="W10" s="804">
        <v>0</v>
      </c>
      <c r="X10" s="335" t="s">
        <v>3</v>
      </c>
      <c r="Y10" s="336" t="s">
        <v>3</v>
      </c>
      <c r="Z10" s="393" t="e">
        <v>#DIV/0!</v>
      </c>
      <c r="AA10" s="797"/>
    </row>
    <row r="11" spans="2:28" s="2060" customFormat="1" ht="15" x14ac:dyDescent="0.2">
      <c r="B11" s="2202" t="s">
        <v>140</v>
      </c>
      <c r="C11" s="2051">
        <v>3599356.6022379501</v>
      </c>
      <c r="D11" s="2052">
        <v>925940.11722272448</v>
      </c>
      <c r="E11" s="2052">
        <v>4525296.7194606746</v>
      </c>
      <c r="F11" s="2052">
        <v>4920292.8776015248</v>
      </c>
      <c r="G11" s="2052">
        <v>4922344.5856407788</v>
      </c>
      <c r="H11" s="2053">
        <v>0.21639990453066851</v>
      </c>
      <c r="I11" s="2054">
        <v>1.36699233261363</v>
      </c>
      <c r="J11" s="2054">
        <v>1.0877396314086172</v>
      </c>
      <c r="K11" s="2055">
        <v>5343.9504615384612</v>
      </c>
      <c r="L11" s="2056" t="s">
        <v>241</v>
      </c>
      <c r="M11" s="2055">
        <v>430039.95895789261</v>
      </c>
      <c r="N11" s="2055">
        <v>7736740.0286880517</v>
      </c>
      <c r="O11" s="2055">
        <v>6741.8129298696258</v>
      </c>
      <c r="P11" s="2057">
        <v>8.3698189604524202</v>
      </c>
      <c r="Q11" s="2058">
        <v>0.4652291002271543</v>
      </c>
      <c r="R11" s="2055">
        <v>0</v>
      </c>
      <c r="S11" s="2055">
        <v>0</v>
      </c>
      <c r="T11" s="2055">
        <v>0</v>
      </c>
      <c r="U11" s="2055">
        <v>0</v>
      </c>
      <c r="V11" s="2055">
        <v>44251.111776767153</v>
      </c>
      <c r="W11" s="2055">
        <v>796110.54895200045</v>
      </c>
      <c r="X11" s="2057">
        <v>81.339348498079872</v>
      </c>
      <c r="Y11" s="2058">
        <v>4.5211768729558246</v>
      </c>
      <c r="Z11" s="2072"/>
      <c r="AA11" s="2203">
        <v>0.82193366813689805</v>
      </c>
      <c r="AB11" s="2072"/>
    </row>
    <row r="12" spans="2:28" s="2060" customFormat="1" ht="15.75" thickBot="1" x14ac:dyDescent="0.25">
      <c r="B12" s="2061" t="s">
        <v>141</v>
      </c>
      <c r="C12" s="2051">
        <v>2202895.7200153498</v>
      </c>
      <c r="D12" s="2052">
        <v>880144.19649445498</v>
      </c>
      <c r="E12" s="2052">
        <v>3083039.9165098048</v>
      </c>
      <c r="F12" s="2052">
        <v>2965314.7207167391</v>
      </c>
      <c r="G12" s="2052">
        <v>2966792.764843219</v>
      </c>
      <c r="H12" s="2053">
        <v>0.15675484324701175</v>
      </c>
      <c r="I12" s="2054">
        <v>1.3460985437368214</v>
      </c>
      <c r="J12" s="2054">
        <v>0.962294632954936</v>
      </c>
      <c r="K12" s="2055">
        <v>3222.5877192982457</v>
      </c>
      <c r="L12" s="2056" t="s">
        <v>241</v>
      </c>
      <c r="M12" s="2055">
        <v>259368.94494482045</v>
      </c>
      <c r="N12" s="2055">
        <v>4663962.8823790634</v>
      </c>
      <c r="O12" s="2055">
        <v>4196.8511292207504</v>
      </c>
      <c r="P12" s="2057">
        <v>8.4932902066745335</v>
      </c>
      <c r="Q12" s="2058">
        <v>0.47232273831726207</v>
      </c>
      <c r="R12" s="2055">
        <v>0</v>
      </c>
      <c r="S12" s="2055">
        <v>0</v>
      </c>
      <c r="T12" s="2055"/>
      <c r="U12" s="2055"/>
      <c r="V12" s="2055">
        <v>26689.064434822027</v>
      </c>
      <c r="W12" s="2055">
        <v>479921.78059680562</v>
      </c>
      <c r="X12" s="2057">
        <v>82.539263427352111</v>
      </c>
      <c r="Y12" s="2058">
        <v>4.5901140749976879</v>
      </c>
      <c r="Z12" s="2072"/>
      <c r="AA12" s="2203">
        <v>0.79834248086291271</v>
      </c>
      <c r="AB12" s="2072"/>
    </row>
    <row r="13" spans="2:28" ht="17.25" customHeight="1" thickBot="1" x14ac:dyDescent="0.3">
      <c r="B13" s="342" t="s">
        <v>146</v>
      </c>
      <c r="C13" s="343">
        <v>5802252.3222532999</v>
      </c>
      <c r="D13" s="343">
        <v>1806084.3137171795</v>
      </c>
      <c r="E13" s="343">
        <v>7608336.6359704789</v>
      </c>
      <c r="F13" s="343">
        <v>7885607.5983182639</v>
      </c>
      <c r="G13" s="343">
        <v>7889137.3504839977</v>
      </c>
      <c r="H13" s="344">
        <v>0.18908454715153963</v>
      </c>
      <c r="I13" s="345">
        <v>1.3590597513442668</v>
      </c>
      <c r="J13" s="345">
        <v>1.0369069782199116</v>
      </c>
      <c r="K13" s="346">
        <v>8566.5381808367074</v>
      </c>
      <c r="L13" s="347" t="s">
        <v>241</v>
      </c>
      <c r="M13" s="348">
        <v>689408.90390271309</v>
      </c>
      <c r="N13" s="348">
        <v>12400702.911067115</v>
      </c>
      <c r="O13" s="348">
        <v>10938.664059090377</v>
      </c>
      <c r="P13" s="349">
        <v>8.4162712280143293</v>
      </c>
      <c r="Q13" s="363">
        <v>0.46789705098692669</v>
      </c>
      <c r="R13" s="348">
        <v>0</v>
      </c>
      <c r="S13" s="348">
        <v>0</v>
      </c>
      <c r="T13" s="348">
        <v>0</v>
      </c>
      <c r="U13" s="348">
        <v>0</v>
      </c>
      <c r="V13" s="346">
        <v>70940.176211589176</v>
      </c>
      <c r="W13" s="346">
        <v>1276032.3295488062</v>
      </c>
      <c r="X13" s="349">
        <v>81.790779669721374</v>
      </c>
      <c r="Y13" s="363">
        <v>4.5471044799506961</v>
      </c>
    </row>
    <row r="14" spans="2:28" s="284" customFormat="1" ht="15.75" hidden="1" customHeight="1" x14ac:dyDescent="0.2">
      <c r="B14" s="359" t="s">
        <v>169</v>
      </c>
      <c r="C14" s="2145"/>
      <c r="D14" s="2133"/>
      <c r="E14" s="2133"/>
      <c r="F14" s="2133"/>
      <c r="G14" s="2133"/>
      <c r="H14" s="337"/>
      <c r="I14" s="338"/>
      <c r="J14" s="338"/>
      <c r="K14" s="2119"/>
      <c r="L14" s="2134"/>
      <c r="M14" s="2119"/>
      <c r="N14" s="2119"/>
      <c r="O14" s="2119"/>
      <c r="P14" s="341"/>
      <c r="Q14" s="336"/>
      <c r="R14" s="2119"/>
      <c r="S14" s="2119"/>
      <c r="T14" s="2119"/>
      <c r="U14" s="2119"/>
      <c r="V14" s="2119">
        <v>0</v>
      </c>
      <c r="W14" s="2119">
        <v>0</v>
      </c>
      <c r="X14" s="341" t="s">
        <v>3</v>
      </c>
      <c r="Y14" s="336" t="s">
        <v>3</v>
      </c>
    </row>
    <row r="15" spans="2:28" s="284" customFormat="1" ht="30" x14ac:dyDescent="0.2">
      <c r="B15" s="2073" t="s">
        <v>597</v>
      </c>
      <c r="C15" s="2051">
        <v>1657413.1223993539</v>
      </c>
      <c r="D15" s="2052">
        <v>1813700.5652431287</v>
      </c>
      <c r="E15" s="2052">
        <v>3471113.6876424826</v>
      </c>
      <c r="F15" s="2052">
        <v>2768774.6191433156</v>
      </c>
      <c r="G15" s="2052">
        <v>2768774.6191433161</v>
      </c>
      <c r="H15" s="2053">
        <v>9.9646709423593369E-2</v>
      </c>
      <c r="I15" s="2054">
        <v>1.6705398199907453</v>
      </c>
      <c r="J15" s="2054">
        <v>0.7976617501755805</v>
      </c>
      <c r="K15" s="2055">
        <v>2525.9843778081299</v>
      </c>
      <c r="L15" s="2056" t="s">
        <v>572</v>
      </c>
      <c r="M15" s="2055">
        <v>223343.2098078671</v>
      </c>
      <c r="N15" s="2055">
        <v>4421097.9174043611</v>
      </c>
      <c r="O15" s="2055">
        <v>2603.4833627072371</v>
      </c>
      <c r="P15" s="2057">
        <v>7.4209246111630511</v>
      </c>
      <c r="Q15" s="2058">
        <v>0.37488722334664459</v>
      </c>
      <c r="R15" s="804"/>
      <c r="S15" s="804"/>
      <c r="T15" s="804"/>
      <c r="U15" s="804"/>
      <c r="V15" s="2055">
        <v>22982.016289229523</v>
      </c>
      <c r="W15" s="2055">
        <v>454930.97570090875</v>
      </c>
      <c r="X15" s="2057">
        <v>72.117829068639963</v>
      </c>
      <c r="Y15" s="2058">
        <v>3.6432188857788588</v>
      </c>
    </row>
    <row r="16" spans="2:28" s="284" customFormat="1" ht="30.75" thickBot="1" x14ac:dyDescent="0.25">
      <c r="B16" s="2082" t="s">
        <v>598</v>
      </c>
      <c r="C16" s="2051">
        <v>1775298.7991354095</v>
      </c>
      <c r="D16" s="2052">
        <v>2226381.786964979</v>
      </c>
      <c r="E16" s="2052">
        <v>4001680.5861003883</v>
      </c>
      <c r="F16" s="2052">
        <v>2954246.4808535078</v>
      </c>
      <c r="G16" s="2052">
        <v>2954246.4808535078</v>
      </c>
      <c r="H16" s="2053">
        <v>0.12632767064123226</v>
      </c>
      <c r="I16" s="2054">
        <v>1.664084086742051</v>
      </c>
      <c r="J16" s="2054">
        <v>0.73825144643351004</v>
      </c>
      <c r="K16" s="2055">
        <v>2938.8310032818567</v>
      </c>
      <c r="L16" s="2056" t="s">
        <v>572</v>
      </c>
      <c r="M16" s="2055">
        <v>238378.30985519948</v>
      </c>
      <c r="N16" s="2055">
        <v>4720787.0704384968</v>
      </c>
      <c r="O16" s="2055">
        <v>2779.3725014340571</v>
      </c>
      <c r="P16" s="2057">
        <v>7.4474007312737349</v>
      </c>
      <c r="Q16" s="2058">
        <v>0.3760599181124491</v>
      </c>
      <c r="R16" s="804"/>
      <c r="S16" s="804"/>
      <c r="T16" s="804"/>
      <c r="U16" s="804"/>
      <c r="V16" s="2055">
        <v>24529.128084100026</v>
      </c>
      <c r="W16" s="2055">
        <v>485768.98954812135</v>
      </c>
      <c r="X16" s="2057">
        <v>72.375128583806941</v>
      </c>
      <c r="Y16" s="2058">
        <v>3.6546153363697673</v>
      </c>
    </row>
    <row r="17" spans="2:26" s="284" customFormat="1" ht="15.75" customHeight="1" thickBot="1" x14ac:dyDescent="0.3">
      <c r="B17" s="1928" t="s">
        <v>599</v>
      </c>
      <c r="C17" s="343">
        <v>3432711.9215347636</v>
      </c>
      <c r="D17" s="343">
        <v>4040082.3522081077</v>
      </c>
      <c r="E17" s="343">
        <v>7472794.2737428714</v>
      </c>
      <c r="F17" s="343">
        <v>5723021.0999968238</v>
      </c>
      <c r="G17" s="343">
        <v>5723021.0999968238</v>
      </c>
      <c r="H17" s="344">
        <v>0.11186565890899162</v>
      </c>
      <c r="I17" s="345">
        <v>1.6672011024560616</v>
      </c>
      <c r="J17" s="345">
        <v>0.76584753846439757</v>
      </c>
      <c r="K17" s="346">
        <v>5464.8153810899867</v>
      </c>
      <c r="L17" s="347" t="s">
        <v>572</v>
      </c>
      <c r="M17" s="348">
        <v>461721.5196630666</v>
      </c>
      <c r="N17" s="348">
        <v>9141884.9878428578</v>
      </c>
      <c r="O17" s="348">
        <v>5382.8558641412947</v>
      </c>
      <c r="P17" s="349">
        <v>7.4345937439513898</v>
      </c>
      <c r="Q17" s="363">
        <v>0.37549279236171568</v>
      </c>
      <c r="R17" s="348">
        <v>0</v>
      </c>
      <c r="S17" s="348">
        <v>0</v>
      </c>
      <c r="T17" s="348">
        <v>0</v>
      </c>
      <c r="U17" s="348">
        <v>0</v>
      </c>
      <c r="V17" s="346">
        <v>47511.144373329553</v>
      </c>
      <c r="W17" s="346">
        <v>940699.96524903004</v>
      </c>
      <c r="X17" s="349">
        <v>72.25066806561118</v>
      </c>
      <c r="Y17" s="363">
        <v>3.649103910220755</v>
      </c>
    </row>
    <row r="18" spans="2:26" s="284" customFormat="1" ht="15.75" thickBot="1" x14ac:dyDescent="0.25">
      <c r="B18" s="2290" t="s">
        <v>609</v>
      </c>
      <c r="C18" s="2291">
        <v>140566</v>
      </c>
      <c r="D18" s="2281">
        <v>-140566</v>
      </c>
      <c r="E18" s="2281">
        <v>0</v>
      </c>
      <c r="F18" s="2281">
        <v>150480.84358293144</v>
      </c>
      <c r="G18" s="2281">
        <v>150480.84358293144</v>
      </c>
      <c r="H18" s="2282">
        <v>8.4510851081954046E-3</v>
      </c>
      <c r="I18" s="2283">
        <v>1.0705351477806258</v>
      </c>
      <c r="J18" s="2283"/>
      <c r="K18" s="2284">
        <v>20000</v>
      </c>
      <c r="L18" s="2284" t="s">
        <v>242</v>
      </c>
      <c r="M18" s="2285">
        <v>45333.333333333336</v>
      </c>
      <c r="N18" s="2285">
        <v>167733.33333333334</v>
      </c>
      <c r="O18" s="2285">
        <v>0</v>
      </c>
      <c r="P18" s="2286">
        <v>3.1007205882352942</v>
      </c>
      <c r="Q18" s="2287">
        <v>0.83803259141494435</v>
      </c>
      <c r="R18" s="2285">
        <v>0</v>
      </c>
      <c r="S18" s="2285">
        <v>0</v>
      </c>
      <c r="T18" s="2285">
        <v>0</v>
      </c>
      <c r="U18" s="2285">
        <v>0</v>
      </c>
      <c r="V18" s="2284">
        <v>4664.8</v>
      </c>
      <c r="W18" s="2284">
        <v>17259.759999999998</v>
      </c>
      <c r="X18" s="2288">
        <v>30.133339049905675</v>
      </c>
      <c r="Y18" s="2289">
        <v>0</v>
      </c>
    </row>
    <row r="19" spans="2:26" s="2060" customFormat="1" ht="15.75" thickBot="1" x14ac:dyDescent="0.25">
      <c r="B19" s="2176" t="s">
        <v>530</v>
      </c>
      <c r="C19" s="2204">
        <v>140565</v>
      </c>
      <c r="D19" s="2281">
        <v>-140565</v>
      </c>
      <c r="E19" s="2177">
        <v>0</v>
      </c>
      <c r="F19" s="2281">
        <v>111517.95664134939</v>
      </c>
      <c r="G19" s="2281">
        <v>111517.95664134939</v>
      </c>
      <c r="H19" s="2178">
        <v>1.0002400177554783E-2</v>
      </c>
      <c r="I19" s="2190">
        <v>0.79335507872763056</v>
      </c>
      <c r="J19" s="2190"/>
      <c r="K19" s="2184">
        <v>20000</v>
      </c>
      <c r="L19" s="2284" t="s">
        <v>242</v>
      </c>
      <c r="M19" s="2180">
        <v>45333.333333333336</v>
      </c>
      <c r="N19" s="2180">
        <v>90666.666666666672</v>
      </c>
      <c r="O19" s="2285">
        <v>0</v>
      </c>
      <c r="P19" s="2182">
        <v>3.1006985294117646</v>
      </c>
      <c r="Q19" s="2183">
        <v>1.5503492647058823</v>
      </c>
      <c r="R19" s="2180">
        <v>0</v>
      </c>
      <c r="S19" s="2180">
        <v>0</v>
      </c>
      <c r="T19" s="2180">
        <v>0</v>
      </c>
      <c r="U19" s="2180">
        <v>0</v>
      </c>
      <c r="V19" s="2184">
        <v>4664.8</v>
      </c>
      <c r="W19" s="2184">
        <v>9329.6</v>
      </c>
      <c r="X19" s="2191">
        <v>30.133124678442805</v>
      </c>
      <c r="Y19" s="2192">
        <v>0</v>
      </c>
    </row>
    <row r="20" spans="2:26" s="284" customFormat="1" ht="16.5" thickBot="1" x14ac:dyDescent="0.3">
      <c r="B20" s="1928" t="s">
        <v>610</v>
      </c>
      <c r="C20" s="343">
        <v>281131</v>
      </c>
      <c r="D20" s="343">
        <v>-281131</v>
      </c>
      <c r="E20" s="343">
        <v>0</v>
      </c>
      <c r="F20" s="343">
        <v>261998.80022428083</v>
      </c>
      <c r="G20" s="343">
        <v>261998.80022428083</v>
      </c>
      <c r="H20" s="344">
        <v>9.161533293094673E-3</v>
      </c>
      <c r="I20" s="345"/>
      <c r="J20" s="345"/>
      <c r="K20" s="346">
        <v>40000</v>
      </c>
      <c r="L20" s="347"/>
      <c r="M20" s="348">
        <v>90666.666666666672</v>
      </c>
      <c r="N20" s="348">
        <v>258400</v>
      </c>
      <c r="O20" s="348">
        <v>0</v>
      </c>
      <c r="P20" s="349">
        <v>3.1007095588235294</v>
      </c>
      <c r="Q20" s="363">
        <v>1.0879682662538699</v>
      </c>
      <c r="R20" s="348">
        <v>0</v>
      </c>
      <c r="S20" s="348">
        <v>0</v>
      </c>
      <c r="T20" s="348">
        <v>0</v>
      </c>
      <c r="U20" s="348">
        <v>0</v>
      </c>
      <c r="V20" s="346">
        <v>9329.6</v>
      </c>
      <c r="W20" s="346">
        <v>26589.360000000001</v>
      </c>
      <c r="X20" s="349">
        <v>30.133231864174238</v>
      </c>
      <c r="Y20" s="363">
        <v>10.573063811990961</v>
      </c>
    </row>
    <row r="21" spans="2:26" s="2060" customFormat="1" ht="15.75" customHeight="1" x14ac:dyDescent="0.2">
      <c r="B21" s="2071" t="s">
        <v>170</v>
      </c>
      <c r="C21" s="2051">
        <v>598442.975650387</v>
      </c>
      <c r="D21" s="2051">
        <v>547968.024349613</v>
      </c>
      <c r="E21" s="2051">
        <v>1146411</v>
      </c>
      <c r="F21" s="2051">
        <v>1436291.0827832532</v>
      </c>
      <c r="G21" s="2051">
        <v>1436291.0827832532</v>
      </c>
      <c r="H21" s="2185">
        <v>3.5979486644160966E-2</v>
      </c>
      <c r="I21" s="2186">
        <v>2.4000466898659711</v>
      </c>
      <c r="J21" s="2186">
        <v>1.2528587764625891</v>
      </c>
      <c r="K21" s="2187">
        <v>281.16520937325191</v>
      </c>
      <c r="L21" s="2056" t="s">
        <v>241</v>
      </c>
      <c r="M21" s="2187">
        <v>98863.324589830503</v>
      </c>
      <c r="N21" s="2187">
        <v>2287489.9902028642</v>
      </c>
      <c r="O21" s="2187">
        <v>894.81195086255605</v>
      </c>
      <c r="P21" s="2188">
        <v>6.0532353947557347</v>
      </c>
      <c r="Q21" s="2189">
        <v>0.26161556037992306</v>
      </c>
      <c r="R21" s="2187"/>
      <c r="S21" s="2187"/>
      <c r="T21" s="2187"/>
      <c r="U21" s="2187"/>
      <c r="V21" s="2187">
        <v>10173.036100293559</v>
      </c>
      <c r="W21" s="2187">
        <v>235382.71999187474</v>
      </c>
      <c r="X21" s="2188">
        <v>58.826388675954661</v>
      </c>
      <c r="Y21" s="2189">
        <v>2.5424252709419148</v>
      </c>
    </row>
    <row r="22" spans="2:26" s="2060" customFormat="1" ht="15.75" customHeight="1" thickBot="1" x14ac:dyDescent="0.25">
      <c r="B22" s="2061" t="s">
        <v>171</v>
      </c>
      <c r="C22" s="2051">
        <v>750790</v>
      </c>
      <c r="D22" s="2052">
        <v>708800</v>
      </c>
      <c r="E22" s="2051">
        <v>1459590</v>
      </c>
      <c r="F22" s="2051">
        <v>1118509.5433908661</v>
      </c>
      <c r="G22" s="2051">
        <v>1118509.5433908661</v>
      </c>
      <c r="H22" s="2053">
        <v>5.3425120259711557E-2</v>
      </c>
      <c r="I22" s="2054">
        <v>1.4897768262641566</v>
      </c>
      <c r="J22" s="2054">
        <v>0.766317625765363</v>
      </c>
      <c r="K22" s="2187">
        <v>358.28171339483828</v>
      </c>
      <c r="L22" s="2056" t="s">
        <v>241</v>
      </c>
      <c r="M22" s="2187">
        <v>76888.887334292245</v>
      </c>
      <c r="N22" s="2187">
        <v>1823190.5705633524</v>
      </c>
      <c r="O22" s="2187">
        <v>739.73673301093288</v>
      </c>
      <c r="P22" s="2057">
        <v>9.7646100240177311</v>
      </c>
      <c r="Q22" s="2058">
        <v>0.41180006748719167</v>
      </c>
      <c r="R22" s="2055"/>
      <c r="S22" s="2055"/>
      <c r="T22" s="2055"/>
      <c r="U22" s="2055"/>
      <c r="V22" s="2055">
        <v>7911.8665066986723</v>
      </c>
      <c r="W22" s="2055">
        <v>187606.30971096896</v>
      </c>
      <c r="X22" s="2057">
        <v>94.894169329618379</v>
      </c>
      <c r="Y22" s="2058">
        <v>4.0019442904488987</v>
      </c>
    </row>
    <row r="23" spans="2:26" ht="17.25" customHeight="1" thickBot="1" x14ac:dyDescent="0.3">
      <c r="B23" s="342" t="s">
        <v>204</v>
      </c>
      <c r="C23" s="343">
        <v>1349232.9756503869</v>
      </c>
      <c r="D23" s="343">
        <v>1256768.0243496131</v>
      </c>
      <c r="E23" s="343">
        <v>2606001</v>
      </c>
      <c r="F23" s="343">
        <v>2554800.6261741193</v>
      </c>
      <c r="G23" s="343">
        <v>2554800.6261741193</v>
      </c>
      <c r="H23" s="344">
        <v>4.3968978257688453E-2</v>
      </c>
      <c r="I23" s="345">
        <v>1.8935207427335508</v>
      </c>
      <c r="J23" s="345">
        <v>0.98035289555687788</v>
      </c>
      <c r="K23" s="346">
        <v>639.44692276809019</v>
      </c>
      <c r="L23" s="347" t="s">
        <v>241</v>
      </c>
      <c r="M23" s="348">
        <v>175752.21192412276</v>
      </c>
      <c r="N23" s="348">
        <v>4110680.5607662164</v>
      </c>
      <c r="O23" s="348">
        <v>1634.5486838734889</v>
      </c>
      <c r="P23" s="349">
        <v>7.6769046652618469</v>
      </c>
      <c r="Q23" s="363">
        <v>0.32822617951098942</v>
      </c>
      <c r="R23" s="2067">
        <v>0</v>
      </c>
      <c r="S23" s="2067">
        <v>0</v>
      </c>
      <c r="T23" s="2067">
        <v>0</v>
      </c>
      <c r="U23" s="2067">
        <v>0</v>
      </c>
      <c r="V23" s="346">
        <v>18084.902606992233</v>
      </c>
      <c r="W23" s="346">
        <v>422989.02970284369</v>
      </c>
      <c r="X23" s="2068">
        <v>74.605487514692385</v>
      </c>
      <c r="Y23" s="2069">
        <v>3.1897587901942606</v>
      </c>
    </row>
    <row r="24" spans="2:26" s="284" customFormat="1" ht="15.75" hidden="1" customHeight="1" x14ac:dyDescent="0.2">
      <c r="B24" s="322" t="s">
        <v>142</v>
      </c>
      <c r="C24" s="323"/>
      <c r="D24" s="331"/>
      <c r="E24" s="331"/>
      <c r="F24" s="331"/>
      <c r="G24" s="331"/>
      <c r="H24" s="332"/>
      <c r="I24" s="333"/>
      <c r="J24" s="333"/>
      <c r="K24" s="804"/>
      <c r="L24" s="326"/>
      <c r="M24" s="804"/>
      <c r="N24" s="804"/>
      <c r="O24" s="804"/>
      <c r="P24" s="335"/>
      <c r="Q24" s="336"/>
      <c r="R24" s="2055"/>
      <c r="S24" s="2055"/>
      <c r="T24" s="2055"/>
      <c r="U24" s="2055"/>
      <c r="V24" s="804">
        <v>0</v>
      </c>
      <c r="W24" s="804">
        <v>0</v>
      </c>
      <c r="X24" s="2078" t="s">
        <v>3</v>
      </c>
      <c r="Y24" s="2079" t="s">
        <v>3</v>
      </c>
    </row>
    <row r="25" spans="2:26" s="2060" customFormat="1" ht="16.5" hidden="1" customHeight="1" x14ac:dyDescent="0.2">
      <c r="B25" s="2202" t="s">
        <v>143</v>
      </c>
      <c r="C25" s="2051"/>
      <c r="D25" s="2052"/>
      <c r="E25" s="2052"/>
      <c r="F25" s="2052"/>
      <c r="G25" s="2052"/>
      <c r="H25" s="2053">
        <v>0</v>
      </c>
      <c r="I25" s="2054" t="e">
        <v>#DIV/0!</v>
      </c>
      <c r="J25" s="2054" t="e">
        <v>#DIV/0!</v>
      </c>
      <c r="K25" s="2055"/>
      <c r="L25" s="2056" t="s">
        <v>242</v>
      </c>
      <c r="M25" s="2055"/>
      <c r="N25" s="2055"/>
      <c r="O25" s="2055"/>
      <c r="P25" s="2057" t="e">
        <v>#DIV/0!</v>
      </c>
      <c r="Q25" s="2058" t="e">
        <v>#DIV/0!</v>
      </c>
      <c r="R25" s="2077"/>
      <c r="S25" s="2077"/>
      <c r="T25" s="2077"/>
      <c r="U25" s="2077"/>
      <c r="V25" s="2055">
        <v>0</v>
      </c>
      <c r="W25" s="2055">
        <v>0</v>
      </c>
      <c r="X25" s="2078" t="e">
        <v>#DIV/0!</v>
      </c>
      <c r="Y25" s="2079" t="e">
        <v>#DIV/0!</v>
      </c>
    </row>
    <row r="26" spans="2:26" s="2060" customFormat="1" ht="15.75" hidden="1" customHeight="1" thickBot="1" x14ac:dyDescent="0.25">
      <c r="B26" s="2061" t="s">
        <v>144</v>
      </c>
      <c r="C26" s="2051">
        <v>0</v>
      </c>
      <c r="D26" s="2052">
        <v>0</v>
      </c>
      <c r="E26" s="2052"/>
      <c r="F26" s="2052"/>
      <c r="G26" s="2052"/>
      <c r="H26" s="2053">
        <v>0</v>
      </c>
      <c r="I26" s="2054" t="e">
        <v>#DIV/0!</v>
      </c>
      <c r="J26" s="2054" t="e">
        <v>#DIV/0!</v>
      </c>
      <c r="K26" s="2055"/>
      <c r="L26" s="2056" t="s">
        <v>242</v>
      </c>
      <c r="M26" s="2055"/>
      <c r="N26" s="2055"/>
      <c r="O26" s="2055"/>
      <c r="P26" s="2057" t="e">
        <v>#DIV/0!</v>
      </c>
      <c r="Q26" s="2058" t="e">
        <v>#DIV/0!</v>
      </c>
      <c r="R26" s="2077"/>
      <c r="S26" s="2077"/>
      <c r="T26" s="2077"/>
      <c r="U26" s="2077"/>
      <c r="V26" s="2055">
        <v>0</v>
      </c>
      <c r="W26" s="2055">
        <v>0</v>
      </c>
      <c r="X26" s="2078" t="e">
        <v>#DIV/0!</v>
      </c>
      <c r="Y26" s="2079" t="e">
        <v>#DIV/0!</v>
      </c>
    </row>
    <row r="27" spans="2:26" ht="17.25" hidden="1" customHeight="1" thickBot="1" x14ac:dyDescent="0.3">
      <c r="B27" s="342" t="s">
        <v>145</v>
      </c>
      <c r="C27" s="684">
        <v>0</v>
      </c>
      <c r="D27" s="618">
        <v>0</v>
      </c>
      <c r="E27" s="343">
        <v>0</v>
      </c>
      <c r="F27" s="343">
        <v>0</v>
      </c>
      <c r="G27" s="343">
        <v>0</v>
      </c>
      <c r="H27" s="344">
        <v>0</v>
      </c>
      <c r="I27" s="345" t="e">
        <v>#DIV/0!</v>
      </c>
      <c r="J27" s="345" t="e">
        <v>#DIV/0!</v>
      </c>
      <c r="K27" s="346">
        <v>0</v>
      </c>
      <c r="L27" s="619" t="s">
        <v>242</v>
      </c>
      <c r="M27" s="348">
        <v>0</v>
      </c>
      <c r="N27" s="348">
        <v>0</v>
      </c>
      <c r="O27" s="348">
        <v>0</v>
      </c>
      <c r="P27" s="349" t="e">
        <v>#DIV/0!</v>
      </c>
      <c r="Q27" s="363" t="e">
        <v>#DIV/0!</v>
      </c>
      <c r="R27" s="348">
        <v>0</v>
      </c>
      <c r="S27" s="348">
        <v>0</v>
      </c>
      <c r="T27" s="348">
        <v>0</v>
      </c>
      <c r="U27" s="348">
        <v>0</v>
      </c>
      <c r="V27" s="346">
        <v>0</v>
      </c>
      <c r="W27" s="346">
        <v>0</v>
      </c>
      <c r="X27" s="349" t="e">
        <v>#DIV/0!</v>
      </c>
      <c r="Y27" s="363" t="e">
        <v>#DIV/0!</v>
      </c>
    </row>
    <row r="28" spans="2:26" ht="32.25" thickBot="1" x14ac:dyDescent="0.3">
      <c r="B28" s="364" t="s">
        <v>88</v>
      </c>
      <c r="C28" s="365">
        <v>18098776.890935704</v>
      </c>
      <c r="D28" s="365">
        <v>6821803.6902748998</v>
      </c>
      <c r="E28" s="365">
        <v>24920580.581210606</v>
      </c>
      <c r="F28" s="365">
        <v>24645219.887046475</v>
      </c>
      <c r="G28" s="365">
        <v>25140408.27139537</v>
      </c>
      <c r="H28" s="366">
        <v>0.5898052760122503</v>
      </c>
      <c r="I28" s="317">
        <v>1.3617063758263899</v>
      </c>
      <c r="J28" s="317">
        <v>1.0088211303692702</v>
      </c>
      <c r="K28" s="805">
        <v>61323.113008437322</v>
      </c>
      <c r="L28" s="941" t="s">
        <v>462</v>
      </c>
      <c r="M28" s="348">
        <v>2041092.6159923994</v>
      </c>
      <c r="N28" s="348">
        <v>39437955.780545563</v>
      </c>
      <c r="O28" s="348">
        <v>25673.240947084054</v>
      </c>
      <c r="P28" s="367">
        <v>8.867200218710261</v>
      </c>
      <c r="Q28" s="367">
        <v>0.45891772361750277</v>
      </c>
      <c r="R28" s="348">
        <v>0</v>
      </c>
      <c r="S28" s="348">
        <v>0</v>
      </c>
      <c r="T28" s="348">
        <v>0</v>
      </c>
      <c r="U28" s="348">
        <v>0</v>
      </c>
      <c r="V28" s="348">
        <v>210028.43018561788</v>
      </c>
      <c r="W28" s="348">
        <v>4058165.6498181387</v>
      </c>
      <c r="X28" s="367">
        <v>86.172985604570087</v>
      </c>
      <c r="Y28" s="367">
        <v>4.459841823299346</v>
      </c>
    </row>
    <row r="29" spans="2:26" ht="15.75" customHeight="1" x14ac:dyDescent="0.25">
      <c r="B29" s="368"/>
      <c r="C29" s="369"/>
      <c r="D29" s="369"/>
      <c r="E29" s="369"/>
      <c r="F29" s="369"/>
      <c r="G29" s="369"/>
      <c r="H29" s="370"/>
      <c r="I29" s="371"/>
      <c r="J29" s="371"/>
      <c r="K29" s="372"/>
      <c r="L29" s="373"/>
      <c r="M29" s="374"/>
      <c r="N29" s="374"/>
      <c r="O29" s="374"/>
      <c r="P29" s="375"/>
      <c r="Q29" s="376"/>
      <c r="R29" s="373"/>
      <c r="S29" s="373"/>
      <c r="T29" s="373"/>
      <c r="U29" s="373"/>
      <c r="V29" s="373"/>
      <c r="W29" s="373"/>
      <c r="X29" s="375"/>
      <c r="Y29" s="375"/>
      <c r="Z29" s="2131"/>
    </row>
    <row r="30" spans="2:26"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row>
    <row r="31" spans="2:26"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2146" t="s">
        <v>3</v>
      </c>
      <c r="W31" s="2146" t="s">
        <v>3</v>
      </c>
      <c r="X31" s="341" t="s">
        <v>3</v>
      </c>
      <c r="Y31" s="336" t="s">
        <v>3</v>
      </c>
    </row>
    <row r="32" spans="2:26" s="284" customFormat="1" ht="15.75" thickBot="1" x14ac:dyDescent="0.25">
      <c r="B32" s="399" t="s">
        <v>125</v>
      </c>
      <c r="C32" s="351">
        <v>2400255.5600455399</v>
      </c>
      <c r="D32" s="1108">
        <v>4488497.666666666</v>
      </c>
      <c r="E32" s="351">
        <v>6888753.2267122064</v>
      </c>
      <c r="F32" s="1108">
        <v>3806223.9267734936</v>
      </c>
      <c r="G32" s="351">
        <v>3806223.9267734936</v>
      </c>
      <c r="H32" s="401">
        <v>0.14430775592507492</v>
      </c>
      <c r="I32" s="2137">
        <v>1.585757779351328</v>
      </c>
      <c r="J32" s="2137">
        <v>0.55252725732927577</v>
      </c>
      <c r="K32" s="2121">
        <v>224.12703709662182</v>
      </c>
      <c r="L32" s="354" t="s">
        <v>244</v>
      </c>
      <c r="M32" s="2121">
        <v>358987.86376607872</v>
      </c>
      <c r="N32" s="2121">
        <v>5783230.8716799347</v>
      </c>
      <c r="O32" s="2121">
        <v>3839.5959338498874</v>
      </c>
      <c r="P32" s="2120">
        <v>6.6861746658086982</v>
      </c>
      <c r="Q32" s="2138">
        <v>0.41503713292848443</v>
      </c>
      <c r="R32" s="2121"/>
      <c r="S32" s="2121"/>
      <c r="T32" s="2121"/>
      <c r="U32" s="2121"/>
      <c r="V32" s="2121">
        <v>36939.851181529506</v>
      </c>
      <c r="W32" s="2121">
        <v>595094.45669586526</v>
      </c>
      <c r="X32" s="2120">
        <v>64.977402000084524</v>
      </c>
      <c r="Y32" s="2138">
        <v>4.0334026523662239</v>
      </c>
    </row>
    <row r="33" spans="2:29" s="284" customFormat="1" ht="15.75" thickBot="1" x14ac:dyDescent="0.25">
      <c r="B33" s="383" t="s">
        <v>126</v>
      </c>
      <c r="C33" s="384">
        <v>1957179.7461248999</v>
      </c>
      <c r="D33" s="1270">
        <v>4210686.6666666633</v>
      </c>
      <c r="E33" s="384">
        <v>6167866.4127915632</v>
      </c>
      <c r="F33" s="1270">
        <v>3054252.7417145218</v>
      </c>
      <c r="G33" s="384">
        <v>3054252.7417145218</v>
      </c>
      <c r="H33" s="385">
        <v>0.13927005328599809</v>
      </c>
      <c r="I33" s="386">
        <v>1.5605376806917002</v>
      </c>
      <c r="J33" s="386">
        <v>0.4951878878862056</v>
      </c>
      <c r="K33" s="2121">
        <v>157.45920549808591</v>
      </c>
      <c r="L33" s="2150" t="s">
        <v>244</v>
      </c>
      <c r="M33" s="2121">
        <v>288064.94001503172</v>
      </c>
      <c r="N33" s="2121">
        <v>4640675.1377787879</v>
      </c>
      <c r="O33" s="2121">
        <v>3594.5369319458046</v>
      </c>
      <c r="P33" s="2128">
        <v>6.7942310022968115</v>
      </c>
      <c r="Q33" s="2143">
        <v>0.42174461431094362</v>
      </c>
      <c r="R33" s="2130"/>
      <c r="S33" s="2130"/>
      <c r="T33" s="2130"/>
      <c r="U33" s="2130"/>
      <c r="V33" s="2130">
        <v>29641.882327546766</v>
      </c>
      <c r="W33" s="2130">
        <v>477525.47167743725</v>
      </c>
      <c r="X33" s="2128">
        <v>66.027512170037042</v>
      </c>
      <c r="Y33" s="2143">
        <v>4.0985871167244277</v>
      </c>
    </row>
    <row r="34" spans="2:29" ht="17.25" customHeight="1" thickBot="1" x14ac:dyDescent="0.3">
      <c r="B34" s="388" t="s">
        <v>137</v>
      </c>
      <c r="C34" s="389">
        <v>4357435.3061704393</v>
      </c>
      <c r="D34" s="389">
        <v>8699184.3333333284</v>
      </c>
      <c r="E34" s="389">
        <v>13056619.63950377</v>
      </c>
      <c r="F34" s="389">
        <v>6860476.6684880154</v>
      </c>
      <c r="G34" s="389">
        <v>6860476.6684880154</v>
      </c>
      <c r="H34" s="390">
        <v>0.14200066385416998</v>
      </c>
      <c r="I34" s="391">
        <v>1.5744299539623896</v>
      </c>
      <c r="J34" s="391">
        <v>0.5254404936275493</v>
      </c>
      <c r="K34" s="392">
        <v>381.58624259470776</v>
      </c>
      <c r="L34" s="389" t="s">
        <v>244</v>
      </c>
      <c r="M34" s="2147">
        <v>647052.80378111044</v>
      </c>
      <c r="N34" s="2147">
        <v>10423906.009458723</v>
      </c>
      <c r="O34" s="2147">
        <v>7434.1328657956919</v>
      </c>
      <c r="P34" s="2148">
        <v>6.7342808511258738</v>
      </c>
      <c r="Q34" s="2149">
        <v>0.41802327287069485</v>
      </c>
      <c r="R34" s="2147">
        <v>0</v>
      </c>
      <c r="S34" s="2147">
        <v>0</v>
      </c>
      <c r="T34" s="2147">
        <v>0</v>
      </c>
      <c r="U34" s="2147">
        <v>0</v>
      </c>
      <c r="V34" s="392">
        <v>66581.733509076264</v>
      </c>
      <c r="W34" s="392">
        <v>1072619.9283733026</v>
      </c>
      <c r="X34" s="2148">
        <v>65.444906230572144</v>
      </c>
      <c r="Y34" s="2149">
        <v>4.0624224768775008</v>
      </c>
    </row>
    <row r="35" spans="2:29" ht="15.75" customHeight="1" thickBot="1" x14ac:dyDescent="0.3">
      <c r="B35" s="2160" t="s">
        <v>132</v>
      </c>
      <c r="C35" s="2161"/>
      <c r="D35" s="2161"/>
      <c r="E35" s="2161"/>
      <c r="F35" s="2161"/>
      <c r="G35" s="2161"/>
      <c r="H35" s="2161"/>
      <c r="I35" s="2161"/>
      <c r="J35" s="2161"/>
      <c r="K35" s="2161"/>
      <c r="L35" s="2161"/>
      <c r="M35" s="2161"/>
      <c r="N35" s="2161"/>
      <c r="O35" s="2161"/>
      <c r="P35" s="2161"/>
      <c r="Q35" s="2161"/>
      <c r="R35" s="2161"/>
      <c r="S35" s="2161"/>
      <c r="T35" s="2161"/>
      <c r="U35" s="2161"/>
      <c r="V35" s="2161"/>
      <c r="W35" s="2161"/>
      <c r="X35" s="2161"/>
      <c r="Y35" s="2161"/>
    </row>
    <row r="36" spans="2:29"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2134"/>
      <c r="S36" s="2134"/>
      <c r="T36" s="2134"/>
      <c r="U36" s="2134"/>
      <c r="V36" s="2146" t="s">
        <v>3</v>
      </c>
      <c r="W36" s="2146" t="s">
        <v>3</v>
      </c>
      <c r="X36" s="341" t="s">
        <v>3</v>
      </c>
      <c r="Y36" s="336" t="s">
        <v>3</v>
      </c>
      <c r="AB36" s="306"/>
      <c r="AC36" s="393"/>
    </row>
    <row r="37" spans="2:29" s="284" customFormat="1" ht="15.75" customHeight="1" thickBot="1" x14ac:dyDescent="0.25">
      <c r="B37" s="2135" t="s">
        <v>129</v>
      </c>
      <c r="C37" s="351">
        <v>1271144.5010718</v>
      </c>
      <c r="D37" s="1108">
        <v>2118125.0528875096</v>
      </c>
      <c r="E37" s="351">
        <v>3389269.5539593096</v>
      </c>
      <c r="F37" s="351">
        <v>2949580.2128328476</v>
      </c>
      <c r="G37" s="351">
        <v>2949580.2128328476</v>
      </c>
      <c r="H37" s="401">
        <v>7.6423533168563998E-2</v>
      </c>
      <c r="I37" s="2137">
        <v>2.3204129902979789</v>
      </c>
      <c r="J37" s="2137">
        <v>0.87027017647126315</v>
      </c>
      <c r="K37" s="2121">
        <v>45.310130060545994</v>
      </c>
      <c r="L37" s="354" t="s">
        <v>244</v>
      </c>
      <c r="M37" s="2121">
        <v>388999.59894853196</v>
      </c>
      <c r="N37" s="2121">
        <v>4273069.7665275391</v>
      </c>
      <c r="O37" s="2121">
        <v>2663.6586182335568</v>
      </c>
      <c r="P37" s="2120">
        <v>3.2677270221041628</v>
      </c>
      <c r="Q37" s="2138">
        <v>0.29747805922316617</v>
      </c>
      <c r="R37" s="2121"/>
      <c r="S37" s="2121"/>
      <c r="T37" s="2121"/>
      <c r="U37" s="2121"/>
      <c r="V37" s="2121">
        <v>40028.05873180394</v>
      </c>
      <c r="W37" s="2121">
        <v>439698.87897568377</v>
      </c>
      <c r="X37" s="2120">
        <v>31.756336463597307</v>
      </c>
      <c r="Y37" s="2138">
        <v>2.8909432383203706</v>
      </c>
      <c r="Z37" s="295"/>
    </row>
    <row r="38" spans="2:29" s="284" customFormat="1" ht="15.75" customHeight="1" thickBot="1" x14ac:dyDescent="0.25">
      <c r="B38" s="2151" t="s">
        <v>130</v>
      </c>
      <c r="C38" s="2152">
        <v>990780.23207609996</v>
      </c>
      <c r="D38" s="1270">
        <v>1688450.0348414313</v>
      </c>
      <c r="E38" s="351">
        <v>2679230.2669175314</v>
      </c>
      <c r="F38" s="351">
        <v>2351538.503564172</v>
      </c>
      <c r="G38" s="351">
        <v>2351538.503564172</v>
      </c>
      <c r="H38" s="385">
        <v>7.050247479269911E-2</v>
      </c>
      <c r="I38" s="386">
        <v>2.373420893386935</v>
      </c>
      <c r="J38" s="386">
        <v>0.87769182537252743</v>
      </c>
      <c r="K38" s="2121">
        <v>36.123281196188451</v>
      </c>
      <c r="L38" s="2150" t="s">
        <v>244</v>
      </c>
      <c r="M38" s="2121">
        <v>310128.04154932557</v>
      </c>
      <c r="N38" s="2121">
        <v>3406684.1242994573</v>
      </c>
      <c r="O38" s="2121">
        <v>2123.5899105069452</v>
      </c>
      <c r="P38" s="2128">
        <v>3.1947457157579131</v>
      </c>
      <c r="Q38" s="2143">
        <v>0.29083419416816103</v>
      </c>
      <c r="R38" s="2130"/>
      <c r="S38" s="2130"/>
      <c r="T38" s="2130"/>
      <c r="U38" s="2130"/>
      <c r="V38" s="2130">
        <v>31912.175475425604</v>
      </c>
      <c r="W38" s="2130">
        <v>350547.79639041418</v>
      </c>
      <c r="X38" s="2128">
        <v>31.047091503964168</v>
      </c>
      <c r="Y38" s="2143">
        <v>2.8263770084369386</v>
      </c>
      <c r="Z38" s="295"/>
    </row>
    <row r="39" spans="2:29" ht="18" customHeight="1" thickBot="1" x14ac:dyDescent="0.3">
      <c r="B39" s="1928" t="s">
        <v>617</v>
      </c>
      <c r="C39" s="343">
        <v>2261924.7331479001</v>
      </c>
      <c r="D39" s="343">
        <v>3806575.0877289409</v>
      </c>
      <c r="E39" s="343">
        <v>6068499.8208768405</v>
      </c>
      <c r="F39" s="343">
        <v>5301118.7163970191</v>
      </c>
      <c r="G39" s="343">
        <v>5301118.7163970191</v>
      </c>
      <c r="H39" s="344">
        <v>7.3711894985642887E-2</v>
      </c>
      <c r="I39" s="345">
        <v>2.343631792300843</v>
      </c>
      <c r="J39" s="345">
        <v>0.87354681929133815</v>
      </c>
      <c r="K39" s="346">
        <v>81.433411256734445</v>
      </c>
      <c r="L39" s="343" t="s">
        <v>244</v>
      </c>
      <c r="M39" s="348">
        <v>699127.64049785747</v>
      </c>
      <c r="N39" s="348">
        <v>7679753.8908269964</v>
      </c>
      <c r="O39" s="348">
        <v>4787.2485287405016</v>
      </c>
      <c r="P39" s="349">
        <v>3.2353530344432606</v>
      </c>
      <c r="Q39" s="363">
        <v>0.29453088800796506</v>
      </c>
      <c r="R39" s="348">
        <v>0</v>
      </c>
      <c r="S39" s="348">
        <v>0</v>
      </c>
      <c r="T39" s="348">
        <v>0</v>
      </c>
      <c r="U39" s="348">
        <v>0</v>
      </c>
      <c r="V39" s="346">
        <v>71940.234207229543</v>
      </c>
      <c r="W39" s="346">
        <v>790246.67536609794</v>
      </c>
      <c r="X39" s="349">
        <v>31.441720451343635</v>
      </c>
      <c r="Y39" s="363">
        <v>2.8623021186391164</v>
      </c>
    </row>
    <row r="40" spans="2:29" s="284" customFormat="1" ht="15.75" hidden="1" customHeight="1" x14ac:dyDescent="0.2">
      <c r="B40" s="322" t="s">
        <v>133</v>
      </c>
      <c r="C40" s="323"/>
      <c r="D40" s="331"/>
      <c r="E40" s="331"/>
      <c r="F40" s="331"/>
      <c r="G40" s="331"/>
      <c r="H40" s="332"/>
      <c r="I40" s="333"/>
      <c r="J40" s="333"/>
      <c r="K40" s="804"/>
      <c r="L40" s="326"/>
      <c r="M40" s="804"/>
      <c r="N40" s="804"/>
      <c r="O40" s="804"/>
      <c r="P40" s="335"/>
      <c r="Q40" s="336"/>
      <c r="R40" s="326"/>
      <c r="S40" s="326"/>
      <c r="T40" s="326"/>
      <c r="U40" s="326"/>
      <c r="V40" s="804">
        <v>0</v>
      </c>
      <c r="W40" s="804">
        <v>0</v>
      </c>
      <c r="X40" s="335" t="s">
        <v>3</v>
      </c>
      <c r="Y40" s="336" t="s">
        <v>3</v>
      </c>
    </row>
    <row r="41" spans="2:29" s="284" customFormat="1" ht="15.75" customHeight="1" x14ac:dyDescent="0.2">
      <c r="B41" s="615" t="s">
        <v>582</v>
      </c>
      <c r="C41" s="323">
        <v>711299.88318295695</v>
      </c>
      <c r="D41" s="874">
        <v>886712.81689921382</v>
      </c>
      <c r="E41" s="331">
        <v>1598012.7000821708</v>
      </c>
      <c r="F41" s="331">
        <v>2013916.2435678265</v>
      </c>
      <c r="G41" s="331">
        <v>2013916.2435678265</v>
      </c>
      <c r="H41" s="332">
        <v>4.2764650414955384E-2</v>
      </c>
      <c r="I41" s="333">
        <v>2.8313181137551475</v>
      </c>
      <c r="J41" s="333">
        <v>1.2602629775497214</v>
      </c>
      <c r="K41" s="804">
        <v>87.27246409007499</v>
      </c>
      <c r="L41" s="804" t="s">
        <v>244</v>
      </c>
      <c r="M41" s="804">
        <v>463036.94699485274</v>
      </c>
      <c r="N41" s="804">
        <v>2369413.9609119268</v>
      </c>
      <c r="O41" s="804">
        <v>3140.150530424989</v>
      </c>
      <c r="P41" s="335">
        <v>1.5361622604834253</v>
      </c>
      <c r="Q41" s="336">
        <v>0.30020076479552599</v>
      </c>
      <c r="R41" s="804"/>
      <c r="S41" s="804"/>
      <c r="T41" s="804"/>
      <c r="U41" s="804"/>
      <c r="V41" s="804">
        <v>47646.501845770348</v>
      </c>
      <c r="W41" s="804">
        <v>243812.69657783728</v>
      </c>
      <c r="X41" s="335">
        <v>14.928690578070215</v>
      </c>
      <c r="Y41" s="336">
        <v>2.9174029620556459</v>
      </c>
    </row>
    <row r="42" spans="2:29" s="284" customFormat="1" ht="16.5" customHeight="1" thickBot="1" x14ac:dyDescent="0.25">
      <c r="B42" s="1937" t="s">
        <v>583</v>
      </c>
      <c r="C42" s="323">
        <v>384523.96903085057</v>
      </c>
      <c r="D42" s="874">
        <v>532401.49443690816</v>
      </c>
      <c r="E42" s="331">
        <v>916925.46346775873</v>
      </c>
      <c r="F42" s="331">
        <v>1209198.7364023246</v>
      </c>
      <c r="G42" s="331">
        <v>1209198.7364023246</v>
      </c>
      <c r="H42" s="332">
        <v>2.7362164237955747E-2</v>
      </c>
      <c r="I42" s="333">
        <v>3.1446641400534121</v>
      </c>
      <c r="J42" s="333">
        <v>1.3187535787578692</v>
      </c>
      <c r="K42" s="804">
        <v>52.400269195644817</v>
      </c>
      <c r="L42" s="804" t="s">
        <v>244</v>
      </c>
      <c r="M42" s="804">
        <v>278017.36690988118</v>
      </c>
      <c r="N42" s="804">
        <v>1422647.2310849284</v>
      </c>
      <c r="O42" s="804">
        <v>1885.4140859284967</v>
      </c>
      <c r="P42" s="335">
        <v>1.3830933416310403</v>
      </c>
      <c r="Q42" s="336">
        <v>0.2702876444904812</v>
      </c>
      <c r="R42" s="804"/>
      <c r="S42" s="804"/>
      <c r="T42" s="804"/>
      <c r="U42" s="804"/>
      <c r="V42" s="804">
        <v>28607.987055026777</v>
      </c>
      <c r="W42" s="804">
        <v>146390.40007863913</v>
      </c>
      <c r="X42" s="335">
        <v>13.441140346268611</v>
      </c>
      <c r="Y42" s="336">
        <v>2.6267020844555997</v>
      </c>
    </row>
    <row r="43" spans="2:29" ht="19.5" customHeight="1" thickBot="1" x14ac:dyDescent="0.3">
      <c r="B43" s="342" t="s">
        <v>136</v>
      </c>
      <c r="C43" s="343">
        <v>1095823.8522138074</v>
      </c>
      <c r="D43" s="343">
        <v>1419114.311336122</v>
      </c>
      <c r="E43" s="343">
        <v>2514938.1635499294</v>
      </c>
      <c r="F43" s="343">
        <v>3223114.9799701511</v>
      </c>
      <c r="G43" s="343">
        <v>3223114.9799701511</v>
      </c>
      <c r="H43" s="344">
        <v>3.5710849054085295E-2</v>
      </c>
      <c r="I43" s="345">
        <v>2.9412710568936271</v>
      </c>
      <c r="J43" s="345">
        <v>1.2815881625576844</v>
      </c>
      <c r="K43" s="346">
        <v>139.6727332857198</v>
      </c>
      <c r="L43" s="343" t="s">
        <v>244</v>
      </c>
      <c r="M43" s="348">
        <v>741054.31390473386</v>
      </c>
      <c r="N43" s="348">
        <v>3792061.1919968552</v>
      </c>
      <c r="O43" s="348">
        <v>5025.5646163534857</v>
      </c>
      <c r="P43" s="349">
        <v>1.4787362162966653</v>
      </c>
      <c r="Q43" s="363">
        <v>0.28897842010739266</v>
      </c>
      <c r="R43" s="348">
        <v>0</v>
      </c>
      <c r="S43" s="348">
        <v>0</v>
      </c>
      <c r="T43" s="348"/>
      <c r="U43" s="348"/>
      <c r="V43" s="346">
        <v>76254.488900797121</v>
      </c>
      <c r="W43" s="346">
        <v>390203.09665647638</v>
      </c>
      <c r="X43" s="349">
        <v>14.370614346906367</v>
      </c>
      <c r="Y43" s="363">
        <v>2.8083422750961389</v>
      </c>
    </row>
    <row r="44" spans="2:29" ht="15.75" hidden="1" customHeight="1" x14ac:dyDescent="0.2">
      <c r="B44" s="322" t="s">
        <v>251</v>
      </c>
      <c r="C44" s="323"/>
      <c r="D44" s="331"/>
      <c r="E44" s="331"/>
      <c r="F44" s="331"/>
      <c r="G44" s="331"/>
      <c r="H44" s="332"/>
      <c r="I44" s="333"/>
      <c r="J44" s="333"/>
      <c r="K44" s="804"/>
      <c r="L44" s="326"/>
      <c r="M44" s="804"/>
      <c r="N44" s="804"/>
      <c r="O44" s="804"/>
      <c r="P44" s="335"/>
      <c r="Q44" s="336"/>
      <c r="R44" s="326"/>
      <c r="S44" s="326"/>
      <c r="T44" s="326"/>
      <c r="U44" s="326"/>
      <c r="V44" s="804">
        <v>0</v>
      </c>
      <c r="W44" s="804">
        <v>0</v>
      </c>
      <c r="X44" s="335" t="s">
        <v>3</v>
      </c>
      <c r="Y44" s="336" t="s">
        <v>3</v>
      </c>
    </row>
    <row r="45" spans="2:29" ht="15.75" customHeight="1" x14ac:dyDescent="0.2">
      <c r="B45" s="330" t="s">
        <v>252</v>
      </c>
      <c r="C45" s="323">
        <v>242710.91498918601</v>
      </c>
      <c r="D45" s="874">
        <v>794711.22314320842</v>
      </c>
      <c r="E45" s="331">
        <v>1037422.1381323944</v>
      </c>
      <c r="F45" s="331">
        <v>575224.37079813902</v>
      </c>
      <c r="G45" s="331">
        <v>575224.37079813913</v>
      </c>
      <c r="H45" s="332">
        <v>1.4592224287961461E-2</v>
      </c>
      <c r="I45" s="333">
        <v>2.3699979493042913</v>
      </c>
      <c r="J45" s="333">
        <v>0.55447474046937084</v>
      </c>
      <c r="K45" s="804">
        <v>60.870366549299682</v>
      </c>
      <c r="L45" s="804" t="s">
        <v>244</v>
      </c>
      <c r="M45" s="804">
        <v>55114.102743642012</v>
      </c>
      <c r="N45" s="804">
        <v>815365.71720952215</v>
      </c>
      <c r="O45" s="804">
        <v>519.70665912642357</v>
      </c>
      <c r="P45" s="335">
        <v>4.4037896456036432</v>
      </c>
      <c r="Q45" s="336">
        <v>0.29767122883192954</v>
      </c>
      <c r="R45" s="804"/>
      <c r="S45" s="804"/>
      <c r="T45" s="804"/>
      <c r="U45" s="804"/>
      <c r="V45" s="804">
        <v>5671.2411723207624</v>
      </c>
      <c r="W45" s="804">
        <v>83901.132300859827</v>
      </c>
      <c r="X45" s="335">
        <v>42.796789558830355</v>
      </c>
      <c r="Y45" s="336">
        <v>2.8928204939934843</v>
      </c>
    </row>
    <row r="46" spans="2:29" ht="15.75" customHeight="1" thickBot="1" x14ac:dyDescent="0.25">
      <c r="B46" s="359" t="s">
        <v>253</v>
      </c>
      <c r="C46" s="323">
        <v>279580.97245604696</v>
      </c>
      <c r="D46" s="874">
        <v>975675.83236833906</v>
      </c>
      <c r="E46" s="331">
        <v>1255256.804824386</v>
      </c>
      <c r="F46" s="331">
        <v>689715.42961545719</v>
      </c>
      <c r="G46" s="331">
        <v>689715.42961545731</v>
      </c>
      <c r="H46" s="332">
        <v>1.9894573816635029E-2</v>
      </c>
      <c r="I46" s="333">
        <v>2.466961265484144</v>
      </c>
      <c r="J46" s="333">
        <v>0.54946161372289903</v>
      </c>
      <c r="K46" s="804">
        <v>75.8328194629389</v>
      </c>
      <c r="L46" s="804" t="s">
        <v>244</v>
      </c>
      <c r="M46" s="804">
        <v>69234.536927713416</v>
      </c>
      <c r="N46" s="804">
        <v>977631.5928515112</v>
      </c>
      <c r="O46" s="804">
        <v>589.64801692021911</v>
      </c>
      <c r="P46" s="335">
        <v>4.0381720577975795</v>
      </c>
      <c r="Q46" s="336">
        <v>0.28597784124444869</v>
      </c>
      <c r="R46" s="804"/>
      <c r="S46" s="804"/>
      <c r="T46" s="804"/>
      <c r="U46" s="804"/>
      <c r="V46" s="804">
        <v>7124.233849861711</v>
      </c>
      <c r="W46" s="804">
        <v>100598.2909044205</v>
      </c>
      <c r="X46" s="335">
        <v>39.24365459472866</v>
      </c>
      <c r="Y46" s="336">
        <v>2.779182130655478</v>
      </c>
    </row>
    <row r="47" spans="2:29" ht="19.5" customHeight="1" thickBot="1" x14ac:dyDescent="0.3">
      <c r="B47" s="342" t="s">
        <v>302</v>
      </c>
      <c r="C47" s="343">
        <v>522291.88744523295</v>
      </c>
      <c r="D47" s="343">
        <v>1770387.0555115475</v>
      </c>
      <c r="E47" s="343">
        <v>2292678.9429567805</v>
      </c>
      <c r="F47" s="343">
        <v>1264939.8004135962</v>
      </c>
      <c r="G47" s="343">
        <v>1264939.8004135964</v>
      </c>
      <c r="H47" s="344">
        <v>1.7020515402224434E-2</v>
      </c>
      <c r="I47" s="345">
        <v>2.4219020643820293</v>
      </c>
      <c r="J47" s="345">
        <v>0.55173002059427123</v>
      </c>
      <c r="K47" s="346">
        <v>136.70318601223858</v>
      </c>
      <c r="L47" s="343" t="s">
        <v>244</v>
      </c>
      <c r="M47" s="348">
        <v>124348.63967135543</v>
      </c>
      <c r="N47" s="348">
        <v>1792997.3100610333</v>
      </c>
      <c r="O47" s="348">
        <v>1109.3546760466427</v>
      </c>
      <c r="P47" s="349">
        <v>4.2002219632286542</v>
      </c>
      <c r="Q47" s="363">
        <v>0.29129541049197349</v>
      </c>
      <c r="R47" s="348">
        <v>0</v>
      </c>
      <c r="S47" s="348">
        <v>0</v>
      </c>
      <c r="T47" s="348">
        <v>0</v>
      </c>
      <c r="U47" s="348">
        <v>0</v>
      </c>
      <c r="V47" s="346">
        <v>12795.475022182474</v>
      </c>
      <c r="W47" s="346">
        <v>184499.42320528033</v>
      </c>
      <c r="X47" s="349">
        <v>40.81848360766427</v>
      </c>
      <c r="Y47" s="363">
        <v>2.8308591884545526</v>
      </c>
    </row>
    <row r="48" spans="2:29" ht="15.75" customHeight="1" thickBot="1" x14ac:dyDescent="0.3">
      <c r="B48" s="364" t="s">
        <v>127</v>
      </c>
      <c r="C48" s="365">
        <v>8237475.7789773792</v>
      </c>
      <c r="D48" s="365">
        <v>15695260.78790994</v>
      </c>
      <c r="E48" s="365">
        <v>23932736.566887319</v>
      </c>
      <c r="F48" s="365">
        <v>16649650.165268783</v>
      </c>
      <c r="G48" s="365">
        <v>16649650.165268783</v>
      </c>
      <c r="H48" s="366">
        <v>0.26844392329612254</v>
      </c>
      <c r="I48" s="317">
        <v>2.0212077840349911</v>
      </c>
      <c r="J48" s="317">
        <v>0.69568518078725627</v>
      </c>
      <c r="K48" s="346">
        <v>739.39557314940055</v>
      </c>
      <c r="L48" s="612" t="s">
        <v>244</v>
      </c>
      <c r="M48" s="394">
        <v>2211583.3978550574</v>
      </c>
      <c r="N48" s="395">
        <v>23688718.402343608</v>
      </c>
      <c r="O48" s="395">
        <v>18356.30068693632</v>
      </c>
      <c r="P48" s="367">
        <v>3.7246959743714112</v>
      </c>
      <c r="Q48" s="367">
        <v>0.34773834696614137</v>
      </c>
      <c r="R48" s="394">
        <v>0</v>
      </c>
      <c r="S48" s="395">
        <v>0</v>
      </c>
      <c r="T48" s="394"/>
      <c r="U48" s="395"/>
      <c r="V48" s="394"/>
      <c r="W48" s="395"/>
      <c r="X48" s="367"/>
      <c r="Y48" s="367"/>
    </row>
    <row r="49" spans="2:26" s="284" customFormat="1" ht="15" x14ac:dyDescent="0.2">
      <c r="B49" s="396"/>
      <c r="C49" s="397"/>
      <c r="D49" s="397"/>
      <c r="E49" s="397"/>
      <c r="F49" s="397"/>
      <c r="G49" s="397"/>
      <c r="H49" s="397"/>
      <c r="I49" s="397"/>
      <c r="J49" s="397"/>
      <c r="K49" s="806"/>
      <c r="L49" s="397"/>
      <c r="M49" s="397"/>
      <c r="N49" s="397"/>
      <c r="O49" s="397"/>
      <c r="P49" s="397"/>
      <c r="Q49" s="398"/>
      <c r="R49" s="397"/>
      <c r="S49" s="397"/>
      <c r="T49" s="397"/>
      <c r="U49" s="397"/>
      <c r="V49" s="397"/>
      <c r="W49" s="397"/>
      <c r="X49" s="397"/>
      <c r="Y49" s="397"/>
      <c r="Z49" s="285"/>
    </row>
    <row r="50" spans="2:26"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row>
    <row r="51" spans="2:26" s="704" customFormat="1" ht="15.75" hidden="1" customHeight="1" thickBot="1" x14ac:dyDescent="0.25">
      <c r="B51" s="1107" t="s">
        <v>172</v>
      </c>
      <c r="C51" s="1108"/>
      <c r="D51" s="1109"/>
      <c r="E51" s="1108"/>
      <c r="F51" s="1109"/>
      <c r="G51" s="1109"/>
      <c r="H51" s="1110"/>
      <c r="I51" s="1111"/>
      <c r="J51" s="1111"/>
      <c r="K51" s="1112"/>
      <c r="L51" s="1111"/>
      <c r="M51" s="1111"/>
      <c r="N51" s="1111"/>
      <c r="O51" s="1111"/>
      <c r="P51" s="1111"/>
      <c r="Q51" s="1113"/>
      <c r="R51" s="1111"/>
      <c r="S51" s="1111"/>
      <c r="T51" s="1111"/>
      <c r="U51" s="1111"/>
      <c r="V51" s="1111"/>
      <c r="W51" s="1111"/>
      <c r="X51" s="1111"/>
      <c r="Y51" s="1113"/>
    </row>
    <row r="52" spans="2:26" s="704" customFormat="1" ht="15.75" customHeight="1" thickBot="1" x14ac:dyDescent="0.25">
      <c r="B52" s="979" t="s">
        <v>556</v>
      </c>
      <c r="C52" s="874">
        <v>311292</v>
      </c>
      <c r="D52" s="1114"/>
      <c r="E52" s="874"/>
      <c r="F52" s="1114"/>
      <c r="G52" s="1114"/>
      <c r="H52" s="1115"/>
      <c r="I52" s="1268"/>
      <c r="J52" s="1268"/>
      <c r="K52" s="900"/>
      <c r="L52" s="1268"/>
      <c r="M52" s="1268"/>
      <c r="N52" s="1268"/>
      <c r="O52" s="1268"/>
      <c r="P52" s="1268"/>
      <c r="Q52" s="1269"/>
      <c r="R52" s="1111"/>
      <c r="S52" s="1111"/>
      <c r="T52" s="1111"/>
      <c r="U52" s="1111"/>
      <c r="V52" s="1111"/>
      <c r="W52" s="1111"/>
      <c r="X52" s="1111"/>
      <c r="Y52" s="1113"/>
    </row>
    <row r="53" spans="2:26" s="704" customFormat="1" ht="15.75" customHeight="1" thickBot="1" x14ac:dyDescent="0.25">
      <c r="B53" s="1260" t="s">
        <v>557</v>
      </c>
      <c r="C53" s="1270">
        <v>311292</v>
      </c>
      <c r="D53" s="1132"/>
      <c r="E53" s="1270"/>
      <c r="F53" s="1132"/>
      <c r="G53" s="1132"/>
      <c r="H53" s="1276"/>
      <c r="I53" s="1271"/>
      <c r="J53" s="1271"/>
      <c r="K53" s="1272"/>
      <c r="L53" s="1271"/>
      <c r="M53" s="1271"/>
      <c r="N53" s="1271"/>
      <c r="O53" s="1271"/>
      <c r="P53" s="1271"/>
      <c r="Q53" s="1273"/>
      <c r="R53" s="1111"/>
      <c r="S53" s="1111"/>
      <c r="T53" s="1111"/>
      <c r="U53" s="1111"/>
      <c r="V53" s="1111"/>
      <c r="W53" s="1111"/>
      <c r="X53" s="1111"/>
      <c r="Y53" s="1113"/>
    </row>
    <row r="54" spans="2:26" s="704" customFormat="1" ht="16.5" customHeight="1" thickBot="1" x14ac:dyDescent="0.3">
      <c r="B54" s="2296" t="s">
        <v>630</v>
      </c>
      <c r="C54" s="1275">
        <v>622584</v>
      </c>
      <c r="D54" s="1247"/>
      <c r="E54" s="1248"/>
      <c r="F54" s="1249"/>
      <c r="G54" s="1249"/>
      <c r="H54" s="1250"/>
      <c r="I54" s="1249"/>
      <c r="J54" s="1249"/>
      <c r="K54" s="1251"/>
      <c r="L54" s="1249"/>
      <c r="M54" s="1249"/>
      <c r="N54" s="1249"/>
      <c r="O54" s="1249"/>
      <c r="P54" s="1249"/>
      <c r="Q54" s="1252"/>
      <c r="R54" s="1121"/>
      <c r="S54" s="1121"/>
      <c r="T54" s="1121"/>
      <c r="U54" s="1121"/>
      <c r="V54" s="1121"/>
      <c r="W54" s="1121"/>
      <c r="X54" s="1121"/>
      <c r="Y54" s="1123"/>
    </row>
    <row r="55" spans="2:26" s="704" customFormat="1" ht="15.75" hidden="1" customHeight="1" thickBot="1" x14ac:dyDescent="0.25">
      <c r="B55" s="1128" t="s">
        <v>237</v>
      </c>
      <c r="C55" s="1108"/>
      <c r="D55" s="1109"/>
      <c r="E55" s="1108"/>
      <c r="F55" s="1109"/>
      <c r="G55" s="1109"/>
      <c r="H55" s="1110"/>
      <c r="I55" s="1111"/>
      <c r="J55" s="1111"/>
      <c r="K55" s="1112"/>
      <c r="L55" s="1111"/>
      <c r="M55" s="1111"/>
      <c r="N55" s="1111"/>
      <c r="O55" s="1111"/>
      <c r="P55" s="1111"/>
      <c r="Q55" s="1113"/>
      <c r="R55" s="1256"/>
      <c r="S55" s="1256"/>
      <c r="T55" s="1256"/>
      <c r="U55" s="1256"/>
      <c r="V55" s="1256"/>
      <c r="W55" s="1256"/>
      <c r="X55" s="1256"/>
      <c r="Y55" s="1258"/>
    </row>
    <row r="56" spans="2:26" s="704" customFormat="1" ht="15.75" customHeight="1" thickBot="1" x14ac:dyDescent="0.25">
      <c r="B56" s="979" t="s">
        <v>593</v>
      </c>
      <c r="C56" s="1277">
        <v>1919137</v>
      </c>
      <c r="D56" s="1114"/>
      <c r="E56" s="874"/>
      <c r="F56" s="1114"/>
      <c r="G56" s="1114"/>
      <c r="H56" s="1115"/>
      <c r="I56" s="1268"/>
      <c r="J56" s="1268"/>
      <c r="K56" s="900"/>
      <c r="L56" s="1268"/>
      <c r="M56" s="1268"/>
      <c r="N56" s="1268"/>
      <c r="O56" s="1268"/>
      <c r="P56" s="1268"/>
      <c r="Q56" s="1269"/>
      <c r="R56" s="1130"/>
      <c r="S56" s="1130"/>
      <c r="T56" s="1130"/>
      <c r="U56" s="1130"/>
      <c r="V56" s="1130"/>
      <c r="W56" s="1130"/>
      <c r="X56" s="1130"/>
      <c r="Y56" s="1131"/>
    </row>
    <row r="57" spans="2:26" s="704" customFormat="1" ht="15.75" customHeight="1" thickBot="1" x14ac:dyDescent="0.25">
      <c r="B57" s="1260" t="s">
        <v>594</v>
      </c>
      <c r="C57" s="1278">
        <v>1808047</v>
      </c>
      <c r="D57" s="1132"/>
      <c r="E57" s="1270"/>
      <c r="F57" s="1132"/>
      <c r="G57" s="1132"/>
      <c r="H57" s="1276"/>
      <c r="I57" s="1271"/>
      <c r="J57" s="1271"/>
      <c r="K57" s="1272"/>
      <c r="L57" s="1271"/>
      <c r="M57" s="1271"/>
      <c r="N57" s="1271"/>
      <c r="O57" s="1271"/>
      <c r="P57" s="1271"/>
      <c r="Q57" s="1273"/>
      <c r="R57" s="1111"/>
      <c r="S57" s="1111"/>
      <c r="T57" s="1111"/>
      <c r="U57" s="1111"/>
      <c r="V57" s="1111"/>
      <c r="W57" s="1111"/>
      <c r="X57" s="1111"/>
      <c r="Y57" s="1113"/>
    </row>
    <row r="58" spans="2:26" s="704" customFormat="1" ht="15.75" customHeight="1" thickBot="1" x14ac:dyDescent="0.3">
      <c r="B58" s="2296" t="s">
        <v>630</v>
      </c>
      <c r="C58" s="1263">
        <v>3727184</v>
      </c>
      <c r="D58" s="1264"/>
      <c r="E58" s="1265"/>
      <c r="F58" s="1264"/>
      <c r="G58" s="1264"/>
      <c r="H58" s="1266"/>
      <c r="I58" s="1264"/>
      <c r="J58" s="1264"/>
      <c r="K58" s="1274"/>
      <c r="L58" s="1264"/>
      <c r="M58" s="1264"/>
      <c r="N58" s="1264"/>
      <c r="O58" s="1264"/>
      <c r="P58" s="1264"/>
      <c r="Q58" s="1267"/>
      <c r="R58" s="1134"/>
      <c r="S58" s="1134"/>
      <c r="T58" s="1134"/>
      <c r="U58" s="1134"/>
      <c r="V58" s="1134"/>
      <c r="W58" s="1134"/>
      <c r="X58" s="1134"/>
      <c r="Y58" s="1127"/>
    </row>
    <row r="59" spans="2:26" s="704" customFormat="1" ht="15.75" customHeight="1" thickBot="1" x14ac:dyDescent="0.3">
      <c r="B59" s="1136" t="s">
        <v>90</v>
      </c>
      <c r="C59" s="1137">
        <v>4349768</v>
      </c>
      <c r="D59" s="1137"/>
      <c r="E59" s="1137"/>
      <c r="F59" s="1137"/>
      <c r="G59" s="1137"/>
      <c r="H59" s="1138"/>
      <c r="I59" s="1139"/>
      <c r="J59" s="1139"/>
      <c r="K59" s="1140"/>
      <c r="L59" s="1141"/>
      <c r="M59" s="1142"/>
      <c r="N59" s="1142"/>
      <c r="O59" s="1142"/>
      <c r="P59" s="1143"/>
      <c r="Q59" s="1144"/>
      <c r="R59" s="1141"/>
      <c r="S59" s="1141"/>
      <c r="T59" s="1141"/>
      <c r="U59" s="1141"/>
      <c r="V59" s="1141"/>
      <c r="W59" s="1141"/>
      <c r="X59" s="1143"/>
      <c r="Y59" s="1144"/>
    </row>
    <row r="60" spans="2:26" s="284" customFormat="1" ht="15.75" thickBot="1" x14ac:dyDescent="0.25">
      <c r="B60" s="396"/>
      <c r="C60" s="397"/>
      <c r="D60" s="397"/>
      <c r="E60" s="397"/>
      <c r="F60" s="397"/>
      <c r="G60" s="397"/>
      <c r="H60" s="397"/>
      <c r="I60" s="397"/>
      <c r="J60" s="397"/>
      <c r="K60" s="806"/>
      <c r="L60" s="397"/>
      <c r="M60" s="397"/>
      <c r="N60" s="397"/>
      <c r="O60" s="397"/>
      <c r="P60" s="397"/>
      <c r="Q60" s="398"/>
      <c r="R60" s="397"/>
      <c r="S60" s="397"/>
      <c r="T60" s="397"/>
      <c r="U60" s="397"/>
      <c r="V60" s="397"/>
      <c r="W60" s="397"/>
      <c r="X60" s="397"/>
      <c r="Y60" s="398"/>
    </row>
    <row r="61" spans="2:26" s="284" customFormat="1" ht="16.5" thickBot="1" x14ac:dyDescent="0.3">
      <c r="B61" s="419" t="s">
        <v>28</v>
      </c>
      <c r="C61" s="396"/>
      <c r="D61" s="397"/>
      <c r="E61" s="397"/>
      <c r="F61" s="397"/>
      <c r="G61" s="397"/>
      <c r="H61" s="420"/>
      <c r="I61" s="397"/>
      <c r="J61" s="397"/>
      <c r="K61" s="806"/>
      <c r="L61" s="397"/>
      <c r="M61" s="397"/>
      <c r="N61" s="397"/>
      <c r="O61" s="397"/>
      <c r="P61" s="420"/>
      <c r="Q61" s="421"/>
      <c r="R61" s="397"/>
      <c r="S61" s="397"/>
      <c r="T61" s="397"/>
      <c r="U61" s="397"/>
      <c r="V61" s="397"/>
      <c r="W61" s="397"/>
      <c r="X61" s="420"/>
      <c r="Y61" s="421"/>
    </row>
    <row r="62" spans="2:26" s="284" customFormat="1" ht="16.5" hidden="1" thickBot="1" x14ac:dyDescent="0.3">
      <c r="B62" s="2113" t="s">
        <v>91</v>
      </c>
      <c r="C62" s="2114">
        <v>0</v>
      </c>
      <c r="D62" s="2115">
        <v>0</v>
      </c>
      <c r="E62" s="2115">
        <v>0</v>
      </c>
      <c r="F62" s="2115">
        <v>0</v>
      </c>
      <c r="G62" s="2115">
        <v>0</v>
      </c>
      <c r="H62" s="498" t="e">
        <v>#DIV/0!</v>
      </c>
      <c r="I62" s="2116"/>
      <c r="J62" s="2117"/>
      <c r="K62" s="903"/>
      <c r="L62" s="2117"/>
      <c r="M62" s="355">
        <v>0</v>
      </c>
      <c r="N62" s="355">
        <v>0</v>
      </c>
      <c r="O62" s="355">
        <v>0</v>
      </c>
      <c r="P62" s="362" t="e">
        <v>#DIV/0!</v>
      </c>
      <c r="Q62" s="329" t="e">
        <v>#DIV/0!</v>
      </c>
      <c r="R62" s="2117"/>
      <c r="S62" s="2117"/>
      <c r="T62" s="2117"/>
      <c r="U62" s="2117"/>
      <c r="V62" s="2119">
        <v>0</v>
      </c>
      <c r="W62" s="2119">
        <v>0</v>
      </c>
      <c r="X62" s="2118" t="s">
        <v>3</v>
      </c>
      <c r="Y62" s="1997" t="s">
        <v>3</v>
      </c>
    </row>
    <row r="63" spans="2:26" s="284" customFormat="1" ht="15.75" x14ac:dyDescent="0.25">
      <c r="B63" s="422" t="s">
        <v>92</v>
      </c>
      <c r="C63" s="686">
        <v>9777053.8106235918</v>
      </c>
      <c r="D63" s="423">
        <v>3147042.7068154663</v>
      </c>
      <c r="E63" s="423">
        <v>12924096.517439058</v>
      </c>
      <c r="F63" s="423">
        <v>13522557.985286476</v>
      </c>
      <c r="G63" s="423">
        <v>13799040.641427221</v>
      </c>
      <c r="H63" s="497">
        <v>0.58781436379342211</v>
      </c>
      <c r="I63" s="400"/>
      <c r="J63" s="400"/>
      <c r="K63" s="353"/>
      <c r="L63" s="400"/>
      <c r="M63" s="424">
        <v>1122200.8837018725</v>
      </c>
      <c r="N63" s="424">
        <v>21585614.123297825</v>
      </c>
      <c r="O63" s="424">
        <v>14240.953585281561</v>
      </c>
      <c r="P63" s="2120">
        <v>8.7123918298579728</v>
      </c>
      <c r="Q63" s="356">
        <v>0.45294304599242341</v>
      </c>
      <c r="R63" s="424">
        <v>0</v>
      </c>
      <c r="S63" s="424">
        <v>0</v>
      </c>
      <c r="T63" s="424">
        <v>0</v>
      </c>
      <c r="U63" s="424">
        <v>0</v>
      </c>
      <c r="V63" s="2121">
        <v>115474.47093292269</v>
      </c>
      <c r="W63" s="2121">
        <v>2221159.6932873465</v>
      </c>
      <c r="X63" s="2120">
        <v>84.668530902409842</v>
      </c>
      <c r="Y63" s="2138">
        <v>4.4017788726183031</v>
      </c>
    </row>
    <row r="64" spans="2:26" s="284" customFormat="1" ht="19.5" customHeight="1" thickBot="1" x14ac:dyDescent="0.3">
      <c r="B64" s="2122" t="s">
        <v>93</v>
      </c>
      <c r="C64" s="2123">
        <v>8321723.0803121123</v>
      </c>
      <c r="D64" s="2123">
        <v>3674760.983459434</v>
      </c>
      <c r="E64" s="2123">
        <v>11996484.063771546</v>
      </c>
      <c r="F64" s="2123">
        <v>11122661.901759995</v>
      </c>
      <c r="G64" s="2123">
        <v>11341367.62996815</v>
      </c>
      <c r="H64" s="2124">
        <v>0.59216166482464061</v>
      </c>
      <c r="I64" s="2125"/>
      <c r="J64" s="2125"/>
      <c r="K64" s="2126"/>
      <c r="L64" s="2125"/>
      <c r="M64" s="2127">
        <v>918891.73229052674</v>
      </c>
      <c r="N64" s="2127">
        <v>17852341.657247737</v>
      </c>
      <c r="O64" s="2127">
        <v>11432.28736180249</v>
      </c>
      <c r="P64" s="2128">
        <v>9.0562606974039319</v>
      </c>
      <c r="Q64" s="2129">
        <v>0.46614182274142391</v>
      </c>
      <c r="R64" s="2127">
        <v>0</v>
      </c>
      <c r="S64" s="2127">
        <v>0</v>
      </c>
      <c r="T64" s="2127">
        <v>0</v>
      </c>
      <c r="U64" s="2127">
        <v>0</v>
      </c>
      <c r="V64" s="2130">
        <v>94553.959252695189</v>
      </c>
      <c r="W64" s="2130">
        <v>1837005.9565307924</v>
      </c>
      <c r="X64" s="2128">
        <v>88.01030804085454</v>
      </c>
      <c r="Y64" s="2143">
        <v>4.5300468682354111</v>
      </c>
    </row>
    <row r="65" spans="2:25" ht="16.5" thickBot="1" x14ac:dyDescent="0.3">
      <c r="B65" s="364" t="s">
        <v>94</v>
      </c>
      <c r="C65" s="430">
        <v>18098776.890935704</v>
      </c>
      <c r="D65" s="430">
        <v>6821803.6902748998</v>
      </c>
      <c r="E65" s="430">
        <v>24920580.581210606</v>
      </c>
      <c r="F65" s="430">
        <v>24645219.887046471</v>
      </c>
      <c r="G65" s="365">
        <v>25140408.27139537</v>
      </c>
      <c r="H65" s="496">
        <v>0.5898052760122503</v>
      </c>
      <c r="I65" s="431"/>
      <c r="J65" s="406"/>
      <c r="K65" s="346"/>
      <c r="L65" s="406"/>
      <c r="M65" s="432">
        <v>2041092.6159923994</v>
      </c>
      <c r="N65" s="432">
        <v>39437955.780545563</v>
      </c>
      <c r="O65" s="432">
        <v>25673.24094708405</v>
      </c>
      <c r="P65" s="433">
        <v>8.867200218710261</v>
      </c>
      <c r="Q65" s="363">
        <v>0.45891772361750277</v>
      </c>
      <c r="R65" s="432">
        <v>0</v>
      </c>
      <c r="S65" s="432">
        <v>0</v>
      </c>
      <c r="T65" s="432">
        <v>0</v>
      </c>
      <c r="U65" s="432">
        <v>0</v>
      </c>
      <c r="V65" s="346">
        <v>210028.43018561788</v>
      </c>
      <c r="W65" s="346">
        <v>4058165.6498181382</v>
      </c>
      <c r="X65" s="349">
        <v>86.172985604570087</v>
      </c>
      <c r="Y65" s="363">
        <v>4.4598418232993469</v>
      </c>
    </row>
    <row r="66" spans="2:25" s="284" customFormat="1" ht="16.5" hidden="1" thickBot="1" x14ac:dyDescent="0.3">
      <c r="B66" s="434" t="s">
        <v>95</v>
      </c>
      <c r="C66" s="351">
        <v>0</v>
      </c>
      <c r="D66" s="351">
        <v>0</v>
      </c>
      <c r="E66" s="351">
        <v>0</v>
      </c>
      <c r="F66" s="351">
        <v>0</v>
      </c>
      <c r="G66" s="351">
        <v>0</v>
      </c>
      <c r="H66" s="497" t="e">
        <v>#DIV/0!</v>
      </c>
      <c r="I66" s="400"/>
      <c r="J66" s="400"/>
      <c r="K66" s="353"/>
      <c r="L66" s="400"/>
      <c r="M66" s="424">
        <v>0</v>
      </c>
      <c r="N66" s="424">
        <v>0</v>
      </c>
      <c r="O66" s="424">
        <v>0</v>
      </c>
      <c r="P66" s="435" t="e">
        <v>#DIV/0!</v>
      </c>
      <c r="Q66" s="436" t="e">
        <v>#DIV/0!</v>
      </c>
      <c r="R66" s="400"/>
      <c r="S66" s="400"/>
      <c r="T66" s="400"/>
      <c r="U66" s="400"/>
      <c r="V66" s="804">
        <v>0</v>
      </c>
      <c r="W66" s="804">
        <v>0</v>
      </c>
      <c r="X66" s="2004" t="s">
        <v>3</v>
      </c>
      <c r="Y66" s="2005" t="s">
        <v>3</v>
      </c>
    </row>
    <row r="67" spans="2:25" s="284" customFormat="1" ht="16.5" thickBot="1" x14ac:dyDescent="0.3">
      <c r="B67" s="437" t="s">
        <v>96</v>
      </c>
      <c r="C67" s="351">
        <v>4625410.8592894832</v>
      </c>
      <c r="D67" s="351">
        <v>8288046.7595965983</v>
      </c>
      <c r="E67" s="351">
        <v>12913457.618886082</v>
      </c>
      <c r="F67" s="351">
        <v>9344944.7539723068</v>
      </c>
      <c r="G67" s="351">
        <v>9344944.7539723068</v>
      </c>
      <c r="H67" s="494">
        <v>0.27808816379655577</v>
      </c>
      <c r="I67" s="402"/>
      <c r="J67" s="402"/>
      <c r="K67" s="811"/>
      <c r="L67" s="402"/>
      <c r="M67" s="340">
        <v>1266138.5124531053</v>
      </c>
      <c r="N67" s="340">
        <v>13241080.31632892</v>
      </c>
      <c r="O67" s="340">
        <v>10163.111741634857</v>
      </c>
      <c r="P67" s="438">
        <v>3.6531633891523358</v>
      </c>
      <c r="Q67" s="439">
        <v>0.3493227704075943</v>
      </c>
      <c r="R67" s="340">
        <v>0</v>
      </c>
      <c r="S67" s="340">
        <v>0</v>
      </c>
      <c r="T67" s="340"/>
      <c r="U67" s="340"/>
      <c r="V67" s="804">
        <v>130285.65293142453</v>
      </c>
      <c r="W67" s="804">
        <v>1362507.1645502457</v>
      </c>
      <c r="X67" s="335">
        <v>35.502073752695203</v>
      </c>
      <c r="Y67" s="336">
        <v>3.3947791098891575</v>
      </c>
    </row>
    <row r="68" spans="2:25" s="284" customFormat="1" ht="16.5" thickBot="1" x14ac:dyDescent="0.3">
      <c r="B68" s="440" t="s">
        <v>97</v>
      </c>
      <c r="C68" s="351">
        <v>3612064.9196878974</v>
      </c>
      <c r="D68" s="351">
        <v>7407214.0283133425</v>
      </c>
      <c r="E68" s="351">
        <v>11019278.948001239</v>
      </c>
      <c r="F68" s="351">
        <v>7304705.4112964757</v>
      </c>
      <c r="G68" s="351">
        <v>7304705.4112964757</v>
      </c>
      <c r="H68" s="495">
        <v>0.25702926613328797</v>
      </c>
      <c r="I68" s="403"/>
      <c r="J68" s="403"/>
      <c r="K68" s="812"/>
      <c r="L68" s="403"/>
      <c r="M68" s="327">
        <v>945444.88540195196</v>
      </c>
      <c r="N68" s="327">
        <v>10447638.086014684</v>
      </c>
      <c r="O68" s="327">
        <v>8193.1889453014646</v>
      </c>
      <c r="P68" s="441">
        <v>3.8204923157971744</v>
      </c>
      <c r="Q68" s="442">
        <v>0.34573028754920643</v>
      </c>
      <c r="R68" s="327">
        <v>0</v>
      </c>
      <c r="S68" s="327">
        <v>0</v>
      </c>
      <c r="T68" s="327"/>
      <c r="U68" s="327"/>
      <c r="V68" s="804">
        <v>97286.278707860853</v>
      </c>
      <c r="W68" s="804">
        <v>1075061.959050911</v>
      </c>
      <c r="X68" s="335">
        <v>37.128205206969625</v>
      </c>
      <c r="Y68" s="336">
        <v>3.3598667400311606</v>
      </c>
    </row>
    <row r="69" spans="2:25" ht="16.5" thickBot="1" x14ac:dyDescent="0.3">
      <c r="B69" s="364" t="s">
        <v>98</v>
      </c>
      <c r="C69" s="430">
        <v>8237475.7789773811</v>
      </c>
      <c r="D69" s="430">
        <v>15695260.78790994</v>
      </c>
      <c r="E69" s="430">
        <v>23932736.566887319</v>
      </c>
      <c r="F69" s="430">
        <v>16649650.165268783</v>
      </c>
      <c r="G69" s="365">
        <v>16649650.165268783</v>
      </c>
      <c r="H69" s="496">
        <v>0.2684439232961226</v>
      </c>
      <c r="I69" s="443"/>
      <c r="J69" s="406"/>
      <c r="K69" s="346"/>
      <c r="L69" s="406"/>
      <c r="M69" s="432">
        <v>2211583.3978550574</v>
      </c>
      <c r="N69" s="432">
        <v>23688718.402343605</v>
      </c>
      <c r="O69" s="432">
        <v>18356.300686936323</v>
      </c>
      <c r="P69" s="444">
        <v>3.7246959743714121</v>
      </c>
      <c r="Q69" s="445">
        <v>0.34773834696614148</v>
      </c>
      <c r="R69" s="432">
        <v>0</v>
      </c>
      <c r="S69" s="432">
        <v>0</v>
      </c>
      <c r="T69" s="432"/>
      <c r="U69" s="432"/>
      <c r="V69" s="346">
        <v>227571.93163928541</v>
      </c>
      <c r="W69" s="346">
        <v>2437569.1236011568</v>
      </c>
      <c r="X69" s="349">
        <v>36.197239789809643</v>
      </c>
      <c r="Y69" s="363">
        <v>3.3793814088060401</v>
      </c>
    </row>
    <row r="70" spans="2:25" s="284" customFormat="1" ht="15.75" hidden="1" x14ac:dyDescent="0.25">
      <c r="B70" s="427" t="s">
        <v>99</v>
      </c>
      <c r="C70" s="323">
        <v>0</v>
      </c>
      <c r="D70" s="323"/>
      <c r="E70" s="323"/>
      <c r="F70" s="323"/>
      <c r="G70" s="323"/>
      <c r="H70" s="493" t="e">
        <v>#DIV/0!</v>
      </c>
      <c r="I70" s="408"/>
      <c r="J70" s="408"/>
      <c r="K70" s="813"/>
      <c r="L70" s="408"/>
      <c r="M70" s="446"/>
      <c r="N70" s="446"/>
      <c r="O70" s="446"/>
      <c r="P70" s="446"/>
      <c r="Q70" s="448"/>
      <c r="R70" s="408"/>
      <c r="S70" s="408"/>
      <c r="T70" s="408"/>
      <c r="U70" s="408"/>
      <c r="V70" s="804">
        <v>0</v>
      </c>
      <c r="W70" s="804">
        <v>0</v>
      </c>
      <c r="X70" s="2018"/>
      <c r="Y70" s="448"/>
    </row>
    <row r="71" spans="2:25" s="284" customFormat="1" ht="15.75" x14ac:dyDescent="0.25">
      <c r="B71" s="449" t="s">
        <v>100</v>
      </c>
      <c r="C71" s="331">
        <v>2230429</v>
      </c>
      <c r="D71" s="323"/>
      <c r="E71" s="323"/>
      <c r="F71" s="323"/>
      <c r="G71" s="323"/>
      <c r="H71" s="494">
        <v>0.13409747241002209</v>
      </c>
      <c r="I71" s="402"/>
      <c r="J71" s="402"/>
      <c r="K71" s="814"/>
      <c r="L71" s="402"/>
      <c r="M71" s="446"/>
      <c r="N71" s="446"/>
      <c r="O71" s="446"/>
      <c r="P71" s="446"/>
      <c r="Q71" s="439"/>
      <c r="R71" s="408"/>
      <c r="S71" s="408"/>
      <c r="T71" s="408"/>
      <c r="U71" s="408"/>
      <c r="V71" s="804">
        <v>0</v>
      </c>
      <c r="W71" s="804">
        <v>0</v>
      </c>
      <c r="X71" s="446"/>
      <c r="Y71" s="439"/>
    </row>
    <row r="72" spans="2:25" s="284" customFormat="1" ht="16.5" thickBot="1" x14ac:dyDescent="0.3">
      <c r="B72" s="427" t="s">
        <v>101</v>
      </c>
      <c r="C72" s="323">
        <v>2119339</v>
      </c>
      <c r="D72" s="323"/>
      <c r="E72" s="323"/>
      <c r="F72" s="323"/>
      <c r="G72" s="323"/>
      <c r="H72" s="498">
        <v>0.15080906904207148</v>
      </c>
      <c r="I72" s="429"/>
      <c r="J72" s="429"/>
      <c r="K72" s="815"/>
      <c r="L72" s="429"/>
      <c r="M72" s="446"/>
      <c r="N72" s="446"/>
      <c r="O72" s="446"/>
      <c r="P72" s="446"/>
      <c r="Q72" s="453"/>
      <c r="R72" s="429"/>
      <c r="S72" s="429"/>
      <c r="T72" s="429"/>
      <c r="U72" s="429"/>
      <c r="V72" s="804">
        <v>0</v>
      </c>
      <c r="W72" s="804">
        <v>0</v>
      </c>
      <c r="X72" s="446"/>
      <c r="Y72" s="453"/>
    </row>
    <row r="73" spans="2:25" s="284" customFormat="1" ht="16.5" thickBot="1" x14ac:dyDescent="0.3">
      <c r="B73" s="364" t="s">
        <v>102</v>
      </c>
      <c r="C73" s="430">
        <v>4349768</v>
      </c>
      <c r="D73" s="430">
        <v>0</v>
      </c>
      <c r="E73" s="430">
        <v>0</v>
      </c>
      <c r="F73" s="430">
        <v>0</v>
      </c>
      <c r="G73" s="365">
        <v>0</v>
      </c>
      <c r="H73" s="496">
        <v>0.14175080069162713</v>
      </c>
      <c r="I73" s="443"/>
      <c r="J73" s="406"/>
      <c r="K73" s="816"/>
      <c r="L73" s="406"/>
      <c r="M73" s="454">
        <v>0</v>
      </c>
      <c r="N73" s="454">
        <v>0</v>
      </c>
      <c r="O73" s="454">
        <v>0</v>
      </c>
      <c r="P73" s="455"/>
      <c r="Q73" s="456"/>
      <c r="R73" s="406"/>
      <c r="S73" s="406"/>
      <c r="T73" s="406"/>
      <c r="U73" s="406"/>
      <c r="V73" s="346">
        <v>0</v>
      </c>
      <c r="W73" s="346">
        <v>0</v>
      </c>
      <c r="X73" s="455"/>
      <c r="Y73" s="456"/>
    </row>
    <row r="74" spans="2:25" s="284" customFormat="1" ht="16.5" hidden="1" thickBot="1" x14ac:dyDescent="0.3">
      <c r="B74" s="364" t="s">
        <v>103</v>
      </c>
      <c r="C74" s="457">
        <v>0</v>
      </c>
      <c r="D74" s="457">
        <v>0</v>
      </c>
      <c r="E74" s="457">
        <v>0</v>
      </c>
      <c r="F74" s="457">
        <v>0</v>
      </c>
      <c r="G74" s="457">
        <v>0</v>
      </c>
      <c r="H74" s="499">
        <v>0</v>
      </c>
      <c r="I74" s="458"/>
      <c r="J74" s="408"/>
      <c r="K74" s="813"/>
      <c r="L74" s="408"/>
      <c r="M74" s="446">
        <v>0</v>
      </c>
      <c r="N74" s="446">
        <v>0</v>
      </c>
      <c r="O74" s="446">
        <v>0</v>
      </c>
      <c r="P74" s="447" t="e">
        <v>#DIV/0!</v>
      </c>
      <c r="Q74" s="448" t="e">
        <v>#DIV/0!</v>
      </c>
      <c r="R74" s="408"/>
      <c r="S74" s="408"/>
      <c r="T74" s="408"/>
      <c r="U74" s="408"/>
      <c r="V74" s="804">
        <v>0</v>
      </c>
      <c r="W74" s="804">
        <v>0</v>
      </c>
      <c r="X74" s="2030"/>
      <c r="Y74" s="2031"/>
    </row>
    <row r="75" spans="2:25" s="284" customFormat="1" ht="16.5" thickBot="1" x14ac:dyDescent="0.3">
      <c r="B75" s="364" t="s">
        <v>104</v>
      </c>
      <c r="C75" s="457">
        <v>16632893.669913076</v>
      </c>
      <c r="D75" s="457">
        <v>11435089.466412064</v>
      </c>
      <c r="E75" s="457">
        <v>25837554.13632514</v>
      </c>
      <c r="F75" s="457">
        <v>22867502.739258781</v>
      </c>
      <c r="G75" s="457">
        <v>23143985.395399526</v>
      </c>
      <c r="H75" s="499">
        <v>0.54203488451082338</v>
      </c>
      <c r="I75" s="459"/>
      <c r="J75" s="402"/>
      <c r="K75" s="814"/>
      <c r="L75" s="402"/>
      <c r="M75" s="450">
        <v>2388339.3961549778</v>
      </c>
      <c r="N75" s="450">
        <v>34826694.439626746</v>
      </c>
      <c r="O75" s="450">
        <v>24404.065326916418</v>
      </c>
      <c r="P75" s="438">
        <v>6.9642085612667159</v>
      </c>
      <c r="Q75" s="439">
        <v>0.47759036387294118</v>
      </c>
      <c r="R75" s="450">
        <v>0</v>
      </c>
      <c r="S75" s="450">
        <v>0</v>
      </c>
      <c r="T75" s="450">
        <v>0</v>
      </c>
      <c r="U75" s="450">
        <v>0</v>
      </c>
      <c r="V75" s="804">
        <v>245760.12386434723</v>
      </c>
      <c r="W75" s="804">
        <v>3583666.8578375923</v>
      </c>
      <c r="X75" s="335">
        <v>67.67938349141609</v>
      </c>
      <c r="Y75" s="336">
        <v>4.6413057713599724</v>
      </c>
    </row>
    <row r="76" spans="2:25" s="284" customFormat="1" ht="16.5" thickBot="1" x14ac:dyDescent="0.3">
      <c r="B76" s="364" t="s">
        <v>105</v>
      </c>
      <c r="C76" s="457">
        <v>14053127.000000009</v>
      </c>
      <c r="D76" s="457">
        <v>11081975.011772776</v>
      </c>
      <c r="E76" s="457">
        <v>23015763.011772785</v>
      </c>
      <c r="F76" s="457">
        <v>18427367.313056469</v>
      </c>
      <c r="G76" s="457">
        <v>18646073.041264623</v>
      </c>
      <c r="H76" s="499">
        <v>0.45796511548917673</v>
      </c>
      <c r="I76" s="460"/>
      <c r="J76" s="403"/>
      <c r="K76" s="817"/>
      <c r="L76" s="403"/>
      <c r="M76" s="461">
        <v>1864336.6176924787</v>
      </c>
      <c r="N76" s="461">
        <v>28299979.743262421</v>
      </c>
      <c r="O76" s="461">
        <v>19625.476307103956</v>
      </c>
      <c r="P76" s="441">
        <v>7.5378699675994163</v>
      </c>
      <c r="Q76" s="442">
        <v>0.49657728123800998</v>
      </c>
      <c r="R76" s="461">
        <v>0</v>
      </c>
      <c r="S76" s="461">
        <v>0</v>
      </c>
      <c r="T76" s="461">
        <v>0</v>
      </c>
      <c r="U76" s="461">
        <v>0</v>
      </c>
      <c r="V76" s="804">
        <v>191840.23796055606</v>
      </c>
      <c r="W76" s="804">
        <v>2912067.9155817032</v>
      </c>
      <c r="X76" s="335">
        <v>73.254324272103176</v>
      </c>
      <c r="Y76" s="336">
        <v>4.8258239187367344</v>
      </c>
    </row>
    <row r="77" spans="2:25" ht="16.5" thickBot="1" x14ac:dyDescent="0.3">
      <c r="B77" s="364" t="s">
        <v>106</v>
      </c>
      <c r="C77" s="411">
        <v>30686020.669913083</v>
      </c>
      <c r="D77" s="411">
        <v>22517064.478184842</v>
      </c>
      <c r="E77" s="411">
        <v>48853317.148097925</v>
      </c>
      <c r="F77" s="411">
        <v>41294870.05231525</v>
      </c>
      <c r="G77" s="411">
        <v>41790058.436664149</v>
      </c>
      <c r="H77" s="500">
        <v>1</v>
      </c>
      <c r="I77" s="317">
        <v>1.3457225521849399</v>
      </c>
      <c r="J77" s="317">
        <v>0.85541905598709622</v>
      </c>
      <c r="K77" s="818"/>
      <c r="L77" s="462"/>
      <c r="M77" s="395">
        <v>4252676.0138474563</v>
      </c>
      <c r="N77" s="395">
        <v>63126674.182889163</v>
      </c>
      <c r="O77" s="395">
        <v>44029.541634020374</v>
      </c>
      <c r="P77" s="367">
        <v>7.2156967918538912</v>
      </c>
      <c r="Q77" s="367">
        <v>0.48610228666585925</v>
      </c>
      <c r="R77" s="395">
        <v>0</v>
      </c>
      <c r="S77" s="395">
        <v>0</v>
      </c>
      <c r="T77" s="395">
        <v>0</v>
      </c>
      <c r="U77" s="395">
        <v>0</v>
      </c>
      <c r="V77" s="346">
        <v>437600.36182490329</v>
      </c>
      <c r="W77" s="346">
        <v>6495734.7734192945</v>
      </c>
      <c r="X77" s="349">
        <v>70.123389619571341</v>
      </c>
      <c r="Y77" s="363">
        <v>4.7240261094835692</v>
      </c>
    </row>
    <row r="78" spans="2:25" x14ac:dyDescent="0.2">
      <c r="C78" s="788"/>
    </row>
    <row r="80" spans="2:25" x14ac:dyDescent="0.2">
      <c r="C80" s="751"/>
      <c r="L80" s="704"/>
      <c r="M80" s="704"/>
      <c r="R80" s="704"/>
      <c r="S80" s="704"/>
      <c r="T80" s="704"/>
      <c r="U80" s="704"/>
      <c r="V80" s="704"/>
      <c r="W80" s="704"/>
    </row>
    <row r="81" spans="3:25" x14ac:dyDescent="0.2">
      <c r="L81" s="704"/>
      <c r="M81" s="1038"/>
      <c r="R81" s="704"/>
      <c r="S81" s="704"/>
      <c r="T81" s="704"/>
      <c r="U81" s="704"/>
      <c r="V81" s="704"/>
      <c r="W81" s="704"/>
    </row>
    <row r="82" spans="3:25" ht="13.5" customHeight="1" x14ac:dyDescent="0.2">
      <c r="L82" s="704"/>
      <c r="M82" s="1038"/>
      <c r="R82" s="704"/>
      <c r="S82" s="704"/>
      <c r="T82" s="704"/>
      <c r="U82" s="704"/>
      <c r="V82" s="704"/>
      <c r="W82" s="704"/>
    </row>
    <row r="84" spans="3:25"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row>
    <row r="85" spans="3:25" x14ac:dyDescent="0.2">
      <c r="R85" s="704"/>
      <c r="S85" s="704"/>
      <c r="T85" s="704"/>
      <c r="U85" s="704"/>
      <c r="V85" s="704"/>
      <c r="W85" s="704"/>
    </row>
    <row r="86" spans="3:25" x14ac:dyDescent="0.2">
      <c r="C86" s="788"/>
      <c r="D86" s="788"/>
      <c r="E86" s="788"/>
      <c r="F86" s="788"/>
      <c r="G86" s="788"/>
      <c r="H86" s="788"/>
      <c r="I86" s="788"/>
      <c r="J86" s="788"/>
      <c r="K86" s="788"/>
      <c r="L86" s="788"/>
      <c r="M86" s="788"/>
      <c r="N86" s="788"/>
      <c r="O86" s="788"/>
      <c r="P86" s="788"/>
      <c r="Q86" s="788"/>
      <c r="R86" s="704"/>
      <c r="S86" s="704"/>
      <c r="T86" s="704"/>
      <c r="U86" s="704"/>
      <c r="V86" s="704"/>
      <c r="W86" s="704"/>
    </row>
    <row r="88" spans="3:25" x14ac:dyDescent="0.2">
      <c r="R88" s="704"/>
      <c r="S88" s="704"/>
      <c r="T88" s="704"/>
      <c r="U88" s="704"/>
      <c r="V88" s="704"/>
      <c r="W88" s="704"/>
    </row>
    <row r="89" spans="3:25" x14ac:dyDescent="0.2">
      <c r="R89" s="704"/>
      <c r="S89" s="704"/>
      <c r="T89" s="704"/>
      <c r="U89" s="704"/>
      <c r="V89" s="704"/>
      <c r="W89" s="704"/>
    </row>
    <row r="90" spans="3:25" x14ac:dyDescent="0.2">
      <c r="C90" s="2205"/>
      <c r="R90" s="704"/>
      <c r="S90" s="704"/>
      <c r="T90" s="704"/>
      <c r="U90" s="704"/>
      <c r="V90" s="704"/>
      <c r="W90" s="704"/>
    </row>
  </sheetData>
  <printOptions horizontalCentered="1"/>
  <pageMargins left="0.25" right="0.21"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pageSetUpPr fitToPage="1"/>
  </sheetPr>
  <dimension ref="B1:AD90"/>
  <sheetViews>
    <sheetView zoomScale="75" zoomScaleNormal="100" workbookViewId="0">
      <pane xSplit="2" ySplit="5" topLeftCell="E7" activePane="bottomRight" state="frozen"/>
      <selection activeCell="S52" sqref="S52"/>
      <selection pane="topRight" activeCell="S52" sqref="S52"/>
      <selection pane="bottomLeft" activeCell="S52" sqref="S52"/>
      <selection pane="bottomRight" activeCell="F32" sqref="F32"/>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6.140625"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5.570312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row>
    <row r="2" spans="2:29" s="284" customFormat="1" ht="18" customHeight="1" x14ac:dyDescent="0.2">
      <c r="B2" s="2154" t="s">
        <v>618</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row>
    <row r="3" spans="2:29" s="284" customFormat="1" ht="13.5" thickBot="1" x14ac:dyDescent="0.25">
      <c r="C3" s="243"/>
      <c r="K3" s="802"/>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x14ac:dyDescent="0.2">
      <c r="B6" s="359" t="s">
        <v>232</v>
      </c>
      <c r="C6" s="2132"/>
      <c r="D6" s="2133"/>
      <c r="E6" s="2133"/>
      <c r="F6" s="2133"/>
      <c r="G6" s="2133"/>
      <c r="H6" s="337"/>
      <c r="I6" s="338"/>
      <c r="J6" s="338"/>
      <c r="K6" s="2119"/>
      <c r="L6" s="2134"/>
      <c r="M6" s="2119"/>
      <c r="N6" s="2119"/>
      <c r="O6" s="2119"/>
      <c r="P6" s="341"/>
      <c r="Q6" s="336"/>
      <c r="R6" s="329"/>
      <c r="S6" s="2119"/>
      <c r="T6" s="2119"/>
      <c r="U6" s="2119"/>
      <c r="V6" s="2119"/>
      <c r="W6" s="2119">
        <v>0</v>
      </c>
      <c r="X6" s="2119">
        <v>0</v>
      </c>
      <c r="Y6" s="341" t="s">
        <v>3</v>
      </c>
      <c r="Z6" s="336" t="s">
        <v>3</v>
      </c>
    </row>
    <row r="7" spans="2:29" s="2060" customFormat="1" ht="18" customHeight="1" x14ac:dyDescent="0.2">
      <c r="B7" s="2290" t="s">
        <v>233</v>
      </c>
      <c r="C7" s="2354">
        <v>3916005.1103359</v>
      </c>
      <c r="D7" s="2291">
        <v>0</v>
      </c>
      <c r="E7" s="2291">
        <v>3916005.1103359</v>
      </c>
      <c r="F7" s="2291">
        <v>4410129.0430136323</v>
      </c>
      <c r="G7" s="2291">
        <v>4695119.8840135019</v>
      </c>
      <c r="H7" s="2355">
        <v>0.23543739219709478</v>
      </c>
      <c r="I7" s="2356">
        <v>1.1261806148754867</v>
      </c>
      <c r="J7" s="2356">
        <v>1.1989565262877739</v>
      </c>
      <c r="K7" s="2357">
        <v>3976.4449868718229</v>
      </c>
      <c r="L7" s="2358" t="s">
        <v>241</v>
      </c>
      <c r="M7" s="2357">
        <v>337112.22689860075</v>
      </c>
      <c r="N7" s="2357">
        <v>7240851.3523349855</v>
      </c>
      <c r="O7" s="2357">
        <v>4154.7948092951274</v>
      </c>
      <c r="P7" s="2359">
        <v>11.616324766273715</v>
      </c>
      <c r="Q7" s="2360">
        <v>0.54082108854134814</v>
      </c>
      <c r="R7" s="2360">
        <v>942.52671674061833</v>
      </c>
      <c r="S7" s="2357"/>
      <c r="T7" s="2357"/>
      <c r="U7" s="2357"/>
      <c r="V7" s="2357"/>
      <c r="W7" s="2357">
        <v>34688.848147866018</v>
      </c>
      <c r="X7" s="2357">
        <v>745083.60415527003</v>
      </c>
      <c r="Y7" s="2359">
        <v>112.88945351092046</v>
      </c>
      <c r="Z7" s="2361">
        <v>5.2557928915582917</v>
      </c>
    </row>
    <row r="8" spans="2:29" s="2060" customFormat="1" ht="19.5" customHeight="1" x14ac:dyDescent="0.2">
      <c r="B8" s="2202" t="s">
        <v>234</v>
      </c>
      <c r="C8" s="2200">
        <v>2762688.7953733802</v>
      </c>
      <c r="D8" s="331">
        <v>0</v>
      </c>
      <c r="E8" s="2052">
        <v>2762688.7953733802</v>
      </c>
      <c r="F8" s="2052">
        <v>3120509.9543333654</v>
      </c>
      <c r="G8" s="2052">
        <v>3291123.7629354242</v>
      </c>
      <c r="H8" s="2053">
        <v>0.23505989882291689</v>
      </c>
      <c r="I8" s="2054">
        <v>1.1295191697158296</v>
      </c>
      <c r="J8" s="2054">
        <v>1.1912756038418093</v>
      </c>
      <c r="K8" s="2055">
        <v>2217.3893792455592</v>
      </c>
      <c r="L8" s="2328" t="s">
        <v>241</v>
      </c>
      <c r="M8" s="2055">
        <v>234777.92403890516</v>
      </c>
      <c r="N8" s="2055">
        <v>5147399.1574443895</v>
      </c>
      <c r="O8" s="2055">
        <v>2918.8577222246345</v>
      </c>
      <c r="P8" s="2057">
        <v>11.767242625910491</v>
      </c>
      <c r="Q8" s="2329">
        <v>0.53671547724793423</v>
      </c>
      <c r="R8" s="2329">
        <v>946.49656073944277</v>
      </c>
      <c r="S8" s="2055"/>
      <c r="T8" s="2055"/>
      <c r="U8" s="2055"/>
      <c r="V8" s="2055"/>
      <c r="W8" s="2055">
        <v>24158.64838360334</v>
      </c>
      <c r="X8" s="2055">
        <v>529667.37330102769</v>
      </c>
      <c r="Y8" s="2057">
        <v>114.35609937716707</v>
      </c>
      <c r="Z8" s="2362">
        <v>5.2158938508059691</v>
      </c>
    </row>
    <row r="9" spans="2:29" ht="17.25" customHeight="1" x14ac:dyDescent="0.25">
      <c r="B9" s="2363" t="s">
        <v>235</v>
      </c>
      <c r="C9" s="2330">
        <v>6678693.9057092797</v>
      </c>
      <c r="D9" s="2330">
        <v>0</v>
      </c>
      <c r="E9" s="2330">
        <v>6678693.9057092797</v>
      </c>
      <c r="F9" s="2330">
        <v>7530638.9973469973</v>
      </c>
      <c r="G9" s="2330">
        <v>7986243.6469489262</v>
      </c>
      <c r="H9" s="2331">
        <v>0.235281092461577</v>
      </c>
      <c r="I9" s="2332">
        <v>1.1275616316102512</v>
      </c>
      <c r="J9" s="2332">
        <v>1.1957792585945417</v>
      </c>
      <c r="K9" s="2333">
        <v>6193.8343661173822</v>
      </c>
      <c r="L9" s="2334" t="s">
        <v>241</v>
      </c>
      <c r="M9" s="2335">
        <v>571890.15093750588</v>
      </c>
      <c r="N9" s="2335">
        <v>12388250.509779375</v>
      </c>
      <c r="O9" s="2335">
        <v>7073.6525315197614</v>
      </c>
      <c r="P9" s="2336">
        <v>11.678281038344204</v>
      </c>
      <c r="Q9" s="2336">
        <v>0.5391151801811781</v>
      </c>
      <c r="R9" s="2336">
        <v>944.16482516626729</v>
      </c>
      <c r="S9" s="2335">
        <v>0</v>
      </c>
      <c r="T9" s="2335">
        <v>0</v>
      </c>
      <c r="U9" s="2335"/>
      <c r="V9" s="2335"/>
      <c r="W9" s="2333">
        <v>58847.496531469355</v>
      </c>
      <c r="X9" s="2333">
        <v>1274750.9774562975</v>
      </c>
      <c r="Y9" s="2336">
        <v>113.49155528031297</v>
      </c>
      <c r="Z9" s="2364">
        <v>5.2392145790201967</v>
      </c>
      <c r="AB9" s="704"/>
    </row>
    <row r="10" spans="2:29" s="284" customFormat="1" ht="15" hidden="1" x14ac:dyDescent="0.2">
      <c r="B10" s="330" t="s">
        <v>139</v>
      </c>
      <c r="C10" s="331"/>
      <c r="D10" s="331"/>
      <c r="E10" s="331"/>
      <c r="F10" s="331"/>
      <c r="G10" s="331"/>
      <c r="H10" s="332"/>
      <c r="I10" s="333"/>
      <c r="J10" s="333"/>
      <c r="K10" s="804"/>
      <c r="L10" s="2337"/>
      <c r="M10" s="804"/>
      <c r="N10" s="804"/>
      <c r="O10" s="804"/>
      <c r="P10" s="335"/>
      <c r="Q10" s="2338"/>
      <c r="R10" s="2338" t="e">
        <v>#DIV/0!</v>
      </c>
      <c r="S10" s="804"/>
      <c r="T10" s="804"/>
      <c r="U10" s="804"/>
      <c r="V10" s="804"/>
      <c r="W10" s="804">
        <v>0</v>
      </c>
      <c r="X10" s="804">
        <v>0</v>
      </c>
      <c r="Y10" s="335" t="s">
        <v>3</v>
      </c>
      <c r="Z10" s="358" t="s">
        <v>3</v>
      </c>
      <c r="AA10" s="393"/>
      <c r="AB10" s="797"/>
    </row>
    <row r="11" spans="2:29" s="2060" customFormat="1" ht="15" x14ac:dyDescent="0.2">
      <c r="B11" s="2202" t="s">
        <v>140</v>
      </c>
      <c r="C11" s="2052">
        <v>3599356.6022379501</v>
      </c>
      <c r="D11" s="2052">
        <v>925940.11722272448</v>
      </c>
      <c r="E11" s="2052">
        <v>4525296.7194606746</v>
      </c>
      <c r="F11" s="2052">
        <v>4920292.8776015248</v>
      </c>
      <c r="G11" s="2052">
        <v>4922344.5856407788</v>
      </c>
      <c r="H11" s="2053">
        <v>0.21639990453066851</v>
      </c>
      <c r="I11" s="2054">
        <v>1.36699233261363</v>
      </c>
      <c r="J11" s="2054">
        <v>1.0877396314086172</v>
      </c>
      <c r="K11" s="2055">
        <v>5343.9504615384612</v>
      </c>
      <c r="L11" s="2328" t="s">
        <v>241</v>
      </c>
      <c r="M11" s="2055">
        <v>430039.95895789261</v>
      </c>
      <c r="N11" s="2055">
        <v>7736740.0286880517</v>
      </c>
      <c r="O11" s="2055">
        <v>6741.8129298696258</v>
      </c>
      <c r="P11" s="2057">
        <v>8.3698189604524202</v>
      </c>
      <c r="Q11" s="2329">
        <v>0.4652291002271543</v>
      </c>
      <c r="R11" s="2329">
        <v>533.88556456246181</v>
      </c>
      <c r="S11" s="2055">
        <v>0</v>
      </c>
      <c r="T11" s="2055">
        <v>0</v>
      </c>
      <c r="U11" s="2055">
        <v>0</v>
      </c>
      <c r="V11" s="2055">
        <v>0</v>
      </c>
      <c r="W11" s="2055">
        <v>44251.111776767153</v>
      </c>
      <c r="X11" s="2055">
        <v>796110.54895200045</v>
      </c>
      <c r="Y11" s="2057">
        <v>81.339348498079872</v>
      </c>
      <c r="Z11" s="2362">
        <v>4.5211768729558246</v>
      </c>
      <c r="AA11" s="2072"/>
      <c r="AB11" s="2203"/>
      <c r="AC11" s="2072"/>
    </row>
    <row r="12" spans="2:29" s="2060" customFormat="1" ht="15" x14ac:dyDescent="0.2">
      <c r="B12" s="2202" t="s">
        <v>141</v>
      </c>
      <c r="C12" s="2052">
        <v>1925796</v>
      </c>
      <c r="D12" s="2052">
        <v>692154.91433771001</v>
      </c>
      <c r="E12" s="2052">
        <v>2617950.91433771</v>
      </c>
      <c r="F12" s="2052">
        <v>2517985.0389960948</v>
      </c>
      <c r="G12" s="2052">
        <v>2519240.1142066456</v>
      </c>
      <c r="H12" s="2053">
        <v>0.16385392870585638</v>
      </c>
      <c r="I12" s="2054">
        <v>1.3075035149081704</v>
      </c>
      <c r="J12" s="2054">
        <v>0.962294632954936</v>
      </c>
      <c r="K12" s="2055">
        <v>2736.4473684210529</v>
      </c>
      <c r="L12" s="2328" t="s">
        <v>241</v>
      </c>
      <c r="M12" s="2055">
        <v>220242.09382854431</v>
      </c>
      <c r="N12" s="2055">
        <v>3960385.2765500122</v>
      </c>
      <c r="O12" s="2055">
        <v>3563.7392147425908</v>
      </c>
      <c r="P12" s="2057">
        <v>8.7439960568991317</v>
      </c>
      <c r="Q12" s="2329">
        <v>0.48626481150783585</v>
      </c>
      <c r="R12" s="2329">
        <v>540.38634253407361</v>
      </c>
      <c r="S12" s="2055">
        <v>0</v>
      </c>
      <c r="T12" s="2055">
        <v>0</v>
      </c>
      <c r="U12" s="2055"/>
      <c r="V12" s="2055"/>
      <c r="W12" s="2055">
        <v>22662.911454957211</v>
      </c>
      <c r="X12" s="2055">
        <v>407523.64495699626</v>
      </c>
      <c r="Y12" s="2057">
        <v>84.975666247804966</v>
      </c>
      <c r="Z12" s="2362">
        <v>4.7256055540120103</v>
      </c>
      <c r="AA12" s="2072"/>
      <c r="AB12" s="2203"/>
      <c r="AC12" s="2072"/>
    </row>
    <row r="13" spans="2:29" ht="17.25" customHeight="1" x14ac:dyDescent="0.25">
      <c r="B13" s="2363" t="s">
        <v>146</v>
      </c>
      <c r="C13" s="2330">
        <v>5525152.6022379501</v>
      </c>
      <c r="D13" s="2330">
        <v>1618095.0315604345</v>
      </c>
      <c r="E13" s="2330">
        <v>7143247.633798385</v>
      </c>
      <c r="F13" s="2330">
        <v>7438277.9165976197</v>
      </c>
      <c r="G13" s="2330">
        <v>7441584.6998474244</v>
      </c>
      <c r="H13" s="2331">
        <v>0.19464343756796462</v>
      </c>
      <c r="I13" s="2332">
        <v>1.3462574614834644</v>
      </c>
      <c r="J13" s="2332">
        <v>1.0417649060124212</v>
      </c>
      <c r="K13" s="2333">
        <v>8080.3978299595146</v>
      </c>
      <c r="L13" s="2334" t="s">
        <v>241</v>
      </c>
      <c r="M13" s="2335">
        <v>650282.05278643686</v>
      </c>
      <c r="N13" s="2335">
        <v>11697125.305238064</v>
      </c>
      <c r="O13" s="2335">
        <v>10305.552144612217</v>
      </c>
      <c r="P13" s="2336">
        <v>8.4965478880477416</v>
      </c>
      <c r="Q13" s="2339">
        <v>0.47235132206062147</v>
      </c>
      <c r="R13" s="2339">
        <v>536.13358359712163</v>
      </c>
      <c r="S13" s="2335">
        <v>0</v>
      </c>
      <c r="T13" s="2335">
        <v>0</v>
      </c>
      <c r="U13" s="2335">
        <v>0</v>
      </c>
      <c r="V13" s="2335">
        <v>0</v>
      </c>
      <c r="W13" s="2333">
        <v>66914.02323172435</v>
      </c>
      <c r="X13" s="2333">
        <v>1203634.1939089969</v>
      </c>
      <c r="Y13" s="2336">
        <v>82.570922138462024</v>
      </c>
      <c r="Z13" s="2365">
        <v>4.5903918567601698</v>
      </c>
    </row>
    <row r="14" spans="2:29" s="284" customFormat="1" ht="15.75" hidden="1" customHeight="1" x14ac:dyDescent="0.2">
      <c r="B14" s="330" t="s">
        <v>169</v>
      </c>
      <c r="C14" s="331"/>
      <c r="D14" s="331"/>
      <c r="E14" s="331"/>
      <c r="F14" s="331"/>
      <c r="G14" s="331"/>
      <c r="H14" s="332"/>
      <c r="I14" s="333"/>
      <c r="J14" s="333"/>
      <c r="K14" s="804"/>
      <c r="L14" s="2337"/>
      <c r="M14" s="804"/>
      <c r="N14" s="804"/>
      <c r="O14" s="804"/>
      <c r="P14" s="335"/>
      <c r="Q14" s="2338"/>
      <c r="R14" s="2338" t="e">
        <v>#DIV/0!</v>
      </c>
      <c r="S14" s="804"/>
      <c r="T14" s="804"/>
      <c r="U14" s="804"/>
      <c r="V14" s="804"/>
      <c r="W14" s="804">
        <v>0</v>
      </c>
      <c r="X14" s="804">
        <v>0</v>
      </c>
      <c r="Y14" s="335" t="s">
        <v>3</v>
      </c>
      <c r="Z14" s="358" t="s">
        <v>3</v>
      </c>
    </row>
    <row r="15" spans="2:29" s="284" customFormat="1" ht="30" x14ac:dyDescent="0.2">
      <c r="B15" s="2073" t="s">
        <v>597</v>
      </c>
      <c r="C15" s="2052">
        <v>1657413.1223993539</v>
      </c>
      <c r="D15" s="2052">
        <v>1813700.5652431287</v>
      </c>
      <c r="E15" s="2052">
        <v>3471113.6876424826</v>
      </c>
      <c r="F15" s="2052">
        <v>2768774.6191433156</v>
      </c>
      <c r="G15" s="2052">
        <v>2768774.6191433161</v>
      </c>
      <c r="H15" s="2053">
        <v>9.9646709423593369E-2</v>
      </c>
      <c r="I15" s="2054">
        <v>1.6705398199907453</v>
      </c>
      <c r="J15" s="2054">
        <v>0.7976617501755805</v>
      </c>
      <c r="K15" s="2055">
        <v>2525.9843778081299</v>
      </c>
      <c r="L15" s="2328" t="s">
        <v>572</v>
      </c>
      <c r="M15" s="2055">
        <v>223343.2098078671</v>
      </c>
      <c r="N15" s="2055">
        <v>4421097.9174043611</v>
      </c>
      <c r="O15" s="2055">
        <v>2603.4833627072371</v>
      </c>
      <c r="P15" s="2057">
        <v>7.4209246111630511</v>
      </c>
      <c r="Q15" s="2329">
        <v>0.37488722334664459</v>
      </c>
      <c r="R15" s="2329">
        <v>636.61367925005277</v>
      </c>
      <c r="S15" s="804"/>
      <c r="T15" s="804"/>
      <c r="U15" s="804"/>
      <c r="V15" s="804"/>
      <c r="W15" s="2055">
        <v>22982.016289229523</v>
      </c>
      <c r="X15" s="2055">
        <v>454930.97570090875</v>
      </c>
      <c r="Y15" s="2057">
        <v>72.117829068639963</v>
      </c>
      <c r="Z15" s="2362">
        <v>3.6432188857788588</v>
      </c>
    </row>
    <row r="16" spans="2:29" s="284" customFormat="1" ht="30" x14ac:dyDescent="0.2">
      <c r="B16" s="2073" t="s">
        <v>598</v>
      </c>
      <c r="C16" s="2052">
        <v>1363782</v>
      </c>
      <c r="D16" s="2052">
        <v>1581899.5817506188</v>
      </c>
      <c r="E16" s="2052">
        <v>2945681.5817506188</v>
      </c>
      <c r="F16" s="2052">
        <v>2174653.688459944</v>
      </c>
      <c r="G16" s="2052">
        <v>2174653.688459944</v>
      </c>
      <c r="H16" s="2053">
        <v>0.11603567490966343</v>
      </c>
      <c r="I16" s="2054">
        <v>1.5945757375151923</v>
      </c>
      <c r="J16" s="2054">
        <v>0.73825144643351004</v>
      </c>
      <c r="K16" s="2055">
        <v>2163.3061839853417</v>
      </c>
      <c r="L16" s="2328" t="s">
        <v>572</v>
      </c>
      <c r="M16" s="2055">
        <v>175472.924867694</v>
      </c>
      <c r="N16" s="2055">
        <v>3475023.8619890409</v>
      </c>
      <c r="O16" s="2055">
        <v>2045.9270074518286</v>
      </c>
      <c r="P16" s="2057">
        <v>7.7720366320233563</v>
      </c>
      <c r="Q16" s="2329">
        <v>0.39245255692126263</v>
      </c>
      <c r="R16" s="2329">
        <v>666.58389817072214</v>
      </c>
      <c r="S16" s="804"/>
      <c r="T16" s="804"/>
      <c r="U16" s="804"/>
      <c r="V16" s="804"/>
      <c r="W16" s="2055">
        <v>18056.16396888571</v>
      </c>
      <c r="X16" s="2055">
        <v>357579.95539867232</v>
      </c>
      <c r="Y16" s="2057">
        <v>75.529996423939338</v>
      </c>
      <c r="Z16" s="2362">
        <v>3.8139218359695106</v>
      </c>
    </row>
    <row r="17" spans="2:27" s="284" customFormat="1" ht="15.75" customHeight="1" x14ac:dyDescent="0.25">
      <c r="B17" s="2366" t="s">
        <v>599</v>
      </c>
      <c r="C17" s="2330">
        <v>3021195.1223993539</v>
      </c>
      <c r="D17" s="2330">
        <v>3395600.1469937474</v>
      </c>
      <c r="E17" s="2330">
        <v>6416795.2693931013</v>
      </c>
      <c r="F17" s="2330">
        <v>4943428.3076032596</v>
      </c>
      <c r="G17" s="2330">
        <v>4943428.3076032605</v>
      </c>
      <c r="H17" s="2331">
        <v>0.10643249997279482</v>
      </c>
      <c r="I17" s="2332">
        <v>1.6362492680305001</v>
      </c>
      <c r="J17" s="2332">
        <v>0.77038897145160257</v>
      </c>
      <c r="K17" s="2333">
        <v>4689.2905617934721</v>
      </c>
      <c r="L17" s="2334" t="s">
        <v>572</v>
      </c>
      <c r="M17" s="2335">
        <v>398816.1346755611</v>
      </c>
      <c r="N17" s="2335">
        <v>7896121.7793934019</v>
      </c>
      <c r="O17" s="2335">
        <v>4649.4103701590657</v>
      </c>
      <c r="P17" s="2336">
        <v>7.5754084644973334</v>
      </c>
      <c r="Q17" s="2339">
        <v>0.38261759466321821</v>
      </c>
      <c r="R17" s="2339">
        <v>649.80177740172087</v>
      </c>
      <c r="S17" s="2335">
        <v>0</v>
      </c>
      <c r="T17" s="2335">
        <v>0</v>
      </c>
      <c r="U17" s="2335">
        <v>0</v>
      </c>
      <c r="V17" s="2335">
        <v>0</v>
      </c>
      <c r="W17" s="2333">
        <v>41038.180258115237</v>
      </c>
      <c r="X17" s="2333">
        <v>812510.93109958107</v>
      </c>
      <c r="Y17" s="2336">
        <v>73.619129878496921</v>
      </c>
      <c r="Z17" s="2365">
        <v>3.7183439714598463</v>
      </c>
    </row>
    <row r="18" spans="2:27" s="284" customFormat="1" ht="15" x14ac:dyDescent="0.2">
      <c r="B18" s="2073" t="s">
        <v>609</v>
      </c>
      <c r="C18" s="2052">
        <v>140566</v>
      </c>
      <c r="D18" s="2340">
        <v>-140566</v>
      </c>
      <c r="E18" s="2340">
        <v>0</v>
      </c>
      <c r="F18" s="2340">
        <v>150480.84358293144</v>
      </c>
      <c r="G18" s="2340">
        <v>150480.84358293144</v>
      </c>
      <c r="H18" s="1115">
        <v>8.4510851081954046E-3</v>
      </c>
      <c r="I18" s="1922">
        <v>1.0705351477806258</v>
      </c>
      <c r="J18" s="1922"/>
      <c r="K18" s="1923">
        <v>20000</v>
      </c>
      <c r="L18" s="1923" t="s">
        <v>242</v>
      </c>
      <c r="M18" s="2342">
        <v>45333.333333333336</v>
      </c>
      <c r="N18" s="2342">
        <v>167733.33333333334</v>
      </c>
      <c r="O18" s="2342">
        <v>0</v>
      </c>
      <c r="P18" s="2341">
        <v>3.1007205882352942</v>
      </c>
      <c r="Q18" s="2400">
        <v>0.83803259141494435</v>
      </c>
      <c r="R18" s="2400"/>
      <c r="S18" s="2342">
        <v>0</v>
      </c>
      <c r="T18" s="2342">
        <v>0</v>
      </c>
      <c r="U18" s="2342">
        <v>0</v>
      </c>
      <c r="V18" s="2342">
        <v>0</v>
      </c>
      <c r="W18" s="1923">
        <v>4664.8</v>
      </c>
      <c r="X18" s="1923">
        <v>17259.759999999998</v>
      </c>
      <c r="Y18" s="1925">
        <v>30.133339049905675</v>
      </c>
      <c r="Z18" s="1989">
        <v>0</v>
      </c>
    </row>
    <row r="19" spans="2:27" s="2060" customFormat="1" ht="15" x14ac:dyDescent="0.2">
      <c r="B19" s="693" t="s">
        <v>530</v>
      </c>
      <c r="C19" s="2343">
        <v>106598</v>
      </c>
      <c r="D19" s="2340">
        <v>-106598</v>
      </c>
      <c r="E19" s="2340">
        <v>0</v>
      </c>
      <c r="F19" s="2340">
        <v>111517.95664134939</v>
      </c>
      <c r="G19" s="2340">
        <v>111517.95664134939</v>
      </c>
      <c r="H19" s="1115">
        <v>9.0697566576038568E-3</v>
      </c>
      <c r="I19" s="1922">
        <v>1.0461543053467175</v>
      </c>
      <c r="J19" s="1922"/>
      <c r="K19" s="1923">
        <v>20000</v>
      </c>
      <c r="L19" s="1923" t="s">
        <v>242</v>
      </c>
      <c r="M19" s="2342">
        <v>45333.333333333336</v>
      </c>
      <c r="N19" s="2342">
        <v>90666.666666666672</v>
      </c>
      <c r="O19" s="2342">
        <v>0</v>
      </c>
      <c r="P19" s="2341">
        <v>2.3514264705882351</v>
      </c>
      <c r="Q19" s="2400">
        <v>1.1757132352941175</v>
      </c>
      <c r="R19" s="2400"/>
      <c r="S19" s="2342">
        <v>0</v>
      </c>
      <c r="T19" s="2342">
        <v>0</v>
      </c>
      <c r="U19" s="2342">
        <v>0</v>
      </c>
      <c r="V19" s="2342">
        <v>0</v>
      </c>
      <c r="W19" s="1923">
        <v>4664.8</v>
      </c>
      <c r="X19" s="1923">
        <v>9329.6</v>
      </c>
      <c r="Y19" s="1925">
        <v>22.851569199108212</v>
      </c>
      <c r="Z19" s="1989">
        <v>0</v>
      </c>
    </row>
    <row r="20" spans="2:27" s="284" customFormat="1" ht="15.75" x14ac:dyDescent="0.25">
      <c r="B20" s="2366" t="s">
        <v>610</v>
      </c>
      <c r="C20" s="2330">
        <v>247164</v>
      </c>
      <c r="D20" s="2330">
        <v>-247164</v>
      </c>
      <c r="E20" s="2330">
        <v>0</v>
      </c>
      <c r="F20" s="2330">
        <v>261998.80022428083</v>
      </c>
      <c r="G20" s="2330">
        <v>261998.80022428083</v>
      </c>
      <c r="H20" s="2331">
        <v>8.7072437752329281E-3</v>
      </c>
      <c r="I20" s="2332"/>
      <c r="J20" s="2332"/>
      <c r="K20" s="2333">
        <v>40000</v>
      </c>
      <c r="L20" s="2334"/>
      <c r="M20" s="2335">
        <v>90666.666666666672</v>
      </c>
      <c r="N20" s="2335">
        <v>258400</v>
      </c>
      <c r="O20" s="2335">
        <v>0</v>
      </c>
      <c r="P20" s="2336">
        <v>2.7260735294117646</v>
      </c>
      <c r="Q20" s="2339">
        <v>0.95651702786377713</v>
      </c>
      <c r="R20" s="2339"/>
      <c r="S20" s="2335">
        <v>0</v>
      </c>
      <c r="T20" s="2335">
        <v>0</v>
      </c>
      <c r="U20" s="2335">
        <v>0</v>
      </c>
      <c r="V20" s="2335">
        <v>0</v>
      </c>
      <c r="W20" s="2333">
        <v>9329.6</v>
      </c>
      <c r="X20" s="2333">
        <v>26589.360000000001</v>
      </c>
      <c r="Y20" s="2336">
        <v>26.492454124506946</v>
      </c>
      <c r="Z20" s="2365">
        <v>9.295597938423489</v>
      </c>
    </row>
    <row r="21" spans="2:27" s="2060" customFormat="1" ht="15.75" customHeight="1" x14ac:dyDescent="0.2">
      <c r="B21" s="2202" t="s">
        <v>170</v>
      </c>
      <c r="C21" s="2052">
        <v>598442.975650387</v>
      </c>
      <c r="D21" s="2052">
        <v>547968.024349613</v>
      </c>
      <c r="E21" s="2052">
        <v>1146411</v>
      </c>
      <c r="F21" s="2052">
        <v>1436291.0827832532</v>
      </c>
      <c r="G21" s="2052">
        <v>1436291.0827832532</v>
      </c>
      <c r="H21" s="2053">
        <v>3.5979486644160966E-2</v>
      </c>
      <c r="I21" s="2054">
        <v>2.4000466898659711</v>
      </c>
      <c r="J21" s="2054">
        <v>1.2528587764625891</v>
      </c>
      <c r="K21" s="2055">
        <v>281.16520937325191</v>
      </c>
      <c r="L21" s="2328" t="s">
        <v>241</v>
      </c>
      <c r="M21" s="2055">
        <v>98863.324589830503</v>
      </c>
      <c r="N21" s="2055">
        <v>2287489.9902028642</v>
      </c>
      <c r="O21" s="2055">
        <v>894.81195086255605</v>
      </c>
      <c r="P21" s="2057">
        <v>6.0532353947557347</v>
      </c>
      <c r="Q21" s="2329">
        <v>0.26161556037992306</v>
      </c>
      <c r="R21" s="2329">
        <v>668.7918898194381</v>
      </c>
      <c r="S21" s="2055"/>
      <c r="T21" s="2055"/>
      <c r="U21" s="2055"/>
      <c r="V21" s="2055"/>
      <c r="W21" s="2055">
        <v>10173.036100293559</v>
      </c>
      <c r="X21" s="2055">
        <v>235382.71999187474</v>
      </c>
      <c r="Y21" s="2057">
        <v>58.826388675954661</v>
      </c>
      <c r="Z21" s="2362">
        <v>2.5424252709419148</v>
      </c>
    </row>
    <row r="22" spans="2:27" s="2060" customFormat="1" ht="15.75" customHeight="1" x14ac:dyDescent="0.2">
      <c r="B22" s="2202" t="s">
        <v>171</v>
      </c>
      <c r="C22" s="2052">
        <v>750790</v>
      </c>
      <c r="D22" s="2052">
        <v>708800</v>
      </c>
      <c r="E22" s="2052">
        <v>1459590</v>
      </c>
      <c r="F22" s="2052">
        <v>1118509.5433908661</v>
      </c>
      <c r="G22" s="2052">
        <v>1118509.5433908661</v>
      </c>
      <c r="H22" s="2053">
        <v>6.3880022148280452E-2</v>
      </c>
      <c r="I22" s="2054">
        <v>1.4897768262641566</v>
      </c>
      <c r="J22" s="2054">
        <v>0.766317625765363</v>
      </c>
      <c r="K22" s="2055">
        <v>358.28171339483828</v>
      </c>
      <c r="L22" s="2328" t="s">
        <v>241</v>
      </c>
      <c r="M22" s="2055">
        <v>76888.887334292245</v>
      </c>
      <c r="N22" s="2055">
        <v>1823190.5705633524</v>
      </c>
      <c r="O22" s="2055">
        <v>739.73673301093288</v>
      </c>
      <c r="P22" s="2057">
        <v>9.7646100240177311</v>
      </c>
      <c r="Q22" s="2329">
        <v>0.41180006748719167</v>
      </c>
      <c r="R22" s="2329">
        <v>1014.9421631991659</v>
      </c>
      <c r="S22" s="2055"/>
      <c r="T22" s="2055"/>
      <c r="U22" s="2055"/>
      <c r="V22" s="2055"/>
      <c r="W22" s="2055">
        <v>7911.8665066986723</v>
      </c>
      <c r="X22" s="2055">
        <v>187606.30971096896</v>
      </c>
      <c r="Y22" s="2057">
        <v>94.894169329618379</v>
      </c>
      <c r="Z22" s="2362">
        <v>4.0019442904488987</v>
      </c>
    </row>
    <row r="23" spans="2:27" ht="17.25" customHeight="1" x14ac:dyDescent="0.25">
      <c r="B23" s="2363" t="s">
        <v>204</v>
      </c>
      <c r="C23" s="2330">
        <v>1349232.9756503869</v>
      </c>
      <c r="D23" s="2330">
        <v>1256768.0243496131</v>
      </c>
      <c r="E23" s="2330">
        <v>2606001</v>
      </c>
      <c r="F23" s="2330">
        <v>2554800.6261741193</v>
      </c>
      <c r="G23" s="2330">
        <v>2554800.6261741193</v>
      </c>
      <c r="H23" s="2331">
        <v>4.7531600186802414E-2</v>
      </c>
      <c r="I23" s="2332">
        <v>1.8935207427335508</v>
      </c>
      <c r="J23" s="2332">
        <v>0.98035289555687788</v>
      </c>
      <c r="K23" s="2333">
        <v>639.44692276809019</v>
      </c>
      <c r="L23" s="2334" t="s">
        <v>241</v>
      </c>
      <c r="M23" s="2335">
        <v>175752.21192412276</v>
      </c>
      <c r="N23" s="2335">
        <v>4110680.5607662164</v>
      </c>
      <c r="O23" s="2335">
        <v>1634.5486838734889</v>
      </c>
      <c r="P23" s="2336">
        <v>7.6769046652618469</v>
      </c>
      <c r="Q23" s="2339">
        <v>0.32822617951098942</v>
      </c>
      <c r="R23" s="2339">
        <v>825.44679700394602</v>
      </c>
      <c r="S23" s="2344">
        <v>0</v>
      </c>
      <c r="T23" s="2344">
        <v>0</v>
      </c>
      <c r="U23" s="2344">
        <v>0</v>
      </c>
      <c r="V23" s="2344">
        <v>0</v>
      </c>
      <c r="W23" s="2333">
        <v>18084.902606992233</v>
      </c>
      <c r="X23" s="2333">
        <v>422989.02970284369</v>
      </c>
      <c r="Y23" s="2345">
        <v>74.605487514692385</v>
      </c>
      <c r="Z23" s="2367">
        <v>3.1897587901942606</v>
      </c>
    </row>
    <row r="24" spans="2:27" s="284" customFormat="1" ht="15.75" hidden="1" customHeight="1" x14ac:dyDescent="0.2">
      <c r="B24" s="330" t="s">
        <v>142</v>
      </c>
      <c r="C24" s="331"/>
      <c r="D24" s="331"/>
      <c r="E24" s="331"/>
      <c r="F24" s="331"/>
      <c r="G24" s="331"/>
      <c r="H24" s="332"/>
      <c r="I24" s="333"/>
      <c r="J24" s="333"/>
      <c r="K24" s="804"/>
      <c r="L24" s="2337"/>
      <c r="M24" s="804"/>
      <c r="N24" s="804"/>
      <c r="O24" s="804"/>
      <c r="P24" s="335"/>
      <c r="Q24" s="2338"/>
      <c r="R24" s="2338" t="e">
        <v>#DIV/0!</v>
      </c>
      <c r="S24" s="2055"/>
      <c r="T24" s="2055"/>
      <c r="U24" s="2055"/>
      <c r="V24" s="2055"/>
      <c r="W24" s="804">
        <v>0</v>
      </c>
      <c r="X24" s="804">
        <v>0</v>
      </c>
      <c r="Y24" s="2078" t="s">
        <v>3</v>
      </c>
      <c r="Z24" s="2368" t="s">
        <v>3</v>
      </c>
    </row>
    <row r="25" spans="2:27" s="2060" customFormat="1" ht="16.5" hidden="1" customHeight="1" x14ac:dyDescent="0.2">
      <c r="B25" s="2202" t="s">
        <v>143</v>
      </c>
      <c r="C25" s="2052"/>
      <c r="D25" s="2052"/>
      <c r="E25" s="2052"/>
      <c r="F25" s="2052"/>
      <c r="G25" s="2052"/>
      <c r="H25" s="2053">
        <v>0</v>
      </c>
      <c r="I25" s="2054" t="e">
        <v>#DIV/0!</v>
      </c>
      <c r="J25" s="2054" t="e">
        <v>#DIV/0!</v>
      </c>
      <c r="K25" s="2055"/>
      <c r="L25" s="2328" t="s">
        <v>242</v>
      </c>
      <c r="M25" s="2055"/>
      <c r="N25" s="2055"/>
      <c r="O25" s="2055"/>
      <c r="P25" s="2057" t="e">
        <v>#DIV/0!</v>
      </c>
      <c r="Q25" s="2329" t="e">
        <v>#DIV/0!</v>
      </c>
      <c r="R25" s="2329" t="e">
        <v>#DIV/0!</v>
      </c>
      <c r="S25" s="2077"/>
      <c r="T25" s="2077"/>
      <c r="U25" s="2077"/>
      <c r="V25" s="2077"/>
      <c r="W25" s="2055">
        <v>0</v>
      </c>
      <c r="X25" s="2055">
        <v>0</v>
      </c>
      <c r="Y25" s="2078" t="e">
        <v>#DIV/0!</v>
      </c>
      <c r="Z25" s="2368" t="e">
        <v>#DIV/0!</v>
      </c>
    </row>
    <row r="26" spans="2:27" s="2060" customFormat="1" ht="15.75" hidden="1" customHeight="1" thickBot="1" x14ac:dyDescent="0.25">
      <c r="B26" s="2202" t="s">
        <v>144</v>
      </c>
      <c r="C26" s="2052">
        <v>0</v>
      </c>
      <c r="D26" s="2052">
        <v>0</v>
      </c>
      <c r="E26" s="2052"/>
      <c r="F26" s="2052"/>
      <c r="G26" s="2052"/>
      <c r="H26" s="2053">
        <v>0</v>
      </c>
      <c r="I26" s="2054" t="e">
        <v>#DIV/0!</v>
      </c>
      <c r="J26" s="2054" t="e">
        <v>#DIV/0!</v>
      </c>
      <c r="K26" s="2055"/>
      <c r="L26" s="2328" t="s">
        <v>242</v>
      </c>
      <c r="M26" s="2055"/>
      <c r="N26" s="2055"/>
      <c r="O26" s="2055"/>
      <c r="P26" s="2057" t="e">
        <v>#DIV/0!</v>
      </c>
      <c r="Q26" s="2329" t="e">
        <v>#DIV/0!</v>
      </c>
      <c r="R26" s="2329" t="e">
        <v>#DIV/0!</v>
      </c>
      <c r="S26" s="2077"/>
      <c r="T26" s="2077"/>
      <c r="U26" s="2077"/>
      <c r="V26" s="2077"/>
      <c r="W26" s="2055">
        <v>0</v>
      </c>
      <c r="X26" s="2055">
        <v>0</v>
      </c>
      <c r="Y26" s="2078" t="e">
        <v>#DIV/0!</v>
      </c>
      <c r="Z26" s="2368" t="e">
        <v>#DIV/0!</v>
      </c>
    </row>
    <row r="27" spans="2:27" ht="17.25" hidden="1" customHeight="1" thickBot="1" x14ac:dyDescent="0.3">
      <c r="B27" s="2363" t="s">
        <v>145</v>
      </c>
      <c r="C27" s="2330">
        <v>0</v>
      </c>
      <c r="D27" s="2330">
        <v>0</v>
      </c>
      <c r="E27" s="2330">
        <v>0</v>
      </c>
      <c r="F27" s="2330">
        <v>0</v>
      </c>
      <c r="G27" s="2330">
        <v>0</v>
      </c>
      <c r="H27" s="2331">
        <v>0</v>
      </c>
      <c r="I27" s="2332" t="e">
        <v>#DIV/0!</v>
      </c>
      <c r="J27" s="2332" t="e">
        <v>#DIV/0!</v>
      </c>
      <c r="K27" s="2333">
        <v>0</v>
      </c>
      <c r="L27" s="2346" t="s">
        <v>242</v>
      </c>
      <c r="M27" s="2335">
        <v>0</v>
      </c>
      <c r="N27" s="2335">
        <v>0</v>
      </c>
      <c r="O27" s="2335">
        <v>0</v>
      </c>
      <c r="P27" s="2336" t="e">
        <v>#DIV/0!</v>
      </c>
      <c r="Q27" s="2339" t="e">
        <v>#DIV/0!</v>
      </c>
      <c r="R27" s="2339" t="e">
        <v>#DIV/0!</v>
      </c>
      <c r="S27" s="2335">
        <v>0</v>
      </c>
      <c r="T27" s="2335">
        <v>0</v>
      </c>
      <c r="U27" s="2335">
        <v>0</v>
      </c>
      <c r="V27" s="2335">
        <v>0</v>
      </c>
      <c r="W27" s="2333">
        <v>0</v>
      </c>
      <c r="X27" s="2333">
        <v>0</v>
      </c>
      <c r="Y27" s="2336" t="e">
        <v>#DIV/0!</v>
      </c>
      <c r="Z27" s="2365" t="e">
        <v>#DIV/0!</v>
      </c>
    </row>
    <row r="28" spans="2:27" ht="32.25" thickBot="1" x14ac:dyDescent="0.3">
      <c r="B28" s="2369" t="s">
        <v>88</v>
      </c>
      <c r="C28" s="2370">
        <v>16821438.60599697</v>
      </c>
      <c r="D28" s="2370">
        <v>6023299.2029037951</v>
      </c>
      <c r="E28" s="2370">
        <v>22844737.808900766</v>
      </c>
      <c r="F28" s="2370">
        <v>22729144.647946276</v>
      </c>
      <c r="G28" s="2370">
        <v>23188056.080798011</v>
      </c>
      <c r="H28" s="2371">
        <v>0.59259587396437174</v>
      </c>
      <c r="I28" s="2372">
        <v>1.351200998934964</v>
      </c>
      <c r="J28" s="2372">
        <v>1.0150283305840122</v>
      </c>
      <c r="K28" s="2373">
        <v>59602.96968063846</v>
      </c>
      <c r="L28" s="2374" t="s">
        <v>462</v>
      </c>
      <c r="M28" s="2375">
        <v>1887407.2169902935</v>
      </c>
      <c r="N28" s="2375">
        <v>36350578.155177057</v>
      </c>
      <c r="O28" s="2375">
        <v>23663.163730164535</v>
      </c>
      <c r="P28" s="2376">
        <v>8.9124585593250281</v>
      </c>
      <c r="Q28" s="2376">
        <v>0.46275573758931415</v>
      </c>
      <c r="R28" s="2376">
        <v>710.87022841979069</v>
      </c>
      <c r="S28" s="2375">
        <v>0</v>
      </c>
      <c r="T28" s="2375">
        <v>0</v>
      </c>
      <c r="U28" s="2375">
        <v>0</v>
      </c>
      <c r="V28" s="2375">
        <v>0</v>
      </c>
      <c r="W28" s="2375">
        <v>194214.20262830117</v>
      </c>
      <c r="X28" s="2375">
        <v>3740474.4921677192</v>
      </c>
      <c r="Y28" s="2376">
        <v>86.612813987609613</v>
      </c>
      <c r="Z28" s="2377">
        <v>4.4971403069904197</v>
      </c>
    </row>
    <row r="29" spans="2:27" ht="15.75" customHeight="1" x14ac:dyDescent="0.25">
      <c r="B29" s="2322"/>
      <c r="C29" s="2323"/>
      <c r="D29" s="2323"/>
      <c r="E29" s="2323"/>
      <c r="F29" s="2323"/>
      <c r="G29" s="2323"/>
      <c r="H29" s="2324"/>
      <c r="I29" s="2325"/>
      <c r="J29" s="2325"/>
      <c r="K29" s="806"/>
      <c r="L29" s="2326"/>
      <c r="M29" s="2327"/>
      <c r="N29" s="2327"/>
      <c r="O29" s="2327"/>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336"/>
      <c r="W31" s="2146" t="s">
        <v>3</v>
      </c>
      <c r="X31" s="2146" t="s">
        <v>3</v>
      </c>
      <c r="Y31" s="341" t="s">
        <v>3</v>
      </c>
      <c r="Z31" s="336" t="s">
        <v>3</v>
      </c>
    </row>
    <row r="32" spans="2:27" s="284" customFormat="1" ht="15" x14ac:dyDescent="0.2">
      <c r="B32" s="399" t="s">
        <v>125</v>
      </c>
      <c r="C32" s="351">
        <v>2400255.5600455399</v>
      </c>
      <c r="D32" s="1108">
        <v>4488497.666666666</v>
      </c>
      <c r="E32" s="351">
        <v>6888753.2267122064</v>
      </c>
      <c r="F32" s="1108">
        <v>3806223.9267734936</v>
      </c>
      <c r="G32" s="351">
        <v>3806223.9267734936</v>
      </c>
      <c r="H32" s="401">
        <v>0.14430775592507492</v>
      </c>
      <c r="I32" s="2137">
        <v>1.585757779351328</v>
      </c>
      <c r="J32" s="2137">
        <v>0.55252725732927577</v>
      </c>
      <c r="K32" s="2121">
        <v>224.12703709662182</v>
      </c>
      <c r="L32" s="354" t="s">
        <v>244</v>
      </c>
      <c r="M32" s="2121">
        <v>358987.86376607872</v>
      </c>
      <c r="N32" s="2121">
        <v>5783230.8716799347</v>
      </c>
      <c r="O32" s="2121">
        <v>3839.5959338498874</v>
      </c>
      <c r="P32" s="2120">
        <v>6.6861746658086982</v>
      </c>
      <c r="Q32" s="2378">
        <v>0.41503713292848443</v>
      </c>
      <c r="R32" s="2378">
        <v>625.1323319948541</v>
      </c>
      <c r="S32" s="2121"/>
      <c r="T32" s="2121"/>
      <c r="U32" s="2121"/>
      <c r="V32" s="2121"/>
      <c r="W32" s="2121">
        <v>36939.851181529506</v>
      </c>
      <c r="X32" s="2121">
        <v>595094.45669586526</v>
      </c>
      <c r="Y32" s="2120">
        <v>64.977402000084524</v>
      </c>
      <c r="Z32" s="356">
        <v>4.0334026523662239</v>
      </c>
    </row>
    <row r="33" spans="2:30" s="284" customFormat="1" ht="15" x14ac:dyDescent="0.2">
      <c r="B33" s="381" t="s">
        <v>126</v>
      </c>
      <c r="C33" s="331">
        <v>1487782</v>
      </c>
      <c r="D33" s="874">
        <v>3058477.7192968819</v>
      </c>
      <c r="E33" s="331">
        <v>4546259.7192968819</v>
      </c>
      <c r="F33" s="874">
        <v>2251252.7481807568</v>
      </c>
      <c r="G33" s="331">
        <v>2251252.7481807568</v>
      </c>
      <c r="H33" s="332">
        <v>0.12658605883377907</v>
      </c>
      <c r="I33" s="333">
        <v>1.5131603609808135</v>
      </c>
      <c r="J33" s="333">
        <v>0.4951878878862056</v>
      </c>
      <c r="K33" s="804">
        <v>116.06127556586389</v>
      </c>
      <c r="L33" s="2337" t="s">
        <v>244</v>
      </c>
      <c r="M33" s="804">
        <v>212329.18252185051</v>
      </c>
      <c r="N33" s="804">
        <v>3420585.5051386282</v>
      </c>
      <c r="O33" s="804">
        <v>2649.4896889042689</v>
      </c>
      <c r="P33" s="335">
        <v>7.0069595819542814</v>
      </c>
      <c r="Q33" s="2338">
        <v>0.43494951310673458</v>
      </c>
      <c r="R33" s="2338">
        <v>561.53530479119991</v>
      </c>
      <c r="S33" s="804"/>
      <c r="T33" s="804"/>
      <c r="U33" s="804"/>
      <c r="V33" s="804"/>
      <c r="W33" s="804">
        <v>21848.672881498416</v>
      </c>
      <c r="X33" s="804">
        <v>351978.24847876484</v>
      </c>
      <c r="Y33" s="335">
        <v>68.094845305678149</v>
      </c>
      <c r="Z33" s="358">
        <v>4.2269146074512589</v>
      </c>
    </row>
    <row r="34" spans="2:30" ht="17.25" customHeight="1" thickBot="1" x14ac:dyDescent="0.3">
      <c r="B34" s="2369" t="s">
        <v>137</v>
      </c>
      <c r="C34" s="2379">
        <v>3888037.5600455399</v>
      </c>
      <c r="D34" s="2379">
        <v>7546975.385963548</v>
      </c>
      <c r="E34" s="2379">
        <v>11435012.946009088</v>
      </c>
      <c r="F34" s="2379">
        <v>6057476.6749542505</v>
      </c>
      <c r="G34" s="2379">
        <v>6057476.6749542505</v>
      </c>
      <c r="H34" s="2380">
        <v>0.13697015278348929</v>
      </c>
      <c r="I34" s="2372">
        <v>1.5579779210989155</v>
      </c>
      <c r="J34" s="2372">
        <v>0.52973063550998067</v>
      </c>
      <c r="K34" s="2381">
        <v>340.18831266248571</v>
      </c>
      <c r="L34" s="2379" t="s">
        <v>244</v>
      </c>
      <c r="M34" s="2375">
        <v>571317.04628792917</v>
      </c>
      <c r="N34" s="2375">
        <v>9203816.3768185638</v>
      </c>
      <c r="O34" s="2375">
        <v>6489.0856227541562</v>
      </c>
      <c r="P34" s="2382">
        <v>6.8053939319816275</v>
      </c>
      <c r="Q34" s="2376">
        <v>0.42243754121803739</v>
      </c>
      <c r="R34" s="2376">
        <v>599.16570470453189</v>
      </c>
      <c r="S34" s="2375">
        <v>0</v>
      </c>
      <c r="T34" s="2375">
        <v>0</v>
      </c>
      <c r="U34" s="2375">
        <v>0</v>
      </c>
      <c r="V34" s="2375">
        <v>0</v>
      </c>
      <c r="W34" s="2381">
        <v>58788.524063027908</v>
      </c>
      <c r="X34" s="2381">
        <v>947072.70517463027</v>
      </c>
      <c r="Y34" s="2382">
        <v>66.135995451716497</v>
      </c>
      <c r="Z34" s="2377">
        <v>4.1053211002724721</v>
      </c>
    </row>
    <row r="35" spans="2:30" ht="15.75" customHeight="1" thickBot="1" x14ac:dyDescent="0.3">
      <c r="B35" s="2158" t="s">
        <v>132</v>
      </c>
      <c r="C35" s="2159"/>
      <c r="D35" s="2159"/>
      <c r="E35" s="2159"/>
      <c r="F35" s="2159"/>
      <c r="G35" s="2159"/>
      <c r="H35" s="2159"/>
      <c r="I35" s="2159"/>
      <c r="J35" s="2159"/>
      <c r="K35" s="2159"/>
      <c r="L35" s="2159"/>
      <c r="M35" s="2159"/>
      <c r="N35" s="2159"/>
      <c r="O35" s="2159"/>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v>1271144.5010718</v>
      </c>
      <c r="D37" s="1108">
        <v>2118125.0528875096</v>
      </c>
      <c r="E37" s="351">
        <v>3389269.5539593096</v>
      </c>
      <c r="F37" s="351">
        <v>2949580.2128328476</v>
      </c>
      <c r="G37" s="351">
        <v>2949580.2128328476</v>
      </c>
      <c r="H37" s="401">
        <v>7.6423533168563998E-2</v>
      </c>
      <c r="I37" s="2137">
        <v>2.3204129902979789</v>
      </c>
      <c r="J37" s="2137">
        <v>0.87027017647126315</v>
      </c>
      <c r="K37" s="2121">
        <v>45.310130060545994</v>
      </c>
      <c r="L37" s="354" t="s">
        <v>244</v>
      </c>
      <c r="M37" s="2121">
        <v>388999.59894853196</v>
      </c>
      <c r="N37" s="2121">
        <v>4273069.7665275391</v>
      </c>
      <c r="O37" s="2121">
        <v>2663.6586182335568</v>
      </c>
      <c r="P37" s="2120">
        <v>3.2677270221041628</v>
      </c>
      <c r="Q37" s="2378">
        <v>0.29747805922316617</v>
      </c>
      <c r="R37" s="2378">
        <v>477.21749790698692</v>
      </c>
      <c r="S37" s="2121"/>
      <c r="T37" s="2121"/>
      <c r="U37" s="2121"/>
      <c r="V37" s="2121"/>
      <c r="W37" s="2121">
        <v>40028.05873180394</v>
      </c>
      <c r="X37" s="2121">
        <v>439698.87897568377</v>
      </c>
      <c r="Y37" s="2120">
        <v>31.756336463597307</v>
      </c>
      <c r="Z37" s="356">
        <v>2.8909432383203706</v>
      </c>
      <c r="AA37" s="295"/>
    </row>
    <row r="38" spans="2:30" s="284" customFormat="1" ht="15.75" customHeight="1" x14ac:dyDescent="0.2">
      <c r="B38" s="330" t="s">
        <v>130</v>
      </c>
      <c r="C38" s="331">
        <v>961416</v>
      </c>
      <c r="D38" s="874">
        <v>1625935.2041522618</v>
      </c>
      <c r="E38" s="331">
        <v>2587351.2041522618</v>
      </c>
      <c r="F38" s="331">
        <v>2270897.0012522056</v>
      </c>
      <c r="G38" s="331">
        <v>2270897.0012522056</v>
      </c>
      <c r="H38" s="332">
        <v>8.1800870248286736E-2</v>
      </c>
      <c r="I38" s="333">
        <v>2.3620337099155888</v>
      </c>
      <c r="J38" s="333">
        <v>0.87769182537252743</v>
      </c>
      <c r="K38" s="804">
        <v>34.884502558422994</v>
      </c>
      <c r="L38" s="2337" t="s">
        <v>244</v>
      </c>
      <c r="M38" s="804">
        <v>299492.79524495942</v>
      </c>
      <c r="N38" s="804">
        <v>3289858.4268807471</v>
      </c>
      <c r="O38" s="804">
        <v>2050.7654679480606</v>
      </c>
      <c r="P38" s="335">
        <v>3.2101473399840694</v>
      </c>
      <c r="Q38" s="2338">
        <v>0.29223628352650993</v>
      </c>
      <c r="R38" s="2338">
        <v>468.80836206100463</v>
      </c>
      <c r="S38" s="804"/>
      <c r="T38" s="804"/>
      <c r="U38" s="804"/>
      <c r="V38" s="804"/>
      <c r="W38" s="804">
        <v>30817.808630706324</v>
      </c>
      <c r="X38" s="804">
        <v>338526.43212602887</v>
      </c>
      <c r="Y38" s="335">
        <v>31.196767152420499</v>
      </c>
      <c r="Z38" s="358">
        <v>2.8400027553596692</v>
      </c>
      <c r="AA38" s="295"/>
    </row>
    <row r="39" spans="2:30" ht="18" customHeight="1" x14ac:dyDescent="0.25">
      <c r="B39" s="2366" t="s">
        <v>617</v>
      </c>
      <c r="C39" s="2330">
        <v>2232560.5010718</v>
      </c>
      <c r="D39" s="2330">
        <v>3744060.2570397714</v>
      </c>
      <c r="E39" s="2330">
        <v>5976620.7581115719</v>
      </c>
      <c r="F39" s="2330">
        <v>5220477.2140850537</v>
      </c>
      <c r="G39" s="2330">
        <v>5220477.2140850537</v>
      </c>
      <c r="H39" s="2331">
        <v>7.8649999699747286E-2</v>
      </c>
      <c r="I39" s="2332">
        <v>2.3383362787162207</v>
      </c>
      <c r="J39" s="2332">
        <v>0.87348309778560618</v>
      </c>
      <c r="K39" s="2333">
        <v>80.194632618968996</v>
      </c>
      <c r="L39" s="2330" t="s">
        <v>244</v>
      </c>
      <c r="M39" s="2335">
        <v>688492.39419349143</v>
      </c>
      <c r="N39" s="2335">
        <v>7562928.1934082862</v>
      </c>
      <c r="O39" s="2335">
        <v>4714.4240861816179</v>
      </c>
      <c r="P39" s="2336">
        <v>3.2426799771507269</v>
      </c>
      <c r="Q39" s="2339">
        <v>0.29519789742518776</v>
      </c>
      <c r="R39" s="2339">
        <v>473.5595398843364</v>
      </c>
      <c r="S39" s="2335">
        <v>0</v>
      </c>
      <c r="T39" s="2335">
        <v>0</v>
      </c>
      <c r="U39" s="2335">
        <v>0</v>
      </c>
      <c r="V39" s="2335">
        <v>0</v>
      </c>
      <c r="W39" s="2333">
        <v>70845.867362510267</v>
      </c>
      <c r="X39" s="2333">
        <v>778225.31110171264</v>
      </c>
      <c r="Y39" s="2336">
        <v>31.512924948014838</v>
      </c>
      <c r="Z39" s="2365">
        <v>2.8687842315372962</v>
      </c>
    </row>
    <row r="40" spans="2:30" s="284" customFormat="1" ht="15.75" hidden="1" customHeight="1" x14ac:dyDescent="0.2">
      <c r="B40" s="330" t="s">
        <v>133</v>
      </c>
      <c r="C40" s="331"/>
      <c r="D40" s="331"/>
      <c r="E40" s="331"/>
      <c r="F40" s="331"/>
      <c r="G40" s="331"/>
      <c r="H40" s="332"/>
      <c r="I40" s="333"/>
      <c r="J40" s="333"/>
      <c r="K40" s="804"/>
      <c r="L40" s="2337"/>
      <c r="M40" s="804"/>
      <c r="N40" s="804"/>
      <c r="O40" s="804"/>
      <c r="P40" s="335"/>
      <c r="Q40" s="2338"/>
      <c r="R40" s="2338" t="e">
        <v>#DIV/0!</v>
      </c>
      <c r="S40" s="2337"/>
      <c r="T40" s="2337"/>
      <c r="U40" s="2337"/>
      <c r="V40" s="2337"/>
      <c r="W40" s="804">
        <v>0</v>
      </c>
      <c r="X40" s="804">
        <v>0</v>
      </c>
      <c r="Y40" s="335" t="s">
        <v>3</v>
      </c>
      <c r="Z40" s="358" t="s">
        <v>3</v>
      </c>
    </row>
    <row r="41" spans="2:30" s="284" customFormat="1" ht="15.75" customHeight="1" x14ac:dyDescent="0.2">
      <c r="B41" s="615" t="s">
        <v>582</v>
      </c>
      <c r="C41" s="331">
        <v>711299.88318295695</v>
      </c>
      <c r="D41" s="874">
        <v>886712.81689921382</v>
      </c>
      <c r="E41" s="331">
        <v>1598012.7000821708</v>
      </c>
      <c r="F41" s="331">
        <v>2013916.2435678265</v>
      </c>
      <c r="G41" s="331">
        <v>2013916.2435678265</v>
      </c>
      <c r="H41" s="332">
        <v>4.2764650414955384E-2</v>
      </c>
      <c r="I41" s="333">
        <v>2.8313181137551475</v>
      </c>
      <c r="J41" s="333">
        <v>1.2602629775497214</v>
      </c>
      <c r="K41" s="804">
        <v>87.27246409007499</v>
      </c>
      <c r="L41" s="804" t="s">
        <v>244</v>
      </c>
      <c r="M41" s="804">
        <v>463036.94699485274</v>
      </c>
      <c r="N41" s="804">
        <v>2369413.9609119268</v>
      </c>
      <c r="O41" s="804">
        <v>3140.150530424989</v>
      </c>
      <c r="P41" s="335">
        <v>1.5361622604834253</v>
      </c>
      <c r="Q41" s="2338">
        <v>0.30020076479552599</v>
      </c>
      <c r="R41" s="2338">
        <v>226.51776604056283</v>
      </c>
      <c r="S41" s="804"/>
      <c r="T41" s="804"/>
      <c r="U41" s="804"/>
      <c r="V41" s="804"/>
      <c r="W41" s="804">
        <v>47646.501845770348</v>
      </c>
      <c r="X41" s="804">
        <v>243812.69657783728</v>
      </c>
      <c r="Y41" s="335">
        <v>14.928690578070215</v>
      </c>
      <c r="Z41" s="358">
        <v>2.9174029620556459</v>
      </c>
    </row>
    <row r="42" spans="2:30" s="284" customFormat="1" ht="16.5" customHeight="1" x14ac:dyDescent="0.2">
      <c r="B42" s="615" t="s">
        <v>583</v>
      </c>
      <c r="C42" s="331">
        <v>251000</v>
      </c>
      <c r="D42" s="874">
        <v>313628.77148657467</v>
      </c>
      <c r="E42" s="331">
        <v>564628.77148657467</v>
      </c>
      <c r="F42" s="331">
        <v>744606.21306757943</v>
      </c>
      <c r="G42" s="331">
        <v>744606.21306757943</v>
      </c>
      <c r="H42" s="332">
        <v>2.1356019072201807E-2</v>
      </c>
      <c r="I42" s="333">
        <v>2.9665586177991212</v>
      </c>
      <c r="J42" s="333">
        <v>1.318753578757869</v>
      </c>
      <c r="K42" s="804">
        <v>32.267289763780319</v>
      </c>
      <c r="L42" s="804" t="s">
        <v>244</v>
      </c>
      <c r="M42" s="804">
        <v>171198.8712109511</v>
      </c>
      <c r="N42" s="804">
        <v>876044.55361982097</v>
      </c>
      <c r="O42" s="804">
        <v>1161.0093529905798</v>
      </c>
      <c r="P42" s="335">
        <v>1.4661311621074768</v>
      </c>
      <c r="Q42" s="2338">
        <v>0.28651510812191755</v>
      </c>
      <c r="R42" s="2338">
        <v>216.19119549163233</v>
      </c>
      <c r="S42" s="804"/>
      <c r="T42" s="804"/>
      <c r="U42" s="804"/>
      <c r="V42" s="804"/>
      <c r="W42" s="804">
        <v>17616.36384760687</v>
      </c>
      <c r="X42" s="804">
        <v>90144.98456747958</v>
      </c>
      <c r="Y42" s="335">
        <v>14.248116249829705</v>
      </c>
      <c r="Z42" s="358">
        <v>2.784403383109014</v>
      </c>
    </row>
    <row r="43" spans="2:30" ht="19.5" customHeight="1" x14ac:dyDescent="0.25">
      <c r="B43" s="2363" t="s">
        <v>136</v>
      </c>
      <c r="C43" s="2330">
        <v>962299.88318295695</v>
      </c>
      <c r="D43" s="2330">
        <v>1200341.5883857885</v>
      </c>
      <c r="E43" s="2330">
        <v>2162641.4715687456</v>
      </c>
      <c r="F43" s="2330">
        <v>2758522.4566354058</v>
      </c>
      <c r="G43" s="2330">
        <v>2758522.4566354058</v>
      </c>
      <c r="H43" s="2331">
        <v>3.3900485781716498E-2</v>
      </c>
      <c r="I43" s="2332">
        <v>2.866593361220374</v>
      </c>
      <c r="J43" s="2332">
        <v>1.2755338750784324</v>
      </c>
      <c r="K43" s="2333">
        <v>119.5397538538553</v>
      </c>
      <c r="L43" s="2330" t="s">
        <v>244</v>
      </c>
      <c r="M43" s="2335">
        <v>634235.81820580387</v>
      </c>
      <c r="N43" s="2335">
        <v>3245458.5145317479</v>
      </c>
      <c r="O43" s="2335">
        <v>4301.1598834155684</v>
      </c>
      <c r="P43" s="2336">
        <v>1.5172588106190799</v>
      </c>
      <c r="Q43" s="2339">
        <v>0.29650660418988495</v>
      </c>
      <c r="R43" s="2339">
        <v>223.73032141711289</v>
      </c>
      <c r="S43" s="2335">
        <v>0</v>
      </c>
      <c r="T43" s="2335">
        <v>0</v>
      </c>
      <c r="U43" s="2335"/>
      <c r="V43" s="2335"/>
      <c r="W43" s="2333">
        <v>65262.865693377222</v>
      </c>
      <c r="X43" s="2333">
        <v>333957.6811453168</v>
      </c>
      <c r="Y43" s="2336">
        <v>14.744983582303982</v>
      </c>
      <c r="Z43" s="2365">
        <v>2.8815024702612733</v>
      </c>
    </row>
    <row r="44" spans="2:30" ht="15.75" hidden="1" customHeight="1" x14ac:dyDescent="0.2">
      <c r="B44" s="330" t="s">
        <v>251</v>
      </c>
      <c r="C44" s="331"/>
      <c r="D44" s="331"/>
      <c r="E44" s="331"/>
      <c r="F44" s="331"/>
      <c r="G44" s="331"/>
      <c r="H44" s="332"/>
      <c r="I44" s="333"/>
      <c r="J44" s="333"/>
      <c r="K44" s="804"/>
      <c r="L44" s="2337"/>
      <c r="M44" s="804"/>
      <c r="N44" s="804"/>
      <c r="O44" s="804"/>
      <c r="P44" s="335"/>
      <c r="Q44" s="2338"/>
      <c r="R44" s="2338" t="e">
        <v>#DIV/0!</v>
      </c>
      <c r="S44" s="2337"/>
      <c r="T44" s="2337"/>
      <c r="U44" s="2337"/>
      <c r="V44" s="2337"/>
      <c r="W44" s="804">
        <v>0</v>
      </c>
      <c r="X44" s="804">
        <v>0</v>
      </c>
      <c r="Y44" s="335" t="s">
        <v>3</v>
      </c>
      <c r="Z44" s="358" t="s">
        <v>3</v>
      </c>
    </row>
    <row r="45" spans="2:30" ht="15.75" customHeight="1" x14ac:dyDescent="0.2">
      <c r="B45" s="330" t="s">
        <v>252</v>
      </c>
      <c r="C45" s="331">
        <v>242710.91498918601</v>
      </c>
      <c r="D45" s="874">
        <v>794711.22314320842</v>
      </c>
      <c r="E45" s="331">
        <v>1037422.1381323944</v>
      </c>
      <c r="F45" s="331">
        <v>575224.37079813902</v>
      </c>
      <c r="G45" s="331">
        <v>575224.37079813913</v>
      </c>
      <c r="H45" s="332">
        <v>1.4592224287961461E-2</v>
      </c>
      <c r="I45" s="333">
        <v>2.3699979493042913</v>
      </c>
      <c r="J45" s="333">
        <v>0.55447474046937084</v>
      </c>
      <c r="K45" s="804">
        <v>60.870366549299682</v>
      </c>
      <c r="L45" s="804" t="s">
        <v>244</v>
      </c>
      <c r="M45" s="804">
        <v>55114.102743642012</v>
      </c>
      <c r="N45" s="804">
        <v>815365.71720952215</v>
      </c>
      <c r="O45" s="804">
        <v>519.70665912642357</v>
      </c>
      <c r="P45" s="335">
        <v>4.4037896456036432</v>
      </c>
      <c r="Q45" s="2338">
        <v>0.29767122883192954</v>
      </c>
      <c r="R45" s="2338">
        <v>467.01521084443959</v>
      </c>
      <c r="S45" s="804"/>
      <c r="T45" s="804"/>
      <c r="U45" s="804"/>
      <c r="V45" s="804"/>
      <c r="W45" s="804">
        <v>5671.2411723207624</v>
      </c>
      <c r="X45" s="804">
        <v>83901.132300859827</v>
      </c>
      <c r="Y45" s="335">
        <v>42.796789558830355</v>
      </c>
      <c r="Z45" s="358">
        <v>2.8928204939934843</v>
      </c>
    </row>
    <row r="46" spans="2:30" ht="15.75" customHeight="1" x14ac:dyDescent="0.2">
      <c r="B46" s="330" t="s">
        <v>253</v>
      </c>
      <c r="C46" s="331">
        <v>246510</v>
      </c>
      <c r="D46" s="874">
        <v>835836.00475129695</v>
      </c>
      <c r="E46" s="331">
        <v>1082346.0047512969</v>
      </c>
      <c r="F46" s="331">
        <v>594707.58237718011</v>
      </c>
      <c r="G46" s="331">
        <v>594707.58237718022</v>
      </c>
      <c r="H46" s="332">
        <v>2.0973993073659231E-2</v>
      </c>
      <c r="I46" s="333">
        <v>2.4125089545137319</v>
      </c>
      <c r="J46" s="333">
        <v>0.54946161372289903</v>
      </c>
      <c r="K46" s="804">
        <v>65.386898409382596</v>
      </c>
      <c r="L46" s="804" t="s">
        <v>244</v>
      </c>
      <c r="M46" s="804">
        <v>59697.524957851536</v>
      </c>
      <c r="N46" s="804">
        <v>842963.48330851388</v>
      </c>
      <c r="O46" s="804">
        <v>508.42439002942569</v>
      </c>
      <c r="P46" s="335">
        <v>4.1293169218329293</v>
      </c>
      <c r="Q46" s="2338">
        <v>0.29243259628813656</v>
      </c>
      <c r="R46" s="2338">
        <v>484.85085458967245</v>
      </c>
      <c r="S46" s="804"/>
      <c r="T46" s="804"/>
      <c r="U46" s="804"/>
      <c r="V46" s="804"/>
      <c r="W46" s="804">
        <v>6142.8753181629227</v>
      </c>
      <c r="X46" s="804">
        <v>86740.942432446071</v>
      </c>
      <c r="Y46" s="335">
        <v>40.129416149979882</v>
      </c>
      <c r="Z46" s="358">
        <v>2.8419105567360217</v>
      </c>
    </row>
    <row r="47" spans="2:30" ht="19.5" customHeight="1" x14ac:dyDescent="0.25">
      <c r="B47" s="2363" t="s">
        <v>302</v>
      </c>
      <c r="C47" s="2330">
        <v>489220.91498918599</v>
      </c>
      <c r="D47" s="2330">
        <v>1630547.2278945055</v>
      </c>
      <c r="E47" s="2330">
        <v>2119768.1428836915</v>
      </c>
      <c r="F47" s="2330">
        <v>1169931.9531753191</v>
      </c>
      <c r="G47" s="2330">
        <v>1169931.9531753194</v>
      </c>
      <c r="H47" s="2331">
        <v>1.7234572052375538E-2</v>
      </c>
      <c r="I47" s="2332">
        <v>2.3914185132521979</v>
      </c>
      <c r="J47" s="2332">
        <v>0.55191505594747103</v>
      </c>
      <c r="K47" s="2333">
        <v>126.25726495868227</v>
      </c>
      <c r="L47" s="2330" t="s">
        <v>244</v>
      </c>
      <c r="M47" s="2335">
        <v>114811.62770149355</v>
      </c>
      <c r="N47" s="2335">
        <v>1658329.200518036</v>
      </c>
      <c r="O47" s="2335">
        <v>1028.1310491558493</v>
      </c>
      <c r="P47" s="2336">
        <v>4.261074638373251</v>
      </c>
      <c r="Q47" s="2339">
        <v>0.29500832213312111</v>
      </c>
      <c r="R47" s="2339">
        <v>475.83517236529582</v>
      </c>
      <c r="S47" s="2335">
        <v>0</v>
      </c>
      <c r="T47" s="2335">
        <v>0</v>
      </c>
      <c r="U47" s="2335">
        <v>0</v>
      </c>
      <c r="V47" s="2335">
        <v>0</v>
      </c>
      <c r="W47" s="2333">
        <v>11814.116490483686</v>
      </c>
      <c r="X47" s="2333">
        <v>170642.0747333059</v>
      </c>
      <c r="Y47" s="2336">
        <v>41.409860431226932</v>
      </c>
      <c r="Z47" s="2365">
        <v>2.8669419060555992</v>
      </c>
    </row>
    <row r="48" spans="2:30" ht="15.75" customHeight="1" thickBot="1" x14ac:dyDescent="0.3">
      <c r="B48" s="2369" t="s">
        <v>127</v>
      </c>
      <c r="C48" s="2370">
        <v>7572118.8592894822</v>
      </c>
      <c r="D48" s="2370">
        <v>14121924.459283613</v>
      </c>
      <c r="E48" s="2370">
        <v>21694043.318573095</v>
      </c>
      <c r="F48" s="2370">
        <v>15206408.29885003</v>
      </c>
      <c r="G48" s="2370">
        <v>15206408.29885003</v>
      </c>
      <c r="H48" s="2371">
        <v>0.26675521031732857</v>
      </c>
      <c r="I48" s="2372">
        <v>2.0082104601666142</v>
      </c>
      <c r="J48" s="2372">
        <v>0.70094855419742086</v>
      </c>
      <c r="K48" s="2381">
        <v>666.17996409399234</v>
      </c>
      <c r="L48" s="2379" t="s">
        <v>244</v>
      </c>
      <c r="M48" s="2383">
        <v>2008856.8863887182</v>
      </c>
      <c r="N48" s="2384">
        <v>21670532.285276633</v>
      </c>
      <c r="O48" s="2384">
        <v>16532.80064150719</v>
      </c>
      <c r="P48" s="2376">
        <v>3.7693670019977028</v>
      </c>
      <c r="Q48" s="2376">
        <v>0.34942006774951817</v>
      </c>
      <c r="R48" s="2376">
        <v>458.00581664784295</v>
      </c>
      <c r="S48" s="2383">
        <v>0</v>
      </c>
      <c r="T48" s="2384">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v>311292</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v>311292</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v>622584</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v>1784407</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v>1585472</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v>3369879</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v>3992463</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v>0</v>
      </c>
      <c r="D62" s="2115">
        <v>0</v>
      </c>
      <c r="E62" s="2115">
        <v>0</v>
      </c>
      <c r="F62" s="2115">
        <v>0</v>
      </c>
      <c r="G62" s="2115">
        <v>0</v>
      </c>
      <c r="H62" s="498" t="e">
        <v>#DIV/0!</v>
      </c>
      <c r="I62" s="2116"/>
      <c r="J62" s="2117"/>
      <c r="K62" s="903"/>
      <c r="L62" s="2117"/>
      <c r="M62" s="355">
        <v>0</v>
      </c>
      <c r="N62" s="355">
        <v>0</v>
      </c>
      <c r="O62" s="355">
        <v>0</v>
      </c>
      <c r="P62" s="362" t="e">
        <v>#DIV/0!</v>
      </c>
      <c r="Q62" s="329" t="e">
        <v>#DIV/0!</v>
      </c>
      <c r="R62" s="329" t="e">
        <v>#DIV/0!</v>
      </c>
      <c r="S62" s="2117"/>
      <c r="T62" s="2117"/>
      <c r="U62" s="2117"/>
      <c r="V62" s="2117"/>
      <c r="W62" s="2119">
        <v>0</v>
      </c>
      <c r="X62" s="2119">
        <v>0</v>
      </c>
      <c r="Y62" s="2118" t="s">
        <v>3</v>
      </c>
      <c r="Z62" s="1997" t="s">
        <v>3</v>
      </c>
    </row>
    <row r="63" spans="2:27" s="284" customFormat="1" ht="15.75" x14ac:dyDescent="0.25">
      <c r="B63" s="434" t="s">
        <v>92</v>
      </c>
      <c r="C63" s="351">
        <v>9911783.8106235918</v>
      </c>
      <c r="D63" s="351">
        <v>3147042.7068154663</v>
      </c>
      <c r="E63" s="351">
        <v>13058826.517439058</v>
      </c>
      <c r="F63" s="351">
        <v>13685968.466124659</v>
      </c>
      <c r="G63" s="351">
        <v>13973011.015163783</v>
      </c>
      <c r="H63" s="497">
        <v>0.59591457790371305</v>
      </c>
      <c r="I63" s="400"/>
      <c r="J63" s="400"/>
      <c r="K63" s="353"/>
      <c r="L63" s="400"/>
      <c r="M63" s="424">
        <v>1134692.0535875245</v>
      </c>
      <c r="N63" s="424">
        <v>21853912.621963594</v>
      </c>
      <c r="O63" s="424">
        <v>14394.903052734546</v>
      </c>
      <c r="P63" s="2120">
        <v>8.7352191982712668</v>
      </c>
      <c r="Q63" s="2378">
        <v>0.45354733415846377</v>
      </c>
      <c r="R63" s="2378">
        <v>688.56203993264739</v>
      </c>
      <c r="S63" s="424">
        <v>0</v>
      </c>
      <c r="T63" s="424">
        <v>0</v>
      </c>
      <c r="U63" s="424">
        <v>0</v>
      </c>
      <c r="V63" s="424">
        <v>0</v>
      </c>
      <c r="W63" s="2121">
        <v>116759.81231415625</v>
      </c>
      <c r="X63" s="2121">
        <v>2248767.6088000541</v>
      </c>
      <c r="Y63" s="2120">
        <v>84.890371217407846</v>
      </c>
      <c r="Z63" s="356">
        <v>4.4076514495477523</v>
      </c>
    </row>
    <row r="64" spans="2:27" s="284" customFormat="1" ht="19.5" customHeight="1" x14ac:dyDescent="0.25">
      <c r="B64" s="437" t="s">
        <v>93</v>
      </c>
      <c r="C64" s="331">
        <v>6909654.7953733802</v>
      </c>
      <c r="D64" s="331">
        <v>2876256.4960883288</v>
      </c>
      <c r="E64" s="331">
        <v>9785911.291461708</v>
      </c>
      <c r="F64" s="331">
        <v>9043176.1818216182</v>
      </c>
      <c r="G64" s="331">
        <v>9215045.0656342283</v>
      </c>
      <c r="H64" s="494">
        <v>0.587899281244321</v>
      </c>
      <c r="I64" s="402"/>
      <c r="J64" s="402"/>
      <c r="K64" s="811"/>
      <c r="L64" s="402"/>
      <c r="M64" s="2350">
        <v>752715.16340276913</v>
      </c>
      <c r="N64" s="2350">
        <v>14496665.533213459</v>
      </c>
      <c r="O64" s="2350">
        <v>9268.2606774299875</v>
      </c>
      <c r="P64" s="335">
        <v>9.1796407609714965</v>
      </c>
      <c r="Q64" s="2338">
        <v>0.47663752602573323</v>
      </c>
      <c r="R64" s="2338">
        <v>745.51796025760586</v>
      </c>
      <c r="S64" s="2350">
        <v>0</v>
      </c>
      <c r="T64" s="2350">
        <v>0</v>
      </c>
      <c r="U64" s="2350">
        <v>0</v>
      </c>
      <c r="V64" s="2350">
        <v>0</v>
      </c>
      <c r="W64" s="804">
        <v>77454.390314144941</v>
      </c>
      <c r="X64" s="804">
        <v>1491706.8833676653</v>
      </c>
      <c r="Y64" s="335">
        <v>89.209336841316784</v>
      </c>
      <c r="Z64" s="358">
        <v>4.6320459283355984</v>
      </c>
    </row>
    <row r="65" spans="2:26" ht="15.75" x14ac:dyDescent="0.25">
      <c r="B65" s="2363" t="s">
        <v>94</v>
      </c>
      <c r="C65" s="2347">
        <v>16821438.605996974</v>
      </c>
      <c r="D65" s="2347">
        <v>6023299.2029037951</v>
      </c>
      <c r="E65" s="2347">
        <v>22844737.808900766</v>
      </c>
      <c r="F65" s="2347">
        <v>22729144.647946276</v>
      </c>
      <c r="G65" s="2347">
        <v>23188056.080798011</v>
      </c>
      <c r="H65" s="2351">
        <v>0.59259587396437186</v>
      </c>
      <c r="I65" s="402"/>
      <c r="J65" s="402"/>
      <c r="K65" s="2333"/>
      <c r="L65" s="402"/>
      <c r="M65" s="2352">
        <v>1887407.2169902935</v>
      </c>
      <c r="N65" s="2352">
        <v>36350578.155177057</v>
      </c>
      <c r="O65" s="2352">
        <v>23663.163730164531</v>
      </c>
      <c r="P65" s="2336">
        <v>8.9124585593250298</v>
      </c>
      <c r="Q65" s="2339">
        <v>0.46275573758931426</v>
      </c>
      <c r="R65" s="2339">
        <v>710.87022841979103</v>
      </c>
      <c r="S65" s="2352">
        <v>0</v>
      </c>
      <c r="T65" s="2352">
        <v>0</v>
      </c>
      <c r="U65" s="2352">
        <v>0</v>
      </c>
      <c r="V65" s="2352">
        <v>0</v>
      </c>
      <c r="W65" s="2333">
        <v>194214.20262830119</v>
      </c>
      <c r="X65" s="2333">
        <v>3740474.4921677192</v>
      </c>
      <c r="Y65" s="2336">
        <v>86.612813987609613</v>
      </c>
      <c r="Z65" s="2365">
        <v>4.4971403069904206</v>
      </c>
    </row>
    <row r="66" spans="2:26" s="284" customFormat="1" ht="15.75" hidden="1" x14ac:dyDescent="0.25">
      <c r="B66" s="437" t="s">
        <v>95</v>
      </c>
      <c r="C66" s="331">
        <v>0</v>
      </c>
      <c r="D66" s="331">
        <v>0</v>
      </c>
      <c r="E66" s="331">
        <v>0</v>
      </c>
      <c r="F66" s="331">
        <v>0</v>
      </c>
      <c r="G66" s="331">
        <v>0</v>
      </c>
      <c r="H66" s="494" t="e">
        <v>#DIV/0!</v>
      </c>
      <c r="I66" s="402"/>
      <c r="J66" s="402"/>
      <c r="K66" s="811"/>
      <c r="L66" s="402"/>
      <c r="M66" s="2350">
        <v>0</v>
      </c>
      <c r="N66" s="2350">
        <v>0</v>
      </c>
      <c r="O66" s="2350">
        <v>0</v>
      </c>
      <c r="P66" s="438" t="e">
        <v>#DIV/0!</v>
      </c>
      <c r="Q66" s="438" t="e">
        <v>#DIV/0!</v>
      </c>
      <c r="R66" s="438" t="e">
        <v>#DIV/0!</v>
      </c>
      <c r="S66" s="402"/>
      <c r="T66" s="402"/>
      <c r="U66" s="402"/>
      <c r="V66" s="402"/>
      <c r="W66" s="804">
        <v>0</v>
      </c>
      <c r="X66" s="804">
        <v>0</v>
      </c>
      <c r="Y66" s="2008" t="s">
        <v>3</v>
      </c>
      <c r="Z66" s="2009" t="s">
        <v>3</v>
      </c>
    </row>
    <row r="67" spans="2:26" s="284" customFormat="1" ht="15.75" x14ac:dyDescent="0.25">
      <c r="B67" s="437" t="s">
        <v>96</v>
      </c>
      <c r="C67" s="331">
        <v>4625410.8592894832</v>
      </c>
      <c r="D67" s="331">
        <v>8288046.7595965983</v>
      </c>
      <c r="E67" s="331">
        <v>12913457.618886082</v>
      </c>
      <c r="F67" s="331">
        <v>9344944.7539723068</v>
      </c>
      <c r="G67" s="331">
        <v>9344944.7539723068</v>
      </c>
      <c r="H67" s="494">
        <v>0.27808816379655577</v>
      </c>
      <c r="I67" s="402"/>
      <c r="J67" s="402"/>
      <c r="K67" s="811"/>
      <c r="L67" s="402"/>
      <c r="M67" s="2350">
        <v>1266138.5124531053</v>
      </c>
      <c r="N67" s="2350">
        <v>13241080.31632892</v>
      </c>
      <c r="O67" s="2350">
        <v>10163.111741634857</v>
      </c>
      <c r="P67" s="438">
        <v>3.6531633891523358</v>
      </c>
      <c r="Q67" s="438">
        <v>0.3493227704075943</v>
      </c>
      <c r="R67" s="438">
        <v>455.11758375544838</v>
      </c>
      <c r="S67" s="2350">
        <v>0</v>
      </c>
      <c r="T67" s="2350">
        <v>0</v>
      </c>
      <c r="U67" s="2350"/>
      <c r="V67" s="2350"/>
      <c r="W67" s="804">
        <v>130285.65293142453</v>
      </c>
      <c r="X67" s="804">
        <v>1362507.1645502457</v>
      </c>
      <c r="Y67" s="335">
        <v>35.502073752695203</v>
      </c>
      <c r="Z67" s="358">
        <v>3.3947791098891575</v>
      </c>
    </row>
    <row r="68" spans="2:26" s="284" customFormat="1" ht="15.75" x14ac:dyDescent="0.25">
      <c r="B68" s="437" t="s">
        <v>97</v>
      </c>
      <c r="C68" s="331">
        <v>2946708</v>
      </c>
      <c r="D68" s="331">
        <v>5833877.6996870153</v>
      </c>
      <c r="E68" s="331">
        <v>8780585.6996870153</v>
      </c>
      <c r="F68" s="331">
        <v>5861463.5448777219</v>
      </c>
      <c r="G68" s="331">
        <v>5861463.5448777219</v>
      </c>
      <c r="H68" s="494">
        <v>0.25071694122792687</v>
      </c>
      <c r="I68" s="402"/>
      <c r="J68" s="402"/>
      <c r="K68" s="811"/>
      <c r="L68" s="402"/>
      <c r="M68" s="2350">
        <v>742718.3739356125</v>
      </c>
      <c r="N68" s="2350">
        <v>8429451.9689477105</v>
      </c>
      <c r="O68" s="2350">
        <v>6369.6888998723352</v>
      </c>
      <c r="P68" s="438">
        <v>3.9674634469935102</v>
      </c>
      <c r="Q68" s="438">
        <v>0.34957290353572679</v>
      </c>
      <c r="R68" s="438">
        <v>462.61411606131338</v>
      </c>
      <c r="S68" s="2350">
        <v>0</v>
      </c>
      <c r="T68" s="2350">
        <v>0</v>
      </c>
      <c r="U68" s="2350"/>
      <c r="V68" s="2350"/>
      <c r="W68" s="804">
        <v>76425.720677974532</v>
      </c>
      <c r="X68" s="804">
        <v>867390.60760471935</v>
      </c>
      <c r="Y68" s="335">
        <v>38.556496083513217</v>
      </c>
      <c r="Z68" s="358">
        <v>3.3972099468972479</v>
      </c>
    </row>
    <row r="69" spans="2:26" ht="15.75" x14ac:dyDescent="0.25">
      <c r="B69" s="2363" t="s">
        <v>98</v>
      </c>
      <c r="C69" s="2347">
        <v>7572118.8592894832</v>
      </c>
      <c r="D69" s="2347">
        <v>14121924.459283613</v>
      </c>
      <c r="E69" s="2347">
        <v>21694043.318573095</v>
      </c>
      <c r="F69" s="2347">
        <v>15206408.29885003</v>
      </c>
      <c r="G69" s="2347">
        <v>15206408.29885003</v>
      </c>
      <c r="H69" s="2351">
        <v>0.26675521031732863</v>
      </c>
      <c r="I69" s="402"/>
      <c r="J69" s="402"/>
      <c r="K69" s="2333"/>
      <c r="L69" s="402"/>
      <c r="M69" s="2352">
        <v>2008856.8863887177</v>
      </c>
      <c r="N69" s="2352">
        <v>21670532.285276629</v>
      </c>
      <c r="O69" s="2352">
        <v>16532.800641507194</v>
      </c>
      <c r="P69" s="2353">
        <v>3.7693670019977041</v>
      </c>
      <c r="Q69" s="2353">
        <v>0.34942006774951828</v>
      </c>
      <c r="R69" s="2353">
        <v>458.00581664784289</v>
      </c>
      <c r="S69" s="2352">
        <v>0</v>
      </c>
      <c r="T69" s="2352">
        <v>0</v>
      </c>
      <c r="U69" s="2352"/>
      <c r="V69" s="2352"/>
      <c r="W69" s="2333">
        <v>206711.37360939904</v>
      </c>
      <c r="X69" s="2333">
        <v>2229897.7721549654</v>
      </c>
      <c r="Y69" s="2336">
        <v>36.631360563631723</v>
      </c>
      <c r="Z69" s="2365">
        <v>3.3957246622888069</v>
      </c>
    </row>
    <row r="70" spans="2:26" s="284" customFormat="1" ht="15.75" hidden="1" x14ac:dyDescent="0.25">
      <c r="B70" s="437" t="s">
        <v>99</v>
      </c>
      <c r="C70" s="331">
        <v>0</v>
      </c>
      <c r="D70" s="331"/>
      <c r="E70" s="331"/>
      <c r="F70" s="331"/>
      <c r="G70" s="331"/>
      <c r="H70" s="494" t="e">
        <v>#DIV/0!</v>
      </c>
      <c r="I70" s="402"/>
      <c r="J70" s="402"/>
      <c r="K70" s="814"/>
      <c r="L70" s="402"/>
      <c r="M70" s="450"/>
      <c r="N70" s="450"/>
      <c r="O70" s="450"/>
      <c r="P70" s="450"/>
      <c r="Q70" s="438"/>
      <c r="R70" s="438"/>
      <c r="S70" s="402"/>
      <c r="T70" s="402"/>
      <c r="U70" s="402"/>
      <c r="V70" s="402"/>
      <c r="W70" s="804">
        <v>0</v>
      </c>
      <c r="X70" s="804">
        <v>0</v>
      </c>
      <c r="Y70" s="2029"/>
      <c r="Z70" s="439"/>
    </row>
    <row r="71" spans="2:26" s="284" customFormat="1" ht="15.75" x14ac:dyDescent="0.25">
      <c r="B71" s="437" t="s">
        <v>100</v>
      </c>
      <c r="C71" s="331">
        <v>2095699</v>
      </c>
      <c r="D71" s="331"/>
      <c r="E71" s="331"/>
      <c r="F71" s="331"/>
      <c r="G71" s="331"/>
      <c r="H71" s="494">
        <v>0.1259972582997311</v>
      </c>
      <c r="I71" s="402"/>
      <c r="J71" s="402"/>
      <c r="K71" s="814"/>
      <c r="L71" s="402"/>
      <c r="M71" s="450"/>
      <c r="N71" s="450"/>
      <c r="O71" s="450"/>
      <c r="P71" s="450"/>
      <c r="Q71" s="438"/>
      <c r="R71" s="438"/>
      <c r="S71" s="402"/>
      <c r="T71" s="402"/>
      <c r="U71" s="402"/>
      <c r="V71" s="402"/>
      <c r="W71" s="804">
        <v>0</v>
      </c>
      <c r="X71" s="804">
        <v>0</v>
      </c>
      <c r="Y71" s="450"/>
      <c r="Z71" s="439"/>
    </row>
    <row r="72" spans="2:26" s="284" customFormat="1" ht="15.75" x14ac:dyDescent="0.25">
      <c r="B72" s="437" t="s">
        <v>101</v>
      </c>
      <c r="C72" s="331">
        <v>1896764</v>
      </c>
      <c r="D72" s="331"/>
      <c r="E72" s="331"/>
      <c r="F72" s="331"/>
      <c r="G72" s="331"/>
      <c r="H72" s="494">
        <v>0.16138377752775213</v>
      </c>
      <c r="I72" s="402"/>
      <c r="J72" s="402"/>
      <c r="K72" s="814"/>
      <c r="L72" s="402"/>
      <c r="M72" s="450"/>
      <c r="N72" s="450"/>
      <c r="O72" s="450"/>
      <c r="P72" s="450"/>
      <c r="Q72" s="438"/>
      <c r="R72" s="438"/>
      <c r="S72" s="402"/>
      <c r="T72" s="402"/>
      <c r="U72" s="402"/>
      <c r="V72" s="402"/>
      <c r="W72" s="804">
        <v>0</v>
      </c>
      <c r="X72" s="804">
        <v>0</v>
      </c>
      <c r="Y72" s="450"/>
      <c r="Z72" s="439"/>
    </row>
    <row r="73" spans="2:26" s="284" customFormat="1" ht="15.75" x14ac:dyDescent="0.25">
      <c r="B73" s="2363" t="s">
        <v>102</v>
      </c>
      <c r="C73" s="2347">
        <v>3992463</v>
      </c>
      <c r="D73" s="2347">
        <v>0</v>
      </c>
      <c r="E73" s="2347">
        <v>0</v>
      </c>
      <c r="F73" s="2347">
        <v>0</v>
      </c>
      <c r="G73" s="2347">
        <v>0</v>
      </c>
      <c r="H73" s="2351">
        <v>0.14064891571829952</v>
      </c>
      <c r="I73" s="402"/>
      <c r="J73" s="402"/>
      <c r="K73" s="811"/>
      <c r="L73" s="402"/>
      <c r="M73" s="2350">
        <v>0</v>
      </c>
      <c r="N73" s="2350">
        <v>0</v>
      </c>
      <c r="O73" s="2350">
        <v>0</v>
      </c>
      <c r="P73" s="438"/>
      <c r="Q73" s="438"/>
      <c r="R73" s="438"/>
      <c r="S73" s="402"/>
      <c r="T73" s="402"/>
      <c r="U73" s="402"/>
      <c r="V73" s="402"/>
      <c r="W73" s="2333">
        <v>0</v>
      </c>
      <c r="X73" s="2333">
        <v>0</v>
      </c>
      <c r="Y73" s="438"/>
      <c r="Z73" s="439"/>
    </row>
    <row r="74" spans="2:26" s="284" customFormat="1" ht="15.75" hidden="1" x14ac:dyDescent="0.25">
      <c r="B74" s="2363" t="s">
        <v>103</v>
      </c>
      <c r="C74" s="331">
        <v>0</v>
      </c>
      <c r="D74" s="331">
        <v>0</v>
      </c>
      <c r="E74" s="331">
        <v>0</v>
      </c>
      <c r="F74" s="331">
        <v>0</v>
      </c>
      <c r="G74" s="331">
        <v>0</v>
      </c>
      <c r="H74" s="494">
        <v>0</v>
      </c>
      <c r="I74" s="402"/>
      <c r="J74" s="402"/>
      <c r="K74" s="814"/>
      <c r="L74" s="402"/>
      <c r="M74" s="450">
        <v>0</v>
      </c>
      <c r="N74" s="450">
        <v>0</v>
      </c>
      <c r="O74" s="450">
        <v>0</v>
      </c>
      <c r="P74" s="438" t="e">
        <v>#DIV/0!</v>
      </c>
      <c r="Q74" s="438" t="e">
        <v>#DIV/0!</v>
      </c>
      <c r="R74" s="438" t="e">
        <v>#DIV/0!</v>
      </c>
      <c r="S74" s="402"/>
      <c r="T74" s="402"/>
      <c r="U74" s="402"/>
      <c r="V74" s="402"/>
      <c r="W74" s="804">
        <v>0</v>
      </c>
      <c r="X74" s="804">
        <v>0</v>
      </c>
      <c r="Y74" s="2008"/>
      <c r="Z74" s="2009"/>
    </row>
    <row r="75" spans="2:26" s="284" customFormat="1" ht="15.75" x14ac:dyDescent="0.25">
      <c r="B75" s="2363" t="s">
        <v>104</v>
      </c>
      <c r="C75" s="331">
        <v>16632893.669913076</v>
      </c>
      <c r="D75" s="331">
        <v>11435089.466412064</v>
      </c>
      <c r="E75" s="331">
        <v>25972284.13632514</v>
      </c>
      <c r="F75" s="331">
        <v>23030913.220096968</v>
      </c>
      <c r="G75" s="331">
        <v>23317955.76913609</v>
      </c>
      <c r="H75" s="494">
        <v>0.58595369823866661</v>
      </c>
      <c r="I75" s="402"/>
      <c r="J75" s="402"/>
      <c r="K75" s="814"/>
      <c r="L75" s="402"/>
      <c r="M75" s="450">
        <v>2400830.5660406295</v>
      </c>
      <c r="N75" s="450">
        <v>35094992.938292518</v>
      </c>
      <c r="O75" s="450">
        <v>24558.014794369403</v>
      </c>
      <c r="P75" s="438">
        <v>6.9279748038794322</v>
      </c>
      <c r="Q75" s="438">
        <v>0.47393922258820997</v>
      </c>
      <c r="R75" s="438">
        <v>677.28983019126701</v>
      </c>
      <c r="S75" s="450">
        <v>0</v>
      </c>
      <c r="T75" s="450">
        <v>0</v>
      </c>
      <c r="U75" s="450">
        <v>0</v>
      </c>
      <c r="V75" s="450">
        <v>0</v>
      </c>
      <c r="W75" s="804">
        <v>247045.46524558077</v>
      </c>
      <c r="X75" s="804">
        <v>3611274.7733503003</v>
      </c>
      <c r="Y75" s="335">
        <v>67.327257569285052</v>
      </c>
      <c r="Z75" s="358">
        <v>4.6058233487678324</v>
      </c>
    </row>
    <row r="76" spans="2:26" s="284" customFormat="1" ht="15.75" x14ac:dyDescent="0.25">
      <c r="B76" s="2363" t="s">
        <v>105</v>
      </c>
      <c r="C76" s="331">
        <v>11753126.79537338</v>
      </c>
      <c r="D76" s="331">
        <v>8710134.195775345</v>
      </c>
      <c r="E76" s="331">
        <v>18566496.991148725</v>
      </c>
      <c r="F76" s="331">
        <v>14904639.726699341</v>
      </c>
      <c r="G76" s="331">
        <v>15076508.610511951</v>
      </c>
      <c r="H76" s="494">
        <v>0.41404630176133334</v>
      </c>
      <c r="I76" s="402"/>
      <c r="J76" s="402"/>
      <c r="K76" s="814"/>
      <c r="L76" s="402"/>
      <c r="M76" s="450">
        <v>1495433.5373383816</v>
      </c>
      <c r="N76" s="450">
        <v>22926117.502161168</v>
      </c>
      <c r="O76" s="450">
        <v>15637.949577302323</v>
      </c>
      <c r="P76" s="438">
        <v>7.8593441312623993</v>
      </c>
      <c r="Q76" s="438">
        <v>0.51265229685163449</v>
      </c>
      <c r="R76" s="438">
        <v>751.57722802946228</v>
      </c>
      <c r="S76" s="450">
        <v>0</v>
      </c>
      <c r="T76" s="450">
        <v>0</v>
      </c>
      <c r="U76" s="450">
        <v>0</v>
      </c>
      <c r="V76" s="450">
        <v>0</v>
      </c>
      <c r="W76" s="804">
        <v>153880.11099211947</v>
      </c>
      <c r="X76" s="804">
        <v>2359097.4909723843</v>
      </c>
      <c r="Y76" s="335">
        <v>76.37846580429931</v>
      </c>
      <c r="Z76" s="358">
        <v>4.9820437011820644</v>
      </c>
    </row>
    <row r="77" spans="2:26" ht="16.5" thickBot="1" x14ac:dyDescent="0.3">
      <c r="B77" s="2369" t="s">
        <v>106</v>
      </c>
      <c r="C77" s="2370">
        <v>28386020.465286456</v>
      </c>
      <c r="D77" s="2370">
        <v>20145223.662187409</v>
      </c>
      <c r="E77" s="2370">
        <v>44538781.127473861</v>
      </c>
      <c r="F77" s="2370">
        <v>37935552.946796313</v>
      </c>
      <c r="G77" s="2370">
        <v>38394464.379648045</v>
      </c>
      <c r="H77" s="2396">
        <v>1</v>
      </c>
      <c r="I77" s="2372">
        <v>1.3364167405286018</v>
      </c>
      <c r="J77" s="2372">
        <v>0.86204569159088018</v>
      </c>
      <c r="K77" s="2397"/>
      <c r="L77" s="2398"/>
      <c r="M77" s="2384">
        <v>3896264.1033790112</v>
      </c>
      <c r="N77" s="2384">
        <v>58021110.440453686</v>
      </c>
      <c r="O77" s="2384">
        <v>40195.964371671726</v>
      </c>
      <c r="P77" s="2376">
        <v>7.2854456761975799</v>
      </c>
      <c r="Q77" s="2376">
        <v>0.48923607717605921</v>
      </c>
      <c r="R77" s="2376">
        <v>706.19080569420601</v>
      </c>
      <c r="S77" s="2384">
        <v>0</v>
      </c>
      <c r="T77" s="2384">
        <v>0</v>
      </c>
      <c r="U77" s="2384">
        <v>0</v>
      </c>
      <c r="V77" s="2384">
        <v>0</v>
      </c>
      <c r="W77" s="2381">
        <v>400925.57623770024</v>
      </c>
      <c r="X77" s="2381">
        <v>5970372.2643226841</v>
      </c>
      <c r="Y77" s="2382">
        <v>70.80122134302799</v>
      </c>
      <c r="Z77" s="2377">
        <v>4.7544808277556783</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S82" s="704"/>
      <c r="T82" s="704"/>
      <c r="U82" s="704"/>
      <c r="V82" s="704"/>
      <c r="W82" s="704"/>
      <c r="X82" s="704"/>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53" fitToWidth="0" orientation="landscape" r:id="rId1"/>
  <headerFooter alignWithMargins="0">
    <oddFooter>&amp;C&amp;"Arial"&amp;11&amp;K000000Page &amp;P of &amp;N_x000D_&amp;1#&amp;"Calibri"&amp;12&amp;K008000Internal Use</oddFooter>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F0"/>
  </sheetPr>
  <dimension ref="A1:M52"/>
  <sheetViews>
    <sheetView topLeftCell="A10" workbookViewId="0">
      <selection activeCell="C30" sqref="C30"/>
    </sheetView>
  </sheetViews>
  <sheetFormatPr defaultRowHeight="12.75" x14ac:dyDescent="0.2"/>
  <cols>
    <col min="1" max="1" width="32.5703125" style="1039" customWidth="1"/>
    <col min="2" max="2" width="3.5703125" style="1039" customWidth="1"/>
    <col min="3" max="3" width="14.42578125" style="1039" customWidth="1"/>
    <col min="4" max="5" width="13.28515625" style="1039" customWidth="1"/>
    <col min="6" max="6" width="14.7109375" style="1039" customWidth="1"/>
    <col min="7" max="7" width="14" style="1039" customWidth="1"/>
    <col min="8" max="8" width="12.28515625" style="1039" bestFit="1" customWidth="1"/>
    <col min="9" max="9" width="12" style="1039" customWidth="1"/>
    <col min="10" max="10" width="12.140625" style="1039" customWidth="1"/>
    <col min="11" max="11" width="11.140625" style="1039" customWidth="1"/>
    <col min="12" max="12" width="10" style="1039" customWidth="1"/>
    <col min="13" max="13" width="11.5703125" style="1039" customWidth="1"/>
    <col min="14" max="16384" width="9.140625" style="1039"/>
  </cols>
  <sheetData>
    <row r="1" spans="1:6" ht="15" x14ac:dyDescent="0.25">
      <c r="A1" s="2856" t="s">
        <v>440</v>
      </c>
      <c r="B1" s="2856"/>
      <c r="C1" s="2856"/>
      <c r="D1" s="2856"/>
      <c r="E1" s="2856"/>
      <c r="F1" s="1187"/>
    </row>
    <row r="2" spans="1:6" ht="15" x14ac:dyDescent="0.25">
      <c r="A2" s="2856" t="s">
        <v>34</v>
      </c>
      <c r="B2" s="2856"/>
      <c r="C2" s="2856"/>
      <c r="D2" s="2856"/>
      <c r="E2" s="2856"/>
    </row>
    <row r="23" spans="1:13" ht="13.5" customHeight="1" x14ac:dyDescent="0.2"/>
    <row r="24" spans="1:13" ht="13.5" customHeight="1" x14ac:dyDescent="0.2"/>
    <row r="25" spans="1:13" s="1188" customFormat="1" ht="13.5" customHeight="1" x14ac:dyDescent="0.2"/>
    <row r="26" spans="1:13" s="1188" customFormat="1" ht="13.5" customHeight="1" x14ac:dyDescent="0.2"/>
    <row r="28" spans="1:13" ht="44.25" customHeight="1" x14ac:dyDescent="0.2">
      <c r="A28" s="1196" t="s">
        <v>20</v>
      </c>
      <c r="B28" s="1196"/>
      <c r="C28" s="1196" t="s">
        <v>35</v>
      </c>
      <c r="D28" s="1196" t="s">
        <v>57</v>
      </c>
      <c r="E28" s="1604" t="s">
        <v>21</v>
      </c>
      <c r="F28" s="1605"/>
      <c r="G28" s="1197"/>
      <c r="H28" s="1606"/>
      <c r="J28" s="1197"/>
      <c r="K28" s="1197"/>
      <c r="L28" s="1197"/>
      <c r="M28" s="1188"/>
    </row>
    <row r="29" spans="1:13" x14ac:dyDescent="0.2">
      <c r="A29" s="1607" t="s">
        <v>228</v>
      </c>
      <c r="B29" s="1607"/>
      <c r="C29" s="1240" t="e">
        <f>'2013-2015 Combined Table A1'!J12+'2013-2015 Combined Table A1'!J40</f>
        <v>#REF!</v>
      </c>
      <c r="D29" s="1608" t="e">
        <f>C29/C43</f>
        <v>#REF!</v>
      </c>
      <c r="E29" s="1395" t="e">
        <f>C29/C37</f>
        <v>#REF!</v>
      </c>
      <c r="F29" s="1608"/>
      <c r="G29" s="1608"/>
      <c r="J29" s="1188"/>
      <c r="K29" s="1188"/>
      <c r="L29" s="1188"/>
      <c r="M29" s="1188"/>
    </row>
    <row r="30" spans="1:13" x14ac:dyDescent="0.2">
      <c r="A30" s="1607" t="s">
        <v>229</v>
      </c>
      <c r="B30" s="1607"/>
      <c r="C30" s="1240" t="e">
        <f>'2013-2015 Combined Table A1'!J60-'2014 Table A1 Pies '!C29</f>
        <v>#REF!</v>
      </c>
      <c r="D30" s="1608" t="e">
        <f>C30/C43</f>
        <v>#REF!</v>
      </c>
      <c r="E30" s="1395" t="e">
        <f>C30/C37</f>
        <v>#REF!</v>
      </c>
      <c r="F30" s="1608"/>
      <c r="G30" s="1608"/>
      <c r="J30" s="1188"/>
      <c r="K30" s="1609"/>
      <c r="L30" s="1609"/>
      <c r="M30" s="1188"/>
    </row>
    <row r="31" spans="1:13" x14ac:dyDescent="0.2">
      <c r="A31" s="1209" t="s">
        <v>22</v>
      </c>
      <c r="B31" s="1610"/>
      <c r="C31" s="1611" t="e">
        <f>SUM(C29:C30)</f>
        <v>#REF!</v>
      </c>
      <c r="D31" s="1612" t="e">
        <f>SUM(D29:D30)</f>
        <v>#REF!</v>
      </c>
      <c r="E31" s="1612" t="e">
        <f>SUM(E29:E30)</f>
        <v>#REF!</v>
      </c>
      <c r="F31" s="1608"/>
      <c r="G31" s="1608"/>
      <c r="J31" s="1613"/>
      <c r="K31" s="1613"/>
      <c r="L31" s="1613"/>
      <c r="M31" s="1188"/>
    </row>
    <row r="32" spans="1:13" x14ac:dyDescent="0.2">
      <c r="A32" s="1607"/>
      <c r="B32" s="1607"/>
      <c r="C32" s="1240"/>
      <c r="D32" s="1608"/>
      <c r="E32" s="1395"/>
      <c r="F32" s="1608"/>
      <c r="G32" s="1608"/>
      <c r="H32" s="1242"/>
      <c r="J32" s="1614"/>
      <c r="K32" s="1614"/>
      <c r="L32" s="1614"/>
      <c r="M32" s="1188"/>
    </row>
    <row r="33" spans="1:13" x14ac:dyDescent="0.2">
      <c r="A33" s="1202" t="s">
        <v>56</v>
      </c>
      <c r="B33" s="1607"/>
      <c r="C33" s="1240" t="e">
        <f>'2013-2015 Combined Table A1'!J61</f>
        <v>#REF!</v>
      </c>
      <c r="D33" s="1608" t="e">
        <f>C33/C43</f>
        <v>#REF!</v>
      </c>
      <c r="E33" s="1395" t="e">
        <f>C33/C37</f>
        <v>#REF!</v>
      </c>
      <c r="F33" s="1608"/>
      <c r="G33" s="1608"/>
      <c r="J33" s="1613"/>
      <c r="K33" s="1613"/>
      <c r="L33" s="1613"/>
      <c r="M33" s="1188"/>
    </row>
    <row r="34" spans="1:13" x14ac:dyDescent="0.2">
      <c r="A34" s="1607"/>
      <c r="B34" s="1607"/>
      <c r="C34" s="1240"/>
      <c r="D34" s="1608"/>
      <c r="E34" s="1395"/>
      <c r="F34" s="1608"/>
      <c r="G34" s="1608"/>
      <c r="J34" s="1613"/>
      <c r="K34" s="1613"/>
      <c r="L34" s="1613"/>
      <c r="M34" s="1188"/>
    </row>
    <row r="35" spans="1:13" x14ac:dyDescent="0.2">
      <c r="A35" s="1209" t="s">
        <v>23</v>
      </c>
      <c r="B35" s="1610"/>
      <c r="C35" s="1611" t="e">
        <f>SUM(C32:C34)</f>
        <v>#REF!</v>
      </c>
      <c r="D35" s="1612" t="e">
        <f>SUM(D32:D34)</f>
        <v>#REF!</v>
      </c>
      <c r="E35" s="1612" t="e">
        <f>SUM(E32:E34)</f>
        <v>#REF!</v>
      </c>
      <c r="F35" s="1608"/>
      <c r="G35" s="1608"/>
      <c r="J35" s="1613"/>
      <c r="K35" s="1613"/>
      <c r="L35" s="1613"/>
      <c r="M35" s="1188"/>
    </row>
    <row r="36" spans="1:13" x14ac:dyDescent="0.2">
      <c r="D36" s="1391"/>
      <c r="E36" s="1391"/>
      <c r="F36" s="1608"/>
      <c r="G36" s="1615"/>
      <c r="I36" s="1188"/>
      <c r="J36" s="1188"/>
      <c r="K36" s="1188"/>
      <c r="L36" s="1188"/>
      <c r="M36" s="1188"/>
    </row>
    <row r="37" spans="1:13" x14ac:dyDescent="0.2">
      <c r="A37" s="1209" t="s">
        <v>29</v>
      </c>
      <c r="B37" s="1209"/>
      <c r="C37" s="1611" t="e">
        <f>C31+C35</f>
        <v>#REF!</v>
      </c>
      <c r="D37" s="1612" t="e">
        <f>D31+D35</f>
        <v>#REF!</v>
      </c>
      <c r="E37" s="1612" t="e">
        <f>E31+E35</f>
        <v>#REF!</v>
      </c>
      <c r="F37" s="1608"/>
      <c r="G37" s="1608"/>
      <c r="I37" s="1188"/>
    </row>
    <row r="38" spans="1:13" x14ac:dyDescent="0.2">
      <c r="A38" s="1607"/>
      <c r="B38" s="1607"/>
      <c r="C38" s="1240"/>
      <c r="D38" s="1395"/>
      <c r="E38" s="1395"/>
      <c r="F38" s="1608"/>
      <c r="G38" s="1608"/>
      <c r="I38" s="1188"/>
    </row>
    <row r="39" spans="1:13" s="1229" customFormat="1" ht="15" customHeight="1" x14ac:dyDescent="0.2">
      <c r="A39" s="1223" t="s">
        <v>24</v>
      </c>
      <c r="B39" s="1223"/>
      <c r="C39" s="1616"/>
      <c r="D39" s="1617"/>
      <c r="F39" s="1616"/>
      <c r="G39" s="1618"/>
    </row>
    <row r="40" spans="1:13" s="1229" customFormat="1" ht="15" customHeight="1" x14ac:dyDescent="0.2">
      <c r="A40" s="1607" t="s">
        <v>24</v>
      </c>
      <c r="B40" s="1607"/>
      <c r="C40" s="1240" t="e">
        <f>'2013-2015 Combined Table A1'!J62</f>
        <v>#REF!</v>
      </c>
      <c r="D40" s="1608" t="e">
        <f>C40/C43</f>
        <v>#REF!</v>
      </c>
      <c r="F40" s="1616"/>
      <c r="G40" s="1618"/>
      <c r="J40" s="1619"/>
    </row>
    <row r="41" spans="1:13" s="1229" customFormat="1" ht="15" customHeight="1" x14ac:dyDescent="0.2">
      <c r="A41" s="1620" t="s">
        <v>25</v>
      </c>
      <c r="B41" s="1620"/>
      <c r="C41" s="1621" t="e">
        <f>SUM(C40)</f>
        <v>#REF!</v>
      </c>
      <c r="D41" s="1622" t="e">
        <f>SUM(D40)</f>
        <v>#REF!</v>
      </c>
      <c r="E41" s="1623"/>
      <c r="F41" s="1616"/>
      <c r="G41" s="1624"/>
      <c r="I41" s="1619"/>
    </row>
    <row r="42" spans="1:13" s="1229" customFormat="1" x14ac:dyDescent="0.2">
      <c r="A42" s="1239"/>
      <c r="B42" s="1239"/>
      <c r="C42" s="122"/>
      <c r="D42" s="123"/>
      <c r="E42" s="124"/>
      <c r="F42" s="199"/>
      <c r="G42" s="1625"/>
    </row>
    <row r="43" spans="1:13" s="1229" customFormat="1" x14ac:dyDescent="0.2">
      <c r="A43" s="1626" t="s">
        <v>55</v>
      </c>
      <c r="B43" s="1626"/>
      <c r="C43" s="126" t="e">
        <f>C41+C37</f>
        <v>#REF!</v>
      </c>
      <c r="D43" s="1627" t="e">
        <f>D37+D41</f>
        <v>#REF!</v>
      </c>
      <c r="F43" s="1286"/>
      <c r="G43" s="1286"/>
      <c r="I43" s="128"/>
      <c r="J43" s="128"/>
    </row>
    <row r="44" spans="1:13" s="1229" customFormat="1" x14ac:dyDescent="0.2">
      <c r="A44" s="1628" t="s">
        <v>54</v>
      </c>
      <c r="B44" s="1628"/>
      <c r="C44" s="122">
        <v>14014425</v>
      </c>
      <c r="D44" s="1629" t="e">
        <f>C44/C43</f>
        <v>#REF!</v>
      </c>
    </row>
    <row r="45" spans="1:13" s="1241" customFormat="1" x14ac:dyDescent="0.2">
      <c r="A45" s="1628" t="s">
        <v>37</v>
      </c>
      <c r="B45" s="1630"/>
      <c r="C45" s="122" t="e">
        <f>+'2013-2015 Combined Table A1'!H63</f>
        <v>#REF!</v>
      </c>
      <c r="D45" s="1629" t="e">
        <f>C45/C43</f>
        <v>#REF!</v>
      </c>
      <c r="F45" s="1631"/>
      <c r="G45" s="1632"/>
    </row>
    <row r="46" spans="1:13" s="1241" customFormat="1" x14ac:dyDescent="0.2">
      <c r="A46" s="1569" t="s">
        <v>38</v>
      </c>
      <c r="B46" s="1569"/>
      <c r="C46" s="122" t="e">
        <f>+'2013-2015 Combined Table A1'!I63</f>
        <v>#REF!</v>
      </c>
      <c r="D46" s="1629" t="e">
        <f>C46/C43</f>
        <v>#REF!</v>
      </c>
      <c r="E46" s="1569"/>
      <c r="F46" s="1631"/>
      <c r="G46" s="1632"/>
    </row>
    <row r="47" spans="1:13" s="1241" customFormat="1" x14ac:dyDescent="0.2">
      <c r="A47" s="1569"/>
      <c r="B47" s="1569"/>
      <c r="C47" s="1569"/>
      <c r="D47" s="1569"/>
      <c r="E47" s="1569"/>
    </row>
    <row r="48" spans="1:13" s="1241" customFormat="1" x14ac:dyDescent="0.2">
      <c r="A48" s="1399"/>
      <c r="B48" s="1239"/>
      <c r="C48" s="38"/>
      <c r="D48" s="39"/>
      <c r="E48" s="39"/>
      <c r="F48" s="1243"/>
      <c r="G48" s="1244"/>
    </row>
    <row r="49" spans="1:7" s="1241" customFormat="1" x14ac:dyDescent="0.2">
      <c r="A49" s="1239"/>
      <c r="B49" s="1239"/>
      <c r="C49" s="38"/>
      <c r="D49" s="1244"/>
      <c r="E49" s="1244"/>
      <c r="F49" s="1244"/>
      <c r="G49" s="1244"/>
    </row>
    <row r="50" spans="1:7" s="1241" customFormat="1" x14ac:dyDescent="0.2">
      <c r="A50" s="1239"/>
      <c r="B50" s="1239"/>
      <c r="C50" s="38"/>
      <c r="D50" s="1229"/>
      <c r="E50" s="1229"/>
      <c r="F50" s="1229"/>
      <c r="G50" s="1229"/>
    </row>
    <row r="51" spans="1:7" x14ac:dyDescent="0.2">
      <c r="A51" s="1245"/>
      <c r="B51" s="1245"/>
      <c r="C51" s="42"/>
      <c r="D51" s="1199"/>
      <c r="E51" s="1199"/>
      <c r="F51" s="1199"/>
      <c r="G51" s="1199"/>
    </row>
    <row r="52" spans="1:7" x14ac:dyDescent="0.2">
      <c r="A52" s="1199"/>
      <c r="B52" s="1199"/>
      <c r="C52" s="1246"/>
      <c r="D52" s="1199"/>
      <c r="E52" s="1199"/>
      <c r="F52" s="1199"/>
      <c r="G52" s="1199"/>
    </row>
  </sheetData>
  <mergeCells count="2">
    <mergeCell ref="A1:E1"/>
    <mergeCell ref="A2:E2"/>
  </mergeCells>
  <pageMargins left="0.7" right="0.7" top="0.75" bottom="0.75" header="0.3" footer="0.3"/>
  <pageSetup orientation="portrait" r:id="rId1"/>
  <headerFooter>
    <oddFooter>&amp;C&amp;1#&amp;"Calibri"&amp;12&amp;K008000Internal Use</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1"/>
  <dimension ref="B1:AE90"/>
  <sheetViews>
    <sheetView zoomScaleNormal="100" workbookViewId="0">
      <pane xSplit="2" ySplit="5" topLeftCell="C7" activePane="bottomRight" state="frozen"/>
      <selection activeCell="C7" sqref="C7"/>
      <selection pane="topRight" activeCell="C7" sqref="C7"/>
      <selection pane="bottomLeft" activeCell="C7" sqref="C7"/>
      <selection pane="bottomRight" activeCell="C7" sqref="C7"/>
    </sheetView>
  </sheetViews>
  <sheetFormatPr defaultRowHeight="12.75" x14ac:dyDescent="0.2"/>
  <cols>
    <col min="1" max="1" width="9.140625" style="704"/>
    <col min="2" max="2" width="64.7109375" style="704" customWidth="1"/>
    <col min="3" max="3" width="18" style="704" bestFit="1" customWidth="1"/>
    <col min="4" max="4" width="15.7109375" style="704" hidden="1" customWidth="1"/>
    <col min="5" max="5" width="15.5703125" style="704" customWidth="1"/>
    <col min="6" max="6" width="18" style="704" bestFit="1" customWidth="1"/>
    <col min="7" max="7" width="16.7109375" style="704" customWidth="1"/>
    <col min="8" max="8" width="12.28515625" style="704" hidden="1" customWidth="1"/>
    <col min="9" max="9" width="12.85546875" style="704" customWidth="1"/>
    <col min="10" max="10" width="13.140625" style="704" customWidth="1"/>
    <col min="11" max="11" width="11.28515625" style="820" customWidth="1"/>
    <col min="12" max="12" width="16.42578125" style="704" customWidth="1"/>
    <col min="13" max="13" width="26.7109375" style="704" customWidth="1"/>
    <col min="14" max="14" width="20.140625" style="704" bestFit="1" customWidth="1"/>
    <col min="15" max="15" width="23.140625" style="704" customWidth="1"/>
    <col min="16" max="16" width="10.140625" style="704" customWidth="1"/>
    <col min="17" max="18" width="13.85546875" style="704" customWidth="1"/>
    <col min="19" max="19" width="13.85546875" style="704" hidden="1" customWidth="1"/>
    <col min="20" max="20" width="13.28515625" style="704" hidden="1" customWidth="1"/>
    <col min="21" max="21" width="13.140625" style="704" hidden="1" customWidth="1"/>
    <col min="22" max="22" width="14.5703125" style="704" hidden="1" customWidth="1"/>
    <col min="23" max="23" width="14.7109375" style="704" customWidth="1"/>
    <col min="24" max="24" width="14.5703125" style="704" customWidth="1"/>
    <col min="25" max="25" width="11" style="704" bestFit="1" customWidth="1"/>
    <col min="26" max="26" width="13.85546875" style="704" customWidth="1"/>
    <col min="27" max="27" width="12" style="704" bestFit="1" customWidth="1"/>
    <col min="28" max="28" width="11.7109375" style="704" bestFit="1" customWidth="1"/>
    <col min="29" max="29" width="10.85546875" style="704" bestFit="1" customWidth="1"/>
    <col min="30" max="30" width="12.28515625" style="704" bestFit="1" customWidth="1"/>
    <col min="31" max="31" width="14" style="704" bestFit="1" customWidth="1"/>
    <col min="32" max="16384" width="9.140625" style="704"/>
  </cols>
  <sheetData>
    <row r="1" spans="2:31" ht="18" x14ac:dyDescent="0.25">
      <c r="B1" s="2153" t="s">
        <v>78</v>
      </c>
      <c r="C1" s="2153"/>
      <c r="D1" s="2153"/>
      <c r="E1" s="2153"/>
      <c r="F1" s="2153"/>
      <c r="G1" s="2153"/>
      <c r="H1" s="2153"/>
      <c r="I1" s="2153"/>
      <c r="J1" s="2153"/>
      <c r="K1" s="2153"/>
      <c r="L1" s="2153"/>
      <c r="M1" s="2153"/>
      <c r="N1" s="2473"/>
      <c r="O1" s="2153"/>
      <c r="P1" s="2153"/>
      <c r="Q1" s="2153"/>
      <c r="R1" s="2153"/>
      <c r="S1" s="2153"/>
      <c r="T1" s="2153"/>
      <c r="U1" s="2153"/>
      <c r="V1" s="2153"/>
      <c r="W1" s="2153"/>
      <c r="X1" s="2153"/>
      <c r="Y1" s="2153"/>
      <c r="Z1" s="2153"/>
    </row>
    <row r="2" spans="2:31" ht="18" customHeight="1" x14ac:dyDescent="0.25">
      <c r="B2" s="2154" t="s">
        <v>619</v>
      </c>
      <c r="C2" s="2154"/>
      <c r="D2" s="2154"/>
      <c r="E2" s="2154"/>
      <c r="F2" s="2154"/>
      <c r="G2" s="2154"/>
      <c r="H2" s="2154"/>
      <c r="I2" s="2154"/>
      <c r="J2" s="2154"/>
      <c r="K2" s="2154"/>
      <c r="L2" s="2154"/>
      <c r="M2" s="2154"/>
      <c r="N2" s="2473"/>
      <c r="O2" s="2154"/>
      <c r="P2" s="2154"/>
      <c r="Q2" s="2154"/>
      <c r="R2" s="2154"/>
      <c r="S2" s="2154"/>
      <c r="T2" s="2154"/>
      <c r="U2" s="2154"/>
      <c r="V2" s="2154"/>
      <c r="W2" s="2154"/>
      <c r="X2" s="2154"/>
      <c r="Y2" s="2154"/>
      <c r="Z2" s="2154"/>
    </row>
    <row r="3" spans="2:31" ht="13.5" thickBot="1" x14ac:dyDescent="0.25">
      <c r="C3" s="2502"/>
      <c r="K3" s="2154"/>
      <c r="N3" s="704">
        <f>N11/M11</f>
        <v>19.938968267454662</v>
      </c>
    </row>
    <row r="4" spans="2:31" ht="79.5" thickBot="1" x14ac:dyDescent="0.3">
      <c r="B4" s="941" t="s">
        <v>79</v>
      </c>
      <c r="C4" s="941" t="s">
        <v>670</v>
      </c>
      <c r="D4" s="941" t="s">
        <v>553</v>
      </c>
      <c r="E4" s="941" t="s">
        <v>554</v>
      </c>
      <c r="F4" s="941" t="s">
        <v>671</v>
      </c>
      <c r="G4" s="941" t="s">
        <v>161</v>
      </c>
      <c r="H4" s="943" t="s">
        <v>555</v>
      </c>
      <c r="I4" s="941" t="s">
        <v>672</v>
      </c>
      <c r="J4" s="1915" t="s">
        <v>162</v>
      </c>
      <c r="K4" s="2503" t="s">
        <v>163</v>
      </c>
      <c r="L4" s="1917" t="s">
        <v>81</v>
      </c>
      <c r="M4" s="2142" t="s">
        <v>166</v>
      </c>
      <c r="N4" s="2142"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31" ht="16.5" thickBot="1" x14ac:dyDescent="0.3">
      <c r="B5" s="2504" t="s">
        <v>5</v>
      </c>
      <c r="C5" s="2505"/>
      <c r="D5" s="2505"/>
      <c r="E5" s="2505"/>
      <c r="F5" s="2505"/>
      <c r="G5" s="2505"/>
      <c r="H5" s="2505"/>
      <c r="I5" s="2505"/>
      <c r="J5" s="2505"/>
      <c r="K5" s="2505"/>
      <c r="L5" s="2505"/>
      <c r="M5" s="2505"/>
      <c r="N5" s="2505"/>
      <c r="O5" s="2505"/>
      <c r="P5" s="2505"/>
      <c r="Q5" s="2505"/>
      <c r="R5" s="2506"/>
      <c r="S5" s="2498"/>
      <c r="T5" s="2498"/>
      <c r="U5" s="2498"/>
      <c r="V5" s="2498"/>
      <c r="W5" s="2498"/>
      <c r="X5" s="2498"/>
      <c r="Y5" s="2507"/>
      <c r="Z5" s="2507"/>
    </row>
    <row r="6" spans="2:31" ht="19.5" hidden="1" customHeight="1" thickBot="1" x14ac:dyDescent="0.25">
      <c r="B6" s="1937" t="s">
        <v>232</v>
      </c>
      <c r="C6" s="2508"/>
      <c r="D6" s="2509"/>
      <c r="E6" s="2509"/>
      <c r="F6" s="2509"/>
      <c r="G6" s="2509"/>
      <c r="H6" s="1969"/>
      <c r="I6" s="2510"/>
      <c r="J6" s="2510"/>
      <c r="K6" s="2146"/>
      <c r="L6" s="2511"/>
      <c r="M6" s="2146"/>
      <c r="N6" s="2146"/>
      <c r="O6" s="2146"/>
      <c r="P6" s="1996"/>
      <c r="Q6" s="1926"/>
      <c r="R6" s="1997"/>
      <c r="S6" s="2146"/>
      <c r="T6" s="2146"/>
      <c r="U6" s="2146"/>
      <c r="V6" s="2146"/>
      <c r="W6" s="2146">
        <f t="shared" ref="W6:X27" si="0">+(M6*102900+S6*138690+U6*91330)/10^6</f>
        <v>0</v>
      </c>
      <c r="X6" s="2146">
        <f t="shared" si="0"/>
        <v>0</v>
      </c>
      <c r="Y6" s="1996" t="s">
        <v>3</v>
      </c>
      <c r="Z6" s="1926" t="s">
        <v>3</v>
      </c>
    </row>
    <row r="7" spans="2:31" s="2081" customFormat="1" ht="18" customHeight="1" x14ac:dyDescent="0.2">
      <c r="B7" s="2290" t="s">
        <v>233</v>
      </c>
      <c r="C7" s="2512" t="e">
        <f>#REF!</f>
        <v>#REF!</v>
      </c>
      <c r="D7" s="2513" t="e">
        <f>E7-C7</f>
        <v>#REF!</v>
      </c>
      <c r="E7" s="2465">
        <v>4055068.2473320495</v>
      </c>
      <c r="F7" s="2465">
        <v>4526958.4418173367</v>
      </c>
      <c r="G7" s="2465">
        <v>4826752.2436830923</v>
      </c>
      <c r="H7" s="1110" t="e">
        <f>SUM(C7/$C$75)</f>
        <v>#REF!</v>
      </c>
      <c r="I7" s="2514" t="e">
        <f>F7/C7</f>
        <v>#REF!</v>
      </c>
      <c r="J7" s="2514">
        <f>G7/E7</f>
        <v>1.1903011119131612</v>
      </c>
      <c r="K7" s="2515">
        <v>4182.9890263907573</v>
      </c>
      <c r="L7" s="2516" t="s">
        <v>241</v>
      </c>
      <c r="M7" s="2515">
        <v>354608.07000580855</v>
      </c>
      <c r="N7" s="2515">
        <v>7600913.3332632594</v>
      </c>
      <c r="O7" s="2515">
        <v>3231.1608173589502</v>
      </c>
      <c r="P7" s="1981" t="e">
        <f>C7/M7</f>
        <v>#REF!</v>
      </c>
      <c r="Q7" s="2517" t="e">
        <f>C7/N7</f>
        <v>#REF!</v>
      </c>
      <c r="R7" s="2517" t="e">
        <f>C7/O7</f>
        <v>#REF!</v>
      </c>
      <c r="S7" s="2518"/>
      <c r="T7" s="2518"/>
      <c r="U7" s="2518"/>
      <c r="V7" s="2518"/>
      <c r="W7" s="2518">
        <f t="shared" si="0"/>
        <v>36489.170403597702</v>
      </c>
      <c r="X7" s="2518">
        <f t="shared" si="0"/>
        <v>782133.98199278943</v>
      </c>
      <c r="Y7" s="2519" t="e">
        <f>+C7/W7</f>
        <v>#REF!</v>
      </c>
      <c r="Z7" s="2520" t="e">
        <f>+C7/X7</f>
        <v>#REF!</v>
      </c>
    </row>
    <row r="8" spans="2:31" s="2081" customFormat="1" ht="20.25" customHeight="1" x14ac:dyDescent="0.2">
      <c r="B8" s="2073" t="s">
        <v>234</v>
      </c>
      <c r="C8" s="2521" t="e">
        <f>#REF!</f>
        <v>#REF!</v>
      </c>
      <c r="D8" s="2075" t="e">
        <f>E8-C8</f>
        <v>#REF!</v>
      </c>
      <c r="E8" s="2465">
        <v>2549294.8699000003</v>
      </c>
      <c r="F8" s="2465">
        <v>2720306.9466317939</v>
      </c>
      <c r="G8" s="2465">
        <v>2875555.5058934828</v>
      </c>
      <c r="H8" s="1115" t="e">
        <f>SUM(C8/$C$76)</f>
        <v>#REF!</v>
      </c>
      <c r="I8" s="1922" t="e">
        <f>F8/C8</f>
        <v>#REF!</v>
      </c>
      <c r="J8" s="1922">
        <f>G8/E8</f>
        <v>1.1279807368875616</v>
      </c>
      <c r="K8" s="2515">
        <v>1980.604887252978</v>
      </c>
      <c r="L8" s="2522" t="s">
        <v>241</v>
      </c>
      <c r="M8" s="2515">
        <v>209725.21552381056</v>
      </c>
      <c r="N8" s="2515">
        <v>4584283.3226454556</v>
      </c>
      <c r="O8" s="2515">
        <v>1930.1111280922769</v>
      </c>
      <c r="P8" s="1925" t="e">
        <f>C8/M8</f>
        <v>#REF!</v>
      </c>
      <c r="Q8" s="2523" t="e">
        <f>C8/N8</f>
        <v>#REF!</v>
      </c>
      <c r="R8" s="2523" t="e">
        <f t="shared" ref="R8:R28" si="1">C8/O8</f>
        <v>#REF!</v>
      </c>
      <c r="S8" s="2077"/>
      <c r="T8" s="2077"/>
      <c r="U8" s="2077"/>
      <c r="V8" s="2077"/>
      <c r="W8" s="2077">
        <f t="shared" si="0"/>
        <v>21580.724677400107</v>
      </c>
      <c r="X8" s="2077">
        <f t="shared" si="0"/>
        <v>471722.75390021742</v>
      </c>
      <c r="Y8" s="2078" t="e">
        <f>+C8/W8</f>
        <v>#REF!</v>
      </c>
      <c r="Z8" s="2368" t="e">
        <f>+C8/X8</f>
        <v>#REF!</v>
      </c>
    </row>
    <row r="9" spans="2:31" ht="17.25" customHeight="1" x14ac:dyDescent="0.25">
      <c r="B9" s="2366" t="s">
        <v>235</v>
      </c>
      <c r="C9" s="1105" t="e">
        <f>SUM(C6:C8)</f>
        <v>#REF!</v>
      </c>
      <c r="D9" s="1105" t="e">
        <f>SUM(D6:D8)</f>
        <v>#REF!</v>
      </c>
      <c r="E9" s="1105">
        <f>SUM(E6:E8)</f>
        <v>6604363.1172320498</v>
      </c>
      <c r="F9" s="1105">
        <f>SUM(F6:F8)</f>
        <v>7247265.3884491306</v>
      </c>
      <c r="G9" s="1105">
        <f>SUM(G6:G8)</f>
        <v>7702307.7495765751</v>
      </c>
      <c r="H9" s="2524" t="e">
        <f>SUM(C9/$C$77)</f>
        <v>#REF!</v>
      </c>
      <c r="I9" s="2525" t="e">
        <f>F9/C9</f>
        <v>#REF!</v>
      </c>
      <c r="J9" s="2525">
        <f>G9/E9</f>
        <v>1.1662453461227438</v>
      </c>
      <c r="K9" s="2526">
        <f>SUM(K6:K8)</f>
        <v>6163.5939136437355</v>
      </c>
      <c r="L9" s="2527" t="s">
        <v>241</v>
      </c>
      <c r="M9" s="2528">
        <f>SUM(M6:M8)</f>
        <v>564333.28552961908</v>
      </c>
      <c r="N9" s="2528">
        <f>SUM(N6:N8)</f>
        <v>12185196.655908715</v>
      </c>
      <c r="O9" s="2528">
        <f>SUM(O6:O8)</f>
        <v>5161.2719454512271</v>
      </c>
      <c r="P9" s="2529" t="e">
        <f>C9/M9</f>
        <v>#REF!</v>
      </c>
      <c r="Q9" s="2529" t="e">
        <f>C9/N9</f>
        <v>#REF!</v>
      </c>
      <c r="R9" s="2529" t="e">
        <f t="shared" si="1"/>
        <v>#REF!</v>
      </c>
      <c r="S9" s="2530">
        <f>SUM(S6:S8)</f>
        <v>0</v>
      </c>
      <c r="T9" s="2530">
        <f>SUM(T6:T8)</f>
        <v>0</v>
      </c>
      <c r="U9" s="2530"/>
      <c r="V9" s="2530"/>
      <c r="W9" s="2531">
        <f t="shared" si="0"/>
        <v>58069.895080997805</v>
      </c>
      <c r="X9" s="2531">
        <f t="shared" si="0"/>
        <v>1253856.7358930069</v>
      </c>
      <c r="Y9" s="2529" t="e">
        <f>+C9/W9</f>
        <v>#REF!</v>
      </c>
      <c r="Z9" s="2532" t="e">
        <f>+C9/X9</f>
        <v>#REF!</v>
      </c>
      <c r="AB9" s="704" t="s">
        <v>701</v>
      </c>
      <c r="AC9" s="704" t="s">
        <v>702</v>
      </c>
      <c r="AD9" s="704" t="s">
        <v>703</v>
      </c>
      <c r="AE9" s="201" t="s">
        <v>704</v>
      </c>
    </row>
    <row r="10" spans="2:31" ht="15" hidden="1" x14ac:dyDescent="0.2">
      <c r="B10" s="615" t="s">
        <v>139</v>
      </c>
      <c r="C10" s="874"/>
      <c r="D10" s="874"/>
      <c r="E10" s="874"/>
      <c r="F10" s="874"/>
      <c r="G10" s="874"/>
      <c r="H10" s="1115"/>
      <c r="I10" s="1922"/>
      <c r="J10" s="1922"/>
      <c r="K10" s="2455"/>
      <c r="L10" s="2522"/>
      <c r="M10" s="2455"/>
      <c r="N10" s="2455"/>
      <c r="O10" s="2455"/>
      <c r="P10" s="1925"/>
      <c r="Q10" s="2523"/>
      <c r="R10" s="2523" t="e">
        <f t="shared" si="1"/>
        <v>#DIV/0!</v>
      </c>
      <c r="S10" s="1923"/>
      <c r="T10" s="1923"/>
      <c r="U10" s="1923"/>
      <c r="V10" s="1923"/>
      <c r="W10" s="1923">
        <f t="shared" si="0"/>
        <v>0</v>
      </c>
      <c r="X10" s="1923">
        <f t="shared" si="0"/>
        <v>0</v>
      </c>
      <c r="Y10" s="1925" t="s">
        <v>3</v>
      </c>
      <c r="Z10" s="1989" t="s">
        <v>3</v>
      </c>
      <c r="AA10" s="822"/>
      <c r="AB10" s="823"/>
    </row>
    <row r="11" spans="2:31" s="2081" customFormat="1" ht="15" x14ac:dyDescent="0.2">
      <c r="B11" s="2073" t="s">
        <v>140</v>
      </c>
      <c r="C11" s="2075" t="e">
        <f>#REF!</f>
        <v>#REF!</v>
      </c>
      <c r="D11" s="2075" t="e">
        <f>E11-C11</f>
        <v>#REF!</v>
      </c>
      <c r="E11" s="2465">
        <v>3676206.7604865045</v>
      </c>
      <c r="F11" s="2465" t="e">
        <v>#REF!</v>
      </c>
      <c r="G11" s="2465" t="e">
        <v>#REF!</v>
      </c>
      <c r="H11" s="1115" t="e">
        <f>SUM(C11/$C$75)</f>
        <v>#REF!</v>
      </c>
      <c r="I11" s="1922" t="e">
        <f>F11/C11</f>
        <v>#REF!</v>
      </c>
      <c r="J11" s="1922" t="e">
        <f>G11/E11</f>
        <v>#REF!</v>
      </c>
      <c r="K11" s="2515" t="e">
        <v>#REF!</v>
      </c>
      <c r="L11" s="2522" t="s">
        <v>241</v>
      </c>
      <c r="M11" s="2515">
        <v>142943.59216806656</v>
      </c>
      <c r="N11" s="2515">
        <v>2850147.7482750597</v>
      </c>
      <c r="O11" s="2515">
        <v>1325.9259033593489</v>
      </c>
      <c r="P11" s="1925" t="e">
        <f>C11/M11</f>
        <v>#REF!</v>
      </c>
      <c r="Q11" s="2523" t="e">
        <f>C11/N11</f>
        <v>#REF!</v>
      </c>
      <c r="R11" s="2523" t="e">
        <f t="shared" si="1"/>
        <v>#REF!</v>
      </c>
      <c r="S11" s="2077">
        <v>0</v>
      </c>
      <c r="T11" s="2077">
        <v>0</v>
      </c>
      <c r="U11" s="2077">
        <v>0</v>
      </c>
      <c r="V11" s="2077">
        <v>0</v>
      </c>
      <c r="W11" s="2077" t="e">
        <f>+(M11*102900+S11*138690+U11*91330)/10^6*0.5+AC11</f>
        <v>#REF!</v>
      </c>
      <c r="X11" s="2077" t="e">
        <f>+(N11*102900+T11*138690+V11*91330)/10^6*0.5+AD11</f>
        <v>#REF!</v>
      </c>
      <c r="Y11" s="2078" t="e">
        <f>+C11/W11</f>
        <v>#REF!</v>
      </c>
      <c r="Z11" s="2368" t="e">
        <f>+C11/X11</f>
        <v>#REF!</v>
      </c>
      <c r="AA11" s="2080"/>
      <c r="AB11" s="2533" t="e">
        <f>+#REF!*0.5/1000</f>
        <v>#REF!</v>
      </c>
      <c r="AC11" s="2080" t="e">
        <f>AB11*11.5</f>
        <v>#REF!</v>
      </c>
      <c r="AD11" s="2080" t="e">
        <f>AC11*20</f>
        <v>#REF!</v>
      </c>
      <c r="AE11" s="2080" t="e">
        <f>AC11*322</f>
        <v>#REF!</v>
      </c>
    </row>
    <row r="12" spans="2:31" s="2081" customFormat="1" ht="15" x14ac:dyDescent="0.2">
      <c r="B12" s="2073" t="s">
        <v>141</v>
      </c>
      <c r="C12" s="2075" t="e">
        <f>#REF!</f>
        <v>#REF!</v>
      </c>
      <c r="D12" s="2075" t="e">
        <f>E12-C12</f>
        <v>#REF!</v>
      </c>
      <c r="E12" s="2465">
        <v>1784846.7555927187</v>
      </c>
      <c r="F12" s="2465">
        <v>1741955.9994370474</v>
      </c>
      <c r="G12" s="2465">
        <v>2004054.3175614171</v>
      </c>
      <c r="H12" s="1115" t="e">
        <f>SUM(C12/$C$76)</f>
        <v>#REF!</v>
      </c>
      <c r="I12" s="1922" t="e">
        <f>F12/C12</f>
        <v>#REF!</v>
      </c>
      <c r="J12" s="1922">
        <f>G12/E12</f>
        <v>1.1228159007387182</v>
      </c>
      <c r="K12" s="2515">
        <v>1245.4901277966731</v>
      </c>
      <c r="L12" s="2522" t="s">
        <v>241</v>
      </c>
      <c r="M12" s="2515">
        <v>137066.77961710899</v>
      </c>
      <c r="N12" s="2515">
        <v>2900323.9062919016</v>
      </c>
      <c r="O12" s="2515">
        <v>1298.7641701698776</v>
      </c>
      <c r="P12" s="1925" t="e">
        <f>C12/M12</f>
        <v>#REF!</v>
      </c>
      <c r="Q12" s="2523" t="e">
        <f>C12/N12</f>
        <v>#REF!</v>
      </c>
      <c r="R12" s="2523" t="e">
        <f t="shared" si="1"/>
        <v>#REF!</v>
      </c>
      <c r="S12" s="2077"/>
      <c r="T12" s="2077"/>
      <c r="U12" s="2077"/>
      <c r="V12" s="2077"/>
      <c r="W12" s="2077">
        <f>+(M12*102900+S12*138690+U12*91330)/10^6</f>
        <v>14104.171622600516</v>
      </c>
      <c r="X12" s="2077">
        <f>+(N12*102900+T12*138690+V12*91330)/10^6</f>
        <v>298443.32995743665</v>
      </c>
      <c r="Y12" s="2078" t="e">
        <f>+C12/W12</f>
        <v>#REF!</v>
      </c>
      <c r="Z12" s="2368" t="e">
        <f>+C12/X12</f>
        <v>#REF!</v>
      </c>
      <c r="AA12" s="2080"/>
      <c r="AB12" s="2533"/>
      <c r="AC12" s="2080"/>
    </row>
    <row r="13" spans="2:31" ht="17.25" customHeight="1" x14ac:dyDescent="0.25">
      <c r="B13" s="2366" t="s">
        <v>146</v>
      </c>
      <c r="C13" s="1105" t="e">
        <f>SUM(C10:C12)</f>
        <v>#REF!</v>
      </c>
      <c r="D13" s="1105" t="e">
        <f>SUM(D10:D12)</f>
        <v>#REF!</v>
      </c>
      <c r="E13" s="1105">
        <f>SUM(E10:E12)</f>
        <v>5461053.5160792228</v>
      </c>
      <c r="F13" s="1105" t="e">
        <f>SUM(F10:F12)</f>
        <v>#REF!</v>
      </c>
      <c r="G13" s="1105" t="e">
        <f>SUM(G10:G12)</f>
        <v>#REF!</v>
      </c>
      <c r="H13" s="2524" t="e">
        <f>SUM(C13/$C$77)</f>
        <v>#REF!</v>
      </c>
      <c r="I13" s="2525" t="e">
        <f>F13/C13</f>
        <v>#REF!</v>
      </c>
      <c r="J13" s="2525" t="e">
        <f>G13/E13</f>
        <v>#REF!</v>
      </c>
      <c r="K13" s="2526" t="e">
        <f>SUM(K10:K12)</f>
        <v>#REF!</v>
      </c>
      <c r="L13" s="2527" t="s">
        <v>241</v>
      </c>
      <c r="M13" s="2528">
        <f>SUM(M10:M12)</f>
        <v>280010.37178517552</v>
      </c>
      <c r="N13" s="2528">
        <f>SUM(N10:N12)</f>
        <v>5750471.6545669613</v>
      </c>
      <c r="O13" s="2528">
        <f>SUM(O10:O12)</f>
        <v>2624.6900735292265</v>
      </c>
      <c r="P13" s="2529" t="e">
        <f>C13/M13</f>
        <v>#REF!</v>
      </c>
      <c r="Q13" s="2534" t="e">
        <f>C13/N13</f>
        <v>#REF!</v>
      </c>
      <c r="R13" s="2534" t="e">
        <f t="shared" si="1"/>
        <v>#REF!</v>
      </c>
      <c r="S13" s="2530">
        <f>SUM(S10:S12)</f>
        <v>0</v>
      </c>
      <c r="T13" s="2530">
        <f>SUM(T10:T12)</f>
        <v>0</v>
      </c>
      <c r="U13" s="2530">
        <f>SUM(U10:U12)</f>
        <v>0</v>
      </c>
      <c r="V13" s="2530">
        <f>SUM(V10:V12)</f>
        <v>0</v>
      </c>
      <c r="W13" s="2531">
        <f t="shared" si="0"/>
        <v>28813.067256694561</v>
      </c>
      <c r="X13" s="2531">
        <f t="shared" si="0"/>
        <v>591723.5332549403</v>
      </c>
      <c r="Y13" s="2529" t="e">
        <f>+C13/W13</f>
        <v>#REF!</v>
      </c>
      <c r="Z13" s="2535" t="e">
        <f>+C13/X13</f>
        <v>#REF!</v>
      </c>
    </row>
    <row r="14" spans="2:31" ht="15.75" hidden="1" customHeight="1" x14ac:dyDescent="0.2">
      <c r="B14" s="615" t="s">
        <v>169</v>
      </c>
      <c r="C14" s="874"/>
      <c r="D14" s="874"/>
      <c r="E14" s="874"/>
      <c r="F14" s="874"/>
      <c r="G14" s="874"/>
      <c r="H14" s="1115"/>
      <c r="I14" s="1922"/>
      <c r="J14" s="1922"/>
      <c r="K14" s="2455"/>
      <c r="L14" s="2522"/>
      <c r="M14" s="2455"/>
      <c r="N14" s="2455"/>
      <c r="O14" s="2455"/>
      <c r="P14" s="1925"/>
      <c r="Q14" s="2523"/>
      <c r="R14" s="2523" t="e">
        <f t="shared" si="1"/>
        <v>#DIV/0!</v>
      </c>
      <c r="S14" s="1923"/>
      <c r="T14" s="1923"/>
      <c r="U14" s="1923"/>
      <c r="V14" s="1923"/>
      <c r="W14" s="1923">
        <f t="shared" si="0"/>
        <v>0</v>
      </c>
      <c r="X14" s="1923">
        <f t="shared" si="0"/>
        <v>0</v>
      </c>
      <c r="Y14" s="1925" t="s">
        <v>3</v>
      </c>
      <c r="Z14" s="1989" t="s">
        <v>3</v>
      </c>
    </row>
    <row r="15" spans="2:31" ht="30" x14ac:dyDescent="0.2">
      <c r="B15" s="2073" t="s">
        <v>597</v>
      </c>
      <c r="C15" s="2075" t="e">
        <f>#REF!</f>
        <v>#REF!</v>
      </c>
      <c r="D15" s="2075" t="e">
        <f>E15-C15</f>
        <v>#REF!</v>
      </c>
      <c r="E15" s="2465">
        <v>3933307.14343163</v>
      </c>
      <c r="F15" s="2465">
        <v>2842611.6122536128</v>
      </c>
      <c r="G15" s="2465">
        <v>2842611.6122536128</v>
      </c>
      <c r="H15" s="1115" t="e">
        <f>SUM(C15/$C$75)</f>
        <v>#REF!</v>
      </c>
      <c r="I15" s="1922" t="e">
        <f>F15/C15</f>
        <v>#REF!</v>
      </c>
      <c r="J15" s="1922">
        <f>G15/E15</f>
        <v>0.72270267960146251</v>
      </c>
      <c r="K15" s="2515">
        <v>2815.4167054162672</v>
      </c>
      <c r="L15" s="2522" t="s">
        <v>572</v>
      </c>
      <c r="M15" s="2515">
        <v>232633.9615762287</v>
      </c>
      <c r="N15" s="2515">
        <v>4648955.3808529852</v>
      </c>
      <c r="O15" s="2515">
        <v>2202.6579628220306</v>
      </c>
      <c r="P15" s="1925" t="e">
        <f t="shared" ref="P15:P23" si="2">C15/M15</f>
        <v>#REF!</v>
      </c>
      <c r="Q15" s="2523" t="e">
        <f t="shared" ref="Q15:Q23" si="3">C15/N15</f>
        <v>#REF!</v>
      </c>
      <c r="R15" s="2523" t="e">
        <f t="shared" si="1"/>
        <v>#REF!</v>
      </c>
      <c r="S15" s="1923"/>
      <c r="T15" s="1923"/>
      <c r="U15" s="1923"/>
      <c r="V15" s="1923"/>
      <c r="W15" s="2077">
        <f t="shared" si="0"/>
        <v>23938.03464619393</v>
      </c>
      <c r="X15" s="2077">
        <f t="shared" si="0"/>
        <v>478377.50868977216</v>
      </c>
      <c r="Y15" s="2078" t="e">
        <f t="shared" ref="Y15:Y28" si="4">+C15/W15</f>
        <v>#REF!</v>
      </c>
      <c r="Z15" s="2368" t="e">
        <f>+C15/X15</f>
        <v>#REF!</v>
      </c>
    </row>
    <row r="16" spans="2:31" ht="30" x14ac:dyDescent="0.2">
      <c r="B16" s="2073" t="s">
        <v>598</v>
      </c>
      <c r="C16" s="2075" t="e">
        <f>#REF!</f>
        <v>#REF!</v>
      </c>
      <c r="D16" s="2075" t="e">
        <f>E16-C16</f>
        <v>#REF!</v>
      </c>
      <c r="E16" s="2465">
        <v>6487575.6458911905</v>
      </c>
      <c r="F16" s="2465">
        <v>4585430.85842718</v>
      </c>
      <c r="G16" s="2465">
        <v>4585430.8584271809</v>
      </c>
      <c r="H16" s="1115" t="e">
        <f>SUM(C16/$C$76)</f>
        <v>#REF!</v>
      </c>
      <c r="I16" s="1922" t="e">
        <f>F16/C16</f>
        <v>#REF!</v>
      </c>
      <c r="J16" s="1922">
        <f>G16/E16</f>
        <v>0.70680191009892812</v>
      </c>
      <c r="K16" s="2515">
        <v>4777.6933109594593</v>
      </c>
      <c r="L16" s="2522" t="s">
        <v>572</v>
      </c>
      <c r="M16" s="2515">
        <v>375472.04611876199</v>
      </c>
      <c r="N16" s="2515">
        <v>7509440.9223752394</v>
      </c>
      <c r="O16" s="2515">
        <v>3382.7058225581422</v>
      </c>
      <c r="P16" s="1925" t="e">
        <f t="shared" si="2"/>
        <v>#REF!</v>
      </c>
      <c r="Q16" s="2523" t="e">
        <f t="shared" si="3"/>
        <v>#REF!</v>
      </c>
      <c r="R16" s="2523" t="e">
        <f t="shared" si="1"/>
        <v>#REF!</v>
      </c>
      <c r="S16" s="1923"/>
      <c r="T16" s="1923"/>
      <c r="U16" s="1923"/>
      <c r="V16" s="1923"/>
      <c r="W16" s="2077">
        <f t="shared" si="0"/>
        <v>38636.073545620602</v>
      </c>
      <c r="X16" s="2077">
        <f t="shared" si="0"/>
        <v>772721.47091241216</v>
      </c>
      <c r="Y16" s="2078" t="e">
        <f t="shared" si="4"/>
        <v>#REF!</v>
      </c>
      <c r="Z16" s="2368" t="e">
        <f>+C16/X16</f>
        <v>#REF!</v>
      </c>
    </row>
    <row r="17" spans="2:27" ht="15.75" customHeight="1" x14ac:dyDescent="0.25">
      <c r="B17" s="2366" t="s">
        <v>599</v>
      </c>
      <c r="C17" s="1105" t="e">
        <f>SUM(C14:C16)</f>
        <v>#REF!</v>
      </c>
      <c r="D17" s="1105" t="e">
        <f>SUM(D14:D16)</f>
        <v>#REF!</v>
      </c>
      <c r="E17" s="1105">
        <f>SUM(E14:E16)</f>
        <v>10420882.78932282</v>
      </c>
      <c r="F17" s="1105">
        <f>SUM(F14:F16)</f>
        <v>7428042.4706807928</v>
      </c>
      <c r="G17" s="1105">
        <f>SUM(G14:G16)</f>
        <v>7428042.4706807937</v>
      </c>
      <c r="H17" s="2524" t="e">
        <f>SUM(C17/$C$77)</f>
        <v>#REF!</v>
      </c>
      <c r="I17" s="2525" t="e">
        <f t="shared" ref="I17:I23" si="5">F17/C17</f>
        <v>#REF!</v>
      </c>
      <c r="J17" s="2525">
        <f t="shared" ref="J17:J23" si="6">G17/E17</f>
        <v>0.71280357152577578</v>
      </c>
      <c r="K17" s="2526">
        <f>SUM(K14:K16)</f>
        <v>7593.1100163757264</v>
      </c>
      <c r="L17" s="2527" t="s">
        <v>572</v>
      </c>
      <c r="M17" s="2528">
        <f>SUM(M14:M16)</f>
        <v>608106.00769499072</v>
      </c>
      <c r="N17" s="2528">
        <f>SUM(N14:N16)</f>
        <v>12158396.303228226</v>
      </c>
      <c r="O17" s="2528">
        <f>SUM(O14:O16)</f>
        <v>5585.3637853801729</v>
      </c>
      <c r="P17" s="2529" t="e">
        <f t="shared" si="2"/>
        <v>#REF!</v>
      </c>
      <c r="Q17" s="2534" t="e">
        <f t="shared" si="3"/>
        <v>#REF!</v>
      </c>
      <c r="R17" s="2534" t="e">
        <f t="shared" si="1"/>
        <v>#REF!</v>
      </c>
      <c r="S17" s="2530">
        <f>SUM(S14:S16)</f>
        <v>0</v>
      </c>
      <c r="T17" s="2530">
        <f>SUM(T14:T16)</f>
        <v>0</v>
      </c>
      <c r="U17" s="2530">
        <f>SUM(U14:U16)</f>
        <v>0</v>
      </c>
      <c r="V17" s="2530">
        <f>SUM(V14:V16)</f>
        <v>0</v>
      </c>
      <c r="W17" s="2531">
        <f t="shared" si="0"/>
        <v>62574.108191814543</v>
      </c>
      <c r="X17" s="2531">
        <f t="shared" si="0"/>
        <v>1251098.9796021844</v>
      </c>
      <c r="Y17" s="2529" t="e">
        <f t="shared" si="4"/>
        <v>#REF!</v>
      </c>
      <c r="Z17" s="2535" t="e">
        <f>+C17/X17</f>
        <v>#REF!</v>
      </c>
    </row>
    <row r="18" spans="2:27" ht="15" x14ac:dyDescent="0.2">
      <c r="B18" s="2073" t="s">
        <v>609</v>
      </c>
      <c r="C18" s="2075" t="e">
        <f>#REF!</f>
        <v>#REF!</v>
      </c>
      <c r="D18" s="2340" t="e">
        <f>E18-C18</f>
        <v>#REF!</v>
      </c>
      <c r="E18" s="2465">
        <v>151117.00049999999</v>
      </c>
      <c r="F18" s="2465">
        <v>40102.199084437219</v>
      </c>
      <c r="G18" s="2465">
        <v>40102.199084437219</v>
      </c>
      <c r="H18" s="1115" t="e">
        <f>SUM(C18/$C$75)</f>
        <v>#REF!</v>
      </c>
      <c r="I18" s="1922" t="e">
        <f>F18/C18</f>
        <v>#REF!</v>
      </c>
      <c r="J18" s="1922">
        <f t="shared" si="6"/>
        <v>0.26537185724803491</v>
      </c>
      <c r="K18" s="2515">
        <v>15000</v>
      </c>
      <c r="L18" s="2342" t="s">
        <v>242</v>
      </c>
      <c r="M18" s="2515">
        <v>100080</v>
      </c>
      <c r="N18" s="2515">
        <v>211168.8</v>
      </c>
      <c r="O18" s="2515">
        <v>0</v>
      </c>
      <c r="P18" s="2341" t="e">
        <f t="shared" si="2"/>
        <v>#REF!</v>
      </c>
      <c r="Q18" s="2400" t="e">
        <f t="shared" si="3"/>
        <v>#REF!</v>
      </c>
      <c r="R18" s="2400"/>
      <c r="S18" s="2342">
        <v>0</v>
      </c>
      <c r="T18" s="2342">
        <v>0</v>
      </c>
      <c r="U18" s="2342">
        <v>0</v>
      </c>
      <c r="V18" s="2342">
        <v>0</v>
      </c>
      <c r="W18" s="1923">
        <f t="shared" si="0"/>
        <v>10298.232</v>
      </c>
      <c r="X18" s="1923">
        <f t="shared" si="0"/>
        <v>21729.269520000002</v>
      </c>
      <c r="Y18" s="1925" t="e">
        <f t="shared" si="4"/>
        <v>#REF!</v>
      </c>
      <c r="Z18" s="1989">
        <f>+E18/X18</f>
        <v>6.9545366152741241</v>
      </c>
    </row>
    <row r="19" spans="2:27" s="2081" customFormat="1" ht="15" x14ac:dyDescent="0.2">
      <c r="B19" s="693" t="s">
        <v>530</v>
      </c>
      <c r="C19" s="2340" t="e">
        <f>#REF!</f>
        <v>#REF!</v>
      </c>
      <c r="D19" s="2340"/>
      <c r="E19" s="2465">
        <v>151160.30049999998</v>
      </c>
      <c r="F19" s="2465">
        <v>47116.771545312018</v>
      </c>
      <c r="G19" s="2465">
        <v>47116.771545312018</v>
      </c>
      <c r="H19" s="1115" t="e">
        <f>H18</f>
        <v>#REF!</v>
      </c>
      <c r="I19" s="1922" t="e">
        <f>F19/C19</f>
        <v>#REF!</v>
      </c>
      <c r="J19" s="1922">
        <f t="shared" si="6"/>
        <v>0.311700700444903</v>
      </c>
      <c r="K19" s="2515">
        <v>15000</v>
      </c>
      <c r="L19" s="2342" t="str">
        <f>L18</f>
        <v>Units</v>
      </c>
      <c r="M19" s="2515">
        <v>100080</v>
      </c>
      <c r="N19" s="2515">
        <v>211168.8</v>
      </c>
      <c r="O19" s="2515">
        <f>O18</f>
        <v>0</v>
      </c>
      <c r="P19" s="2341" t="e">
        <f t="shared" si="2"/>
        <v>#REF!</v>
      </c>
      <c r="Q19" s="2400" t="e">
        <f t="shared" si="3"/>
        <v>#REF!</v>
      </c>
      <c r="R19" s="2400"/>
      <c r="S19" s="2342">
        <v>0</v>
      </c>
      <c r="T19" s="2342">
        <v>0</v>
      </c>
      <c r="U19" s="2342">
        <v>0</v>
      </c>
      <c r="V19" s="2342">
        <v>0</v>
      </c>
      <c r="W19" s="1923">
        <f t="shared" si="0"/>
        <v>10298.232</v>
      </c>
      <c r="X19" s="1923">
        <f t="shared" si="0"/>
        <v>21729.269520000002</v>
      </c>
      <c r="Y19" s="1925" t="e">
        <f t="shared" si="4"/>
        <v>#REF!</v>
      </c>
      <c r="Z19" s="1989">
        <f>+E19/X19</f>
        <v>6.9565293191687543</v>
      </c>
    </row>
    <row r="20" spans="2:27" ht="15.75" x14ac:dyDescent="0.25">
      <c r="B20" s="2366" t="s">
        <v>610</v>
      </c>
      <c r="C20" s="1105" t="e">
        <f>SUM(C18:C19)</f>
        <v>#REF!</v>
      </c>
      <c r="D20" s="1105" t="e">
        <f>SUM(D18:D19)</f>
        <v>#REF!</v>
      </c>
      <c r="E20" s="1105">
        <f>SUM(E18:E19)</f>
        <v>302277.30099999998</v>
      </c>
      <c r="F20" s="1105">
        <f>SUM(F18:F19)</f>
        <v>87218.970629749238</v>
      </c>
      <c r="G20" s="1105">
        <f>SUM(G18:G19)</f>
        <v>87218.970629749238</v>
      </c>
      <c r="H20" s="2524" t="e">
        <f>SUM(C20/$C$77)</f>
        <v>#REF!</v>
      </c>
      <c r="I20" s="2525" t="e">
        <f t="shared" si="5"/>
        <v>#REF!</v>
      </c>
      <c r="J20" s="2525"/>
      <c r="K20" s="2526">
        <f>SUM(K18:K19)</f>
        <v>30000</v>
      </c>
      <c r="L20" s="2527"/>
      <c r="M20" s="2528">
        <f>SUM(M18:M19)</f>
        <v>200160</v>
      </c>
      <c r="N20" s="2528">
        <f>SUM(N18:N19)</f>
        <v>422337.6</v>
      </c>
      <c r="O20" s="2528">
        <f>SUM(O18:O19)</f>
        <v>0</v>
      </c>
      <c r="P20" s="2529" t="e">
        <f t="shared" si="2"/>
        <v>#REF!</v>
      </c>
      <c r="Q20" s="2534" t="e">
        <f t="shared" si="3"/>
        <v>#REF!</v>
      </c>
      <c r="R20" s="2534"/>
      <c r="S20" s="2530">
        <f>SUM(S18:S19)</f>
        <v>0</v>
      </c>
      <c r="T20" s="2530">
        <f>SUM(T18:T19)</f>
        <v>0</v>
      </c>
      <c r="U20" s="2530">
        <f>SUM(U18:U19)</f>
        <v>0</v>
      </c>
      <c r="V20" s="2530">
        <f>SUM(V18:V19)</f>
        <v>0</v>
      </c>
      <c r="W20" s="2531">
        <f t="shared" si="0"/>
        <v>20596.464</v>
      </c>
      <c r="X20" s="2531">
        <f t="shared" si="0"/>
        <v>43458.539040000003</v>
      </c>
      <c r="Y20" s="2529" t="e">
        <f t="shared" si="4"/>
        <v>#REF!</v>
      </c>
      <c r="Z20" s="2535" t="e">
        <f>+C20/X20</f>
        <v>#REF!</v>
      </c>
    </row>
    <row r="21" spans="2:27" s="2081" customFormat="1" ht="15.75" customHeight="1" x14ac:dyDescent="0.2">
      <c r="B21" s="2073" t="s">
        <v>170</v>
      </c>
      <c r="C21" s="2075" t="e">
        <f>#REF!</f>
        <v>#REF!</v>
      </c>
      <c r="D21" s="2075" t="e">
        <f>E21-C21</f>
        <v>#REF!</v>
      </c>
      <c r="E21" s="2536">
        <v>1297672.8242500001</v>
      </c>
      <c r="F21" s="2536">
        <v>1465254.4773587114</v>
      </c>
      <c r="G21" s="2536">
        <v>1465254.4773587114</v>
      </c>
      <c r="H21" s="1115" t="e">
        <f>SUM(C21/$C$75)</f>
        <v>#REF!</v>
      </c>
      <c r="I21" s="1922" t="e">
        <f t="shared" si="5"/>
        <v>#REF!</v>
      </c>
      <c r="J21" s="1922">
        <f t="shared" si="6"/>
        <v>1.1291401422431471</v>
      </c>
      <c r="K21" s="2515">
        <v>319.90590620672253</v>
      </c>
      <c r="L21" s="2522" t="s">
        <v>241</v>
      </c>
      <c r="M21" s="2515">
        <v>107610.96598121649</v>
      </c>
      <c r="N21" s="2515">
        <v>2489892.066035321</v>
      </c>
      <c r="O21" s="2515">
        <v>1035.3093557590428</v>
      </c>
      <c r="P21" s="1925" t="e">
        <f t="shared" si="2"/>
        <v>#REF!</v>
      </c>
      <c r="Q21" s="2523" t="e">
        <f t="shared" si="3"/>
        <v>#REF!</v>
      </c>
      <c r="R21" s="2523" t="e">
        <f t="shared" si="1"/>
        <v>#REF!</v>
      </c>
      <c r="S21" s="2077"/>
      <c r="T21" s="2077"/>
      <c r="U21" s="2077"/>
      <c r="V21" s="2077"/>
      <c r="W21" s="2077">
        <f t="shared" si="0"/>
        <v>11073.168399467177</v>
      </c>
      <c r="X21" s="2077">
        <f t="shared" si="0"/>
        <v>256209.89359503452</v>
      </c>
      <c r="Y21" s="2078" t="e">
        <f t="shared" si="4"/>
        <v>#REF!</v>
      </c>
      <c r="Z21" s="2368" t="e">
        <f t="shared" ref="Z21:Z28" si="7">+C21/X21</f>
        <v>#REF!</v>
      </c>
    </row>
    <row r="22" spans="2:27" s="2081" customFormat="1" ht="15.75" customHeight="1" x14ac:dyDescent="0.2">
      <c r="B22" s="2073" t="s">
        <v>171</v>
      </c>
      <c r="C22" s="2075" t="e">
        <f>#REF!</f>
        <v>#REF!</v>
      </c>
      <c r="D22" s="2075" t="e">
        <f>E22-C22</f>
        <v>#REF!</v>
      </c>
      <c r="E22" s="2536">
        <v>1491990.2335000001</v>
      </c>
      <c r="F22" s="2536">
        <v>1112540.5243891357</v>
      </c>
      <c r="G22" s="2536">
        <v>1112540.5243891357</v>
      </c>
      <c r="H22" s="1115" t="e">
        <f>SUM(C22/$C$76)</f>
        <v>#REF!</v>
      </c>
      <c r="I22" s="1922" t="e">
        <f>F22/C22</f>
        <v>#REF!</v>
      </c>
      <c r="J22" s="1922">
        <f t="shared" si="6"/>
        <v>0.74567547387979305</v>
      </c>
      <c r="K22" s="2515">
        <v>366.08930276433057</v>
      </c>
      <c r="L22" s="2522" t="s">
        <v>241</v>
      </c>
      <c r="M22" s="2515">
        <v>81707.008832060237</v>
      </c>
      <c r="N22" s="2515">
        <v>1937437.9473574418</v>
      </c>
      <c r="O22" s="2515">
        <v>786.09117485000775</v>
      </c>
      <c r="P22" s="1925" t="e">
        <f t="shared" si="2"/>
        <v>#REF!</v>
      </c>
      <c r="Q22" s="2523" t="e">
        <f t="shared" si="3"/>
        <v>#REF!</v>
      </c>
      <c r="R22" s="2523" t="e">
        <f t="shared" si="1"/>
        <v>#REF!</v>
      </c>
      <c r="S22" s="2077"/>
      <c r="T22" s="2077"/>
      <c r="U22" s="2077"/>
      <c r="V22" s="2077"/>
      <c r="W22" s="2077">
        <f t="shared" si="0"/>
        <v>8407.6512088189975</v>
      </c>
      <c r="X22" s="2077">
        <f t="shared" si="0"/>
        <v>199362.36478308076</v>
      </c>
      <c r="Y22" s="2078" t="e">
        <f t="shared" si="4"/>
        <v>#REF!</v>
      </c>
      <c r="Z22" s="2368" t="e">
        <f t="shared" si="7"/>
        <v>#REF!</v>
      </c>
    </row>
    <row r="23" spans="2:27" ht="17.25" customHeight="1" x14ac:dyDescent="0.25">
      <c r="B23" s="2366" t="s">
        <v>204</v>
      </c>
      <c r="C23" s="1105" t="e">
        <f>SUM(C21:C22)</f>
        <v>#REF!</v>
      </c>
      <c r="D23" s="1105" t="e">
        <f>SUM(D21:D22)</f>
        <v>#REF!</v>
      </c>
      <c r="E23" s="1105">
        <f>SUM(E21:E22)</f>
        <v>2789663.0577500002</v>
      </c>
      <c r="F23" s="1105">
        <f>SUM(F21:F22)</f>
        <v>2577795.0017478471</v>
      </c>
      <c r="G23" s="1105">
        <f>SUM(G21:G22)</f>
        <v>2577795.0017478471</v>
      </c>
      <c r="H23" s="2524" t="e">
        <f>SUM(C23/$C$77)</f>
        <v>#REF!</v>
      </c>
      <c r="I23" s="2525" t="e">
        <f t="shared" si="5"/>
        <v>#REF!</v>
      </c>
      <c r="J23" s="2525">
        <f t="shared" si="6"/>
        <v>0.92405245665294256</v>
      </c>
      <c r="K23" s="2526">
        <f>SUM(K21:K22)</f>
        <v>685.9952089710531</v>
      </c>
      <c r="L23" s="2527" t="s">
        <v>241</v>
      </c>
      <c r="M23" s="2528">
        <f>SUM(M21:M22)</f>
        <v>189317.97481327673</v>
      </c>
      <c r="N23" s="2528">
        <f>SUM(N21:N22)</f>
        <v>4427330.0133927632</v>
      </c>
      <c r="O23" s="2528">
        <f>SUM(O21:O22)</f>
        <v>1821.4005306090505</v>
      </c>
      <c r="P23" s="2529" t="e">
        <f t="shared" si="2"/>
        <v>#REF!</v>
      </c>
      <c r="Q23" s="2534" t="e">
        <f t="shared" si="3"/>
        <v>#REF!</v>
      </c>
      <c r="R23" s="2534" t="e">
        <f t="shared" si="1"/>
        <v>#REF!</v>
      </c>
      <c r="S23" s="2537">
        <f>SUM(S14:S22)</f>
        <v>0</v>
      </c>
      <c r="T23" s="2537">
        <f>SUM(T14:T22)</f>
        <v>0</v>
      </c>
      <c r="U23" s="2537">
        <f>SUM(U14:U22)</f>
        <v>0</v>
      </c>
      <c r="V23" s="2537">
        <f>SUM(V14:V22)</f>
        <v>0</v>
      </c>
      <c r="W23" s="2531">
        <f t="shared" si="0"/>
        <v>19480.819608286176</v>
      </c>
      <c r="X23" s="2531">
        <f t="shared" si="0"/>
        <v>455572.25837811537</v>
      </c>
      <c r="Y23" s="2538" t="e">
        <f t="shared" si="4"/>
        <v>#REF!</v>
      </c>
      <c r="Z23" s="2539" t="e">
        <f t="shared" si="7"/>
        <v>#REF!</v>
      </c>
    </row>
    <row r="24" spans="2:27" ht="15.75" hidden="1" customHeight="1" x14ac:dyDescent="0.2">
      <c r="B24" s="615" t="s">
        <v>142</v>
      </c>
      <c r="C24" s="874"/>
      <c r="D24" s="874"/>
      <c r="E24" s="874"/>
      <c r="F24" s="874"/>
      <c r="G24" s="874"/>
      <c r="H24" s="1115"/>
      <c r="I24" s="1922"/>
      <c r="J24" s="1922"/>
      <c r="K24" s="2455"/>
      <c r="L24" s="2522"/>
      <c r="M24" s="2455"/>
      <c r="N24" s="2455"/>
      <c r="O24" s="2455"/>
      <c r="P24" s="1925"/>
      <c r="Q24" s="2523"/>
      <c r="R24" s="2523" t="e">
        <f t="shared" si="1"/>
        <v>#DIV/0!</v>
      </c>
      <c r="S24" s="2077"/>
      <c r="T24" s="2077"/>
      <c r="U24" s="2077"/>
      <c r="V24" s="2077"/>
      <c r="W24" s="1923">
        <f t="shared" si="0"/>
        <v>0</v>
      </c>
      <c r="X24" s="1923">
        <f t="shared" si="0"/>
        <v>0</v>
      </c>
      <c r="Y24" s="2078" t="s">
        <v>3</v>
      </c>
      <c r="Z24" s="2368" t="s">
        <v>3</v>
      </c>
    </row>
    <row r="25" spans="2:27" s="2081" customFormat="1" ht="15.75" hidden="1" customHeight="1" x14ac:dyDescent="0.2">
      <c r="B25" s="2073" t="s">
        <v>143</v>
      </c>
      <c r="C25" s="2075"/>
      <c r="D25" s="2075"/>
      <c r="E25" s="2075"/>
      <c r="F25" s="2075"/>
      <c r="G25" s="2075"/>
      <c r="H25" s="2540" t="e">
        <f>SUM(C25/$C$75)</f>
        <v>#REF!</v>
      </c>
      <c r="I25" s="2076" t="e">
        <f>F25/C25</f>
        <v>#DIV/0!</v>
      </c>
      <c r="J25" s="2076" t="e">
        <f>G25/E25</f>
        <v>#DIV/0!</v>
      </c>
      <c r="K25" s="2541"/>
      <c r="L25" s="2542" t="s">
        <v>242</v>
      </c>
      <c r="M25" s="2541"/>
      <c r="N25" s="2541"/>
      <c r="O25" s="2541"/>
      <c r="P25" s="2078" t="e">
        <f>C25/M25</f>
        <v>#DIV/0!</v>
      </c>
      <c r="Q25" s="2543" t="e">
        <f>C25/N25</f>
        <v>#DIV/0!</v>
      </c>
      <c r="R25" s="2543" t="e">
        <f t="shared" si="1"/>
        <v>#DIV/0!</v>
      </c>
      <c r="S25" s="2077"/>
      <c r="T25" s="2077"/>
      <c r="U25" s="2077"/>
      <c r="V25" s="2077"/>
      <c r="W25" s="2077">
        <f t="shared" si="0"/>
        <v>0</v>
      </c>
      <c r="X25" s="2077">
        <f t="shared" si="0"/>
        <v>0</v>
      </c>
      <c r="Y25" s="2078" t="e">
        <f t="shared" si="4"/>
        <v>#DIV/0!</v>
      </c>
      <c r="Z25" s="2368" t="e">
        <f t="shared" si="7"/>
        <v>#DIV/0!</v>
      </c>
    </row>
    <row r="26" spans="2:27" s="2081" customFormat="1" ht="15.75" hidden="1" customHeight="1" thickBot="1" x14ac:dyDescent="0.25">
      <c r="B26" s="2073" t="s">
        <v>144</v>
      </c>
      <c r="C26" s="2075" t="e">
        <f>#REF!</f>
        <v>#REF!</v>
      </c>
      <c r="D26" s="2075" t="e">
        <f>E26-C26</f>
        <v>#REF!</v>
      </c>
      <c r="E26" s="2075"/>
      <c r="F26" s="2075"/>
      <c r="G26" s="2075"/>
      <c r="H26" s="2540" t="e">
        <f>SUM(C26/$C$76)</f>
        <v>#REF!</v>
      </c>
      <c r="I26" s="2076" t="e">
        <f>F26/C26</f>
        <v>#REF!</v>
      </c>
      <c r="J26" s="2076" t="e">
        <f>G26/E26</f>
        <v>#DIV/0!</v>
      </c>
      <c r="K26" s="2541"/>
      <c r="L26" s="2542" t="s">
        <v>242</v>
      </c>
      <c r="M26" s="2541"/>
      <c r="N26" s="2541"/>
      <c r="O26" s="2541"/>
      <c r="P26" s="2078" t="e">
        <f>C26/M26</f>
        <v>#REF!</v>
      </c>
      <c r="Q26" s="2543" t="e">
        <f>C26/N26</f>
        <v>#REF!</v>
      </c>
      <c r="R26" s="2543" t="e">
        <f t="shared" si="1"/>
        <v>#REF!</v>
      </c>
      <c r="S26" s="2077"/>
      <c r="T26" s="2077"/>
      <c r="U26" s="2077"/>
      <c r="V26" s="2077"/>
      <c r="W26" s="2077">
        <f t="shared" si="0"/>
        <v>0</v>
      </c>
      <c r="X26" s="2077">
        <f t="shared" si="0"/>
        <v>0</v>
      </c>
      <c r="Y26" s="2078" t="e">
        <f t="shared" si="4"/>
        <v>#REF!</v>
      </c>
      <c r="Z26" s="2368" t="e">
        <f t="shared" si="7"/>
        <v>#REF!</v>
      </c>
    </row>
    <row r="27" spans="2:27" ht="17.25" hidden="1" customHeight="1" thickBot="1" x14ac:dyDescent="0.3">
      <c r="B27" s="2366" t="s">
        <v>145</v>
      </c>
      <c r="C27" s="1105" t="e">
        <f>SUM(C24:C26)</f>
        <v>#REF!</v>
      </c>
      <c r="D27" s="1105" t="e">
        <f>SUM(D24:D26)</f>
        <v>#REF!</v>
      </c>
      <c r="E27" s="1105">
        <f>SUM(E24:E26)</f>
        <v>0</v>
      </c>
      <c r="F27" s="1105">
        <f>SUM(F24:F26)</f>
        <v>0</v>
      </c>
      <c r="G27" s="1105">
        <f>SUM(G24:G26)</f>
        <v>0</v>
      </c>
      <c r="H27" s="2524" t="e">
        <f>SUM(C27/$C$77)</f>
        <v>#REF!</v>
      </c>
      <c r="I27" s="2525" t="e">
        <f>F27/C27</f>
        <v>#REF!</v>
      </c>
      <c r="J27" s="2525" t="e">
        <f>G27/E27</f>
        <v>#DIV/0!</v>
      </c>
      <c r="K27" s="2526">
        <f>SUM(K24:K26)</f>
        <v>0</v>
      </c>
      <c r="L27" s="2544" t="s">
        <v>242</v>
      </c>
      <c r="M27" s="2528">
        <f>SUM(M24:M26)</f>
        <v>0</v>
      </c>
      <c r="N27" s="2528">
        <f>SUM(N24:N26)</f>
        <v>0</v>
      </c>
      <c r="O27" s="2528">
        <f>SUM(O24:O26)</f>
        <v>0</v>
      </c>
      <c r="P27" s="2529" t="e">
        <f>C27/M27</f>
        <v>#REF!</v>
      </c>
      <c r="Q27" s="2534" t="e">
        <f>C27/N27</f>
        <v>#REF!</v>
      </c>
      <c r="R27" s="2534" t="e">
        <f t="shared" si="1"/>
        <v>#REF!</v>
      </c>
      <c r="S27" s="2530">
        <f>SUM(S24:S26)</f>
        <v>0</v>
      </c>
      <c r="T27" s="2530">
        <f>SUM(T24:T26)</f>
        <v>0</v>
      </c>
      <c r="U27" s="2530">
        <f>SUM(U24:U26)</f>
        <v>0</v>
      </c>
      <c r="V27" s="2530">
        <f>SUM(V24:V26)</f>
        <v>0</v>
      </c>
      <c r="W27" s="2531">
        <f t="shared" si="0"/>
        <v>0</v>
      </c>
      <c r="X27" s="2531">
        <f t="shared" si="0"/>
        <v>0</v>
      </c>
      <c r="Y27" s="2529" t="e">
        <f t="shared" si="4"/>
        <v>#REF!</v>
      </c>
      <c r="Z27" s="2535" t="e">
        <f t="shared" si="7"/>
        <v>#REF!</v>
      </c>
    </row>
    <row r="28" spans="2:27" ht="16.5" thickBot="1" x14ac:dyDescent="0.3">
      <c r="B28" s="2386" t="s">
        <v>88</v>
      </c>
      <c r="C28" s="2387" t="e">
        <f>C9+C13+C17+C20+C23+C27</f>
        <v>#REF!</v>
      </c>
      <c r="D28" s="2387" t="e">
        <f>D9+D13+D17+D20+D23+D27</f>
        <v>#REF!</v>
      </c>
      <c r="E28" s="2387">
        <f>E9+E13+E17+E20+E23+E27</f>
        <v>25578239.781384092</v>
      </c>
      <c r="F28" s="2387" t="e">
        <f>F9+F13+F17+F20+F23+F27</f>
        <v>#REF!</v>
      </c>
      <c r="G28" s="2387" t="e">
        <f>G9+G13+G17+G20+G23+G27</f>
        <v>#REF!</v>
      </c>
      <c r="H28" s="2388" t="e">
        <f>SUM(C28/C77)</f>
        <v>#REF!</v>
      </c>
      <c r="I28" s="2389" t="e">
        <f>F28/C28</f>
        <v>#REF!</v>
      </c>
      <c r="J28" s="2389" t="e">
        <f>G28/E28</f>
        <v>#REF!</v>
      </c>
      <c r="K28" s="2545" t="e">
        <f>K9+K13+K17+K20+K23+K27</f>
        <v>#REF!</v>
      </c>
      <c r="L28" s="2374" t="s">
        <v>462</v>
      </c>
      <c r="M28" s="2546">
        <f>M9+M13+M17+M20+M23+M27</f>
        <v>1841927.6398230621</v>
      </c>
      <c r="N28" s="2546">
        <f>N9+N13+N17+N20+N23+N27</f>
        <v>34943732.227096669</v>
      </c>
      <c r="O28" s="2546">
        <f>O9+O13+O17+O20+O23+O27</f>
        <v>15192.726334969677</v>
      </c>
      <c r="P28" s="2547" t="e">
        <f>C28/M28</f>
        <v>#REF!</v>
      </c>
      <c r="Q28" s="2547" t="e">
        <f>C28/N28</f>
        <v>#REF!</v>
      </c>
      <c r="R28" s="2547" t="e">
        <f t="shared" si="1"/>
        <v>#REF!</v>
      </c>
      <c r="S28" s="2548">
        <f t="shared" ref="S28:X28" si="8">S9+S13+S17+S20+S23+S27</f>
        <v>0</v>
      </c>
      <c r="T28" s="2548">
        <f t="shared" si="8"/>
        <v>0</v>
      </c>
      <c r="U28" s="2548">
        <f t="shared" si="8"/>
        <v>0</v>
      </c>
      <c r="V28" s="2548">
        <f t="shared" si="8"/>
        <v>0</v>
      </c>
      <c r="W28" s="2548">
        <f t="shared" si="8"/>
        <v>189534.3541377931</v>
      </c>
      <c r="X28" s="2548">
        <f t="shared" si="8"/>
        <v>3595710.0461682472</v>
      </c>
      <c r="Y28" s="2547" t="e">
        <f t="shared" si="4"/>
        <v>#REF!</v>
      </c>
      <c r="Z28" s="2549" t="e">
        <f t="shared" si="7"/>
        <v>#REF!</v>
      </c>
    </row>
    <row r="29" spans="2:27" ht="15.75" customHeight="1" x14ac:dyDescent="0.25">
      <c r="B29" s="2550"/>
      <c r="C29" s="2551"/>
      <c r="D29" s="2551"/>
      <c r="E29" s="2551"/>
      <c r="F29" s="2551"/>
      <c r="G29" s="2551"/>
      <c r="H29" s="2552"/>
      <c r="I29" s="2553"/>
      <c r="J29" s="2553"/>
      <c r="K29" s="2554"/>
      <c r="L29" s="2555"/>
      <c r="M29" s="2556"/>
      <c r="N29" s="2556"/>
      <c r="O29" s="2556"/>
      <c r="P29" s="2557"/>
      <c r="Q29" s="2557"/>
      <c r="R29" s="2557"/>
      <c r="S29" s="2555"/>
      <c r="T29" s="2555"/>
      <c r="U29" s="2555"/>
      <c r="V29" s="2555"/>
      <c r="W29" s="2555"/>
      <c r="X29" s="2555"/>
      <c r="Y29" s="2557"/>
      <c r="Z29" s="2557"/>
      <c r="AA29" s="201"/>
    </row>
    <row r="30" spans="2:27" ht="15.75" customHeight="1" thickBot="1" x14ac:dyDescent="0.3">
      <c r="B30" s="2558" t="s">
        <v>131</v>
      </c>
      <c r="C30" s="2506"/>
      <c r="D30" s="2506"/>
      <c r="E30" s="2506"/>
      <c r="F30" s="2506"/>
      <c r="G30" s="2506"/>
      <c r="H30" s="2506"/>
      <c r="I30" s="2506"/>
      <c r="J30" s="2506"/>
      <c r="K30" s="2559"/>
      <c r="L30" s="2506"/>
      <c r="M30" s="2559"/>
      <c r="N30" s="2559"/>
      <c r="O30" s="2559"/>
      <c r="P30" s="2506"/>
      <c r="Q30" s="2506"/>
      <c r="R30" s="2506"/>
      <c r="S30" s="2506"/>
      <c r="T30" s="2506"/>
      <c r="U30" s="2506"/>
      <c r="V30" s="2506"/>
      <c r="W30" s="2506"/>
      <c r="X30" s="2506"/>
      <c r="Y30" s="2506"/>
      <c r="Z30" s="2506"/>
    </row>
    <row r="31" spans="2:27" ht="15.75" hidden="1" customHeight="1" x14ac:dyDescent="0.2">
      <c r="B31" s="2560" t="s">
        <v>124</v>
      </c>
      <c r="C31" s="2561"/>
      <c r="D31" s="2509"/>
      <c r="E31" s="2509"/>
      <c r="F31" s="2509"/>
      <c r="G31" s="2509"/>
      <c r="H31" s="1969"/>
      <c r="I31" s="2510"/>
      <c r="J31" s="2510"/>
      <c r="K31" s="2562"/>
      <c r="L31" s="2511"/>
      <c r="M31" s="2562"/>
      <c r="N31" s="2562"/>
      <c r="O31" s="2562"/>
      <c r="P31" s="1996"/>
      <c r="Q31" s="1926"/>
      <c r="R31" s="1926"/>
      <c r="S31" s="1926"/>
      <c r="T31" s="1926"/>
      <c r="U31" s="1926"/>
      <c r="V31" s="1926"/>
      <c r="W31" s="2146" t="s">
        <v>3</v>
      </c>
      <c r="X31" s="2146" t="s">
        <v>3</v>
      </c>
      <c r="Y31" s="1996" t="s">
        <v>3</v>
      </c>
      <c r="Z31" s="1926" t="s">
        <v>3</v>
      </c>
    </row>
    <row r="32" spans="2:27" ht="15" x14ac:dyDescent="0.2">
      <c r="B32" s="1107" t="s">
        <v>125</v>
      </c>
      <c r="C32" s="1108" t="e">
        <f>#REF!</f>
        <v>#REF!</v>
      </c>
      <c r="D32" s="1108" t="e">
        <f>E32-C32</f>
        <v>#REF!</v>
      </c>
      <c r="E32" s="2464">
        <v>6334669.4109217674</v>
      </c>
      <c r="F32" s="2464">
        <v>3392221.3286549048</v>
      </c>
      <c r="G32" s="2464">
        <v>3392221.3286549053</v>
      </c>
      <c r="H32" s="1110" t="e">
        <f>SUM(C32/$C$75)</f>
        <v>#REF!</v>
      </c>
      <c r="I32" s="2514" t="e">
        <f>F32/C32</f>
        <v>#REF!</v>
      </c>
      <c r="J32" s="2514">
        <f>G32/E32</f>
        <v>0.53550092492692491</v>
      </c>
      <c r="K32" s="2563">
        <v>198.16377480189217</v>
      </c>
      <c r="L32" s="2516" t="s">
        <v>244</v>
      </c>
      <c r="M32" s="2563">
        <v>262379.25925870868</v>
      </c>
      <c r="N32" s="2563">
        <v>4167541.6476032175</v>
      </c>
      <c r="O32" s="2563">
        <v>3394.8105227379474</v>
      </c>
      <c r="P32" s="1981" t="e">
        <f>C32/M32</f>
        <v>#REF!</v>
      </c>
      <c r="Q32" s="2517" t="e">
        <f>C32/N32</f>
        <v>#REF!</v>
      </c>
      <c r="R32" s="2517" t="e">
        <f>C32/O32</f>
        <v>#REF!</v>
      </c>
      <c r="S32" s="2564"/>
      <c r="T32" s="2564"/>
      <c r="U32" s="2564"/>
      <c r="V32" s="2564"/>
      <c r="W32" s="2564">
        <f t="shared" ref="W32:X34" si="9">+(M32*102900+S32*138690+U32*91330)/10^6</f>
        <v>26998.825777721122</v>
      </c>
      <c r="X32" s="2564">
        <f t="shared" si="9"/>
        <v>428840.03553837107</v>
      </c>
      <c r="Y32" s="1981" t="e">
        <f>+C32/W32</f>
        <v>#REF!</v>
      </c>
      <c r="Z32" s="1982" t="e">
        <f>+C32/X32</f>
        <v>#REF!</v>
      </c>
    </row>
    <row r="33" spans="2:30" ht="15" x14ac:dyDescent="0.2">
      <c r="B33" s="979" t="s">
        <v>126</v>
      </c>
      <c r="C33" s="874" t="e">
        <f>#REF!</f>
        <v>#REF!</v>
      </c>
      <c r="D33" s="874" t="e">
        <f>E33-C33</f>
        <v>#REF!</v>
      </c>
      <c r="E33" s="2465">
        <v>5219968.4127915669</v>
      </c>
      <c r="F33" s="2465">
        <v>2425130.4018117329</v>
      </c>
      <c r="G33" s="2465">
        <v>2425130.4018117329</v>
      </c>
      <c r="H33" s="1115" t="e">
        <f>SUM(C33/$C$76)</f>
        <v>#REF!</v>
      </c>
      <c r="I33" s="1922" t="e">
        <f>F33/C33</f>
        <v>#REF!</v>
      </c>
      <c r="J33" s="1922">
        <f>G33/E33</f>
        <v>0.46458717946816208</v>
      </c>
      <c r="K33" s="2565">
        <v>123.32455303508635</v>
      </c>
      <c r="L33" s="2522" t="s">
        <v>244</v>
      </c>
      <c r="M33" s="2565">
        <v>187577.35913577498</v>
      </c>
      <c r="N33" s="2565">
        <v>2979414.0686058109</v>
      </c>
      <c r="O33" s="2565">
        <v>2412.7107897378432</v>
      </c>
      <c r="P33" s="1925" t="e">
        <f>C33/M33</f>
        <v>#REF!</v>
      </c>
      <c r="Q33" s="2523" t="e">
        <f>C33/N33</f>
        <v>#REF!</v>
      </c>
      <c r="R33" s="2523" t="e">
        <f>C33/O33</f>
        <v>#REF!</v>
      </c>
      <c r="S33" s="1923"/>
      <c r="T33" s="1923"/>
      <c r="U33" s="1923"/>
      <c r="V33" s="1923"/>
      <c r="W33" s="1923">
        <f t="shared" si="9"/>
        <v>19301.710255071248</v>
      </c>
      <c r="X33" s="1923">
        <f t="shared" si="9"/>
        <v>306581.70765953796</v>
      </c>
      <c r="Y33" s="1925" t="e">
        <f>+C33/W33</f>
        <v>#REF!</v>
      </c>
      <c r="Z33" s="1989" t="e">
        <f>+C33/X33</f>
        <v>#REF!</v>
      </c>
    </row>
    <row r="34" spans="2:30" ht="17.25" customHeight="1" thickBot="1" x14ac:dyDescent="0.3">
      <c r="B34" s="2386" t="s">
        <v>137</v>
      </c>
      <c r="C34" s="1261" t="e">
        <f>SUM(C31:C33)</f>
        <v>#REF!</v>
      </c>
      <c r="D34" s="1261" t="e">
        <f>SUM(D31:D33)</f>
        <v>#REF!</v>
      </c>
      <c r="E34" s="1261">
        <f>SUM(E31:E33)</f>
        <v>11554637.823713334</v>
      </c>
      <c r="F34" s="1261">
        <f>SUM(F31:F33)</f>
        <v>5817351.7304666378</v>
      </c>
      <c r="G34" s="1261">
        <f>SUM(G31:G33)</f>
        <v>5817351.7304666378</v>
      </c>
      <c r="H34" s="2566" t="e">
        <f>SUM(C34/$C$77)</f>
        <v>#REF!</v>
      </c>
      <c r="I34" s="2389" t="e">
        <f>F34/C34</f>
        <v>#REF!</v>
      </c>
      <c r="J34" s="2389">
        <f>G34/E34</f>
        <v>0.50346465369323923</v>
      </c>
      <c r="K34" s="2567">
        <f>+K31+K32+K33</f>
        <v>321.48832783697856</v>
      </c>
      <c r="L34" s="1261" t="s">
        <v>244</v>
      </c>
      <c r="M34" s="2546">
        <f>SUM(M31:M33)</f>
        <v>449956.6183944837</v>
      </c>
      <c r="N34" s="2546">
        <f>SUM(N31:N33)</f>
        <v>7146955.7162090279</v>
      </c>
      <c r="O34" s="2546">
        <f>SUM(O31:O33)</f>
        <v>5807.5213124757902</v>
      </c>
      <c r="P34" s="2568" t="e">
        <f>C34/M34</f>
        <v>#REF!</v>
      </c>
      <c r="Q34" s="2547" t="e">
        <f>C34/N34</f>
        <v>#REF!</v>
      </c>
      <c r="R34" s="2547" t="e">
        <f>C34/O34</f>
        <v>#REF!</v>
      </c>
      <c r="S34" s="2548">
        <f>SUM(S31:S33)</f>
        <v>0</v>
      </c>
      <c r="T34" s="2548">
        <f>SUM(T31:T33)</f>
        <v>0</v>
      </c>
      <c r="U34" s="2548">
        <f>SUM(U31:U33)</f>
        <v>0</v>
      </c>
      <c r="V34" s="2548">
        <f>SUM(V31:V33)</f>
        <v>0</v>
      </c>
      <c r="W34" s="2569">
        <f t="shared" si="9"/>
        <v>46300.536032792377</v>
      </c>
      <c r="X34" s="2569">
        <f t="shared" si="9"/>
        <v>735421.74319790897</v>
      </c>
      <c r="Y34" s="2568" t="e">
        <f>+C34/W34</f>
        <v>#REF!</v>
      </c>
      <c r="Z34" s="2549" t="e">
        <f>+C34/X34</f>
        <v>#REF!</v>
      </c>
    </row>
    <row r="35" spans="2:30" ht="15.75" customHeight="1" thickBot="1" x14ac:dyDescent="0.3">
      <c r="B35" s="2558" t="s">
        <v>132</v>
      </c>
      <c r="C35" s="2506"/>
      <c r="D35" s="2506"/>
      <c r="E35" s="2506"/>
      <c r="F35" s="2506"/>
      <c r="G35" s="2506"/>
      <c r="H35" s="2506"/>
      <c r="I35" s="2506"/>
      <c r="J35" s="2506"/>
      <c r="K35" s="2559"/>
      <c r="L35" s="2506"/>
      <c r="M35" s="2559"/>
      <c r="N35" s="2559"/>
      <c r="O35" s="2559"/>
      <c r="P35" s="2506"/>
      <c r="Q35" s="2506"/>
      <c r="R35" s="2506"/>
      <c r="S35" s="2506"/>
      <c r="T35" s="2506"/>
      <c r="U35" s="2506"/>
      <c r="V35" s="2506"/>
      <c r="W35" s="2506"/>
      <c r="X35" s="2506"/>
      <c r="Y35" s="2506"/>
      <c r="Z35" s="2506"/>
    </row>
    <row r="36" spans="2:30" ht="15.75" hidden="1" customHeight="1" x14ac:dyDescent="0.2">
      <c r="B36" s="1937" t="s">
        <v>128</v>
      </c>
      <c r="C36" s="2561"/>
      <c r="D36" s="2509"/>
      <c r="E36" s="2509"/>
      <c r="F36" s="2509"/>
      <c r="G36" s="2509"/>
      <c r="H36" s="1969"/>
      <c r="I36" s="2510"/>
      <c r="J36" s="2510"/>
      <c r="K36" s="2562"/>
      <c r="L36" s="2511"/>
      <c r="M36" s="2562"/>
      <c r="N36" s="2562"/>
      <c r="O36" s="2562"/>
      <c r="P36" s="1996"/>
      <c r="Q36" s="1926"/>
      <c r="R36" s="1926"/>
      <c r="S36" s="2511"/>
      <c r="T36" s="2511"/>
      <c r="U36" s="2511"/>
      <c r="V36" s="2511"/>
      <c r="W36" s="2146" t="s">
        <v>3</v>
      </c>
      <c r="X36" s="2146" t="s">
        <v>3</v>
      </c>
      <c r="Y36" s="1996" t="s">
        <v>3</v>
      </c>
      <c r="Z36" s="1926" t="s">
        <v>3</v>
      </c>
      <c r="AC36" s="821"/>
      <c r="AD36" s="822"/>
    </row>
    <row r="37" spans="2:30" ht="15.75" customHeight="1" x14ac:dyDescent="0.2">
      <c r="B37" s="1855" t="s">
        <v>129</v>
      </c>
      <c r="C37" s="1108" t="e">
        <f>#REF!</f>
        <v>#REF!</v>
      </c>
      <c r="D37" s="1108" t="e">
        <f>E37-C37</f>
        <v>#REF!</v>
      </c>
      <c r="E37" s="2465">
        <v>3095098.338196103</v>
      </c>
      <c r="F37" s="2465">
        <v>3330414.3985070502</v>
      </c>
      <c r="G37" s="2465">
        <v>3330414.3985070502</v>
      </c>
      <c r="H37" s="1110" t="e">
        <f>SUM(C37/$C$75)</f>
        <v>#REF!</v>
      </c>
      <c r="I37" s="2514" t="e">
        <f>F37/C37</f>
        <v>#REF!</v>
      </c>
      <c r="J37" s="2514">
        <f>G37/E37</f>
        <v>1.0760286215810819</v>
      </c>
      <c r="K37" s="2565">
        <v>39.568776251643477</v>
      </c>
      <c r="L37" s="2516" t="s">
        <v>244</v>
      </c>
      <c r="M37" s="2565">
        <v>317128.96949451399</v>
      </c>
      <c r="N37" s="2565">
        <v>3488128.4756509033</v>
      </c>
      <c r="O37" s="2565">
        <v>2326.1401310216279</v>
      </c>
      <c r="P37" s="1981" t="e">
        <f>C37/M37</f>
        <v>#REF!</v>
      </c>
      <c r="Q37" s="2517" t="e">
        <f>C37/N37</f>
        <v>#REF!</v>
      </c>
      <c r="R37" s="2517" t="e">
        <f t="shared" ref="R37:R48" si="10">C37/O37</f>
        <v>#REF!</v>
      </c>
      <c r="S37" s="2564"/>
      <c r="T37" s="2564"/>
      <c r="U37" s="2564"/>
      <c r="V37" s="2564"/>
      <c r="W37" s="2564">
        <f t="shared" ref="W37:X47" si="11">+(M37*102900+S37*138690+U37*91330)/10^6</f>
        <v>32632.570960985489</v>
      </c>
      <c r="X37" s="2564">
        <f t="shared" si="11"/>
        <v>358928.42014447798</v>
      </c>
      <c r="Y37" s="1981" t="e">
        <f>+C37/W37</f>
        <v>#REF!</v>
      </c>
      <c r="Z37" s="1982" t="e">
        <f>+C37/X37</f>
        <v>#REF!</v>
      </c>
      <c r="AA37" s="706"/>
    </row>
    <row r="38" spans="2:30" ht="15.75" customHeight="1" x14ac:dyDescent="0.2">
      <c r="B38" s="615" t="s">
        <v>130</v>
      </c>
      <c r="C38" s="874" t="e">
        <f>#REF!</f>
        <v>#REF!</v>
      </c>
      <c r="D38" s="874" t="e">
        <f>E38-C38</f>
        <v>#REF!</v>
      </c>
      <c r="E38" s="2465">
        <v>2706098.5939247771</v>
      </c>
      <c r="F38" s="2465">
        <v>3132053.4840570297</v>
      </c>
      <c r="G38" s="2465">
        <v>3132053.4840570297</v>
      </c>
      <c r="H38" s="1115" t="e">
        <f>SUM(C38/$C$76)</f>
        <v>#REF!</v>
      </c>
      <c r="I38" s="1922" t="e">
        <f>F38/C38</f>
        <v>#REF!</v>
      </c>
      <c r="J38" s="1922">
        <f>G38/E38</f>
        <v>1.1574055324844876</v>
      </c>
      <c r="K38" s="2565">
        <v>37.212042914055601</v>
      </c>
      <c r="L38" s="2522" t="s">
        <v>244</v>
      </c>
      <c r="M38" s="2565">
        <v>298240.63163009577</v>
      </c>
      <c r="N38" s="2565">
        <v>3280374.0429114113</v>
      </c>
      <c r="O38" s="2565">
        <v>2187.5952340212311</v>
      </c>
      <c r="P38" s="1925" t="e">
        <f>C38/M38</f>
        <v>#REF!</v>
      </c>
      <c r="Q38" s="2523" t="e">
        <f>C38/N38</f>
        <v>#REF!</v>
      </c>
      <c r="R38" s="2523" t="e">
        <f t="shared" si="10"/>
        <v>#REF!</v>
      </c>
      <c r="S38" s="1923"/>
      <c r="T38" s="1923"/>
      <c r="U38" s="1923"/>
      <c r="V38" s="1923"/>
      <c r="W38" s="1923">
        <f t="shared" si="11"/>
        <v>30688.960994736855</v>
      </c>
      <c r="X38" s="1923">
        <f t="shared" si="11"/>
        <v>337550.48901558423</v>
      </c>
      <c r="Y38" s="1925" t="e">
        <f>+C38/W38</f>
        <v>#REF!</v>
      </c>
      <c r="Z38" s="1989" t="e">
        <f>+C38/X38</f>
        <v>#REF!</v>
      </c>
      <c r="AA38" s="706"/>
    </row>
    <row r="39" spans="2:30" ht="18" customHeight="1" x14ac:dyDescent="0.25">
      <c r="B39" s="2366" t="s">
        <v>617</v>
      </c>
      <c r="C39" s="1105" t="e">
        <f>SUM(C36:C38)</f>
        <v>#REF!</v>
      </c>
      <c r="D39" s="1105" t="e">
        <f>SUM(D36:D38)</f>
        <v>#REF!</v>
      </c>
      <c r="E39" s="1105">
        <f>SUM(E36:E38)</f>
        <v>5801196.9321208801</v>
      </c>
      <c r="F39" s="1105">
        <f>SUM(F36:F38)</f>
        <v>6462467.8825640799</v>
      </c>
      <c r="G39" s="1105">
        <f>SUM(G36:G38)</f>
        <v>6462467.8825640799</v>
      </c>
      <c r="H39" s="2524" t="e">
        <f>SUM(C39/$C$77)</f>
        <v>#REF!</v>
      </c>
      <c r="I39" s="2525" t="e">
        <f>F39/C39</f>
        <v>#REF!</v>
      </c>
      <c r="J39" s="2525">
        <f>G39/E39</f>
        <v>1.1139887092578744</v>
      </c>
      <c r="K39" s="2526">
        <f>+K36+K37+K38</f>
        <v>76.780819165699086</v>
      </c>
      <c r="L39" s="1105" t="s">
        <v>244</v>
      </c>
      <c r="M39" s="2528">
        <f>SUM(M36:M38)</f>
        <v>615369.60112460982</v>
      </c>
      <c r="N39" s="2528">
        <f>SUM(N36:N38)</f>
        <v>6768502.518562315</v>
      </c>
      <c r="O39" s="2528">
        <f>SUM(O36:O38)</f>
        <v>4513.7353650428595</v>
      </c>
      <c r="P39" s="2529" t="e">
        <f>C39/M39</f>
        <v>#REF!</v>
      </c>
      <c r="Q39" s="2534" t="e">
        <f>C39/N39</f>
        <v>#REF!</v>
      </c>
      <c r="R39" s="2534" t="e">
        <f t="shared" si="10"/>
        <v>#REF!</v>
      </c>
      <c r="S39" s="2530">
        <f>SUM(S36:S38)</f>
        <v>0</v>
      </c>
      <c r="T39" s="2530">
        <f>SUM(T36:T38)</f>
        <v>0</v>
      </c>
      <c r="U39" s="2530">
        <f>SUM(U36:U38)</f>
        <v>0</v>
      </c>
      <c r="V39" s="2530">
        <f>SUM(V36:V38)</f>
        <v>0</v>
      </c>
      <c r="W39" s="2531">
        <f t="shared" si="11"/>
        <v>63321.531955722348</v>
      </c>
      <c r="X39" s="2531">
        <f t="shared" si="11"/>
        <v>696478.90916006221</v>
      </c>
      <c r="Y39" s="2529" t="e">
        <f>+C39/W39</f>
        <v>#REF!</v>
      </c>
      <c r="Z39" s="2535" t="e">
        <f>+C39/X39</f>
        <v>#REF!</v>
      </c>
    </row>
    <row r="40" spans="2:30" ht="15.75" hidden="1" customHeight="1" x14ac:dyDescent="0.2">
      <c r="B40" s="615" t="s">
        <v>133</v>
      </c>
      <c r="C40" s="874"/>
      <c r="D40" s="874"/>
      <c r="E40" s="874"/>
      <c r="F40" s="874"/>
      <c r="G40" s="874"/>
      <c r="H40" s="1115"/>
      <c r="I40" s="1922"/>
      <c r="J40" s="1922"/>
      <c r="K40" s="2455"/>
      <c r="L40" s="2522"/>
      <c r="M40" s="2455"/>
      <c r="N40" s="2455"/>
      <c r="O40" s="2455"/>
      <c r="P40" s="1925"/>
      <c r="Q40" s="2523"/>
      <c r="R40" s="2523" t="e">
        <f t="shared" si="10"/>
        <v>#DIV/0!</v>
      </c>
      <c r="S40" s="2522"/>
      <c r="T40" s="2522"/>
      <c r="U40" s="2522"/>
      <c r="V40" s="2522"/>
      <c r="W40" s="1923">
        <f t="shared" si="11"/>
        <v>0</v>
      </c>
      <c r="X40" s="1923">
        <f t="shared" si="11"/>
        <v>0</v>
      </c>
      <c r="Y40" s="1925" t="s">
        <v>3</v>
      </c>
      <c r="Z40" s="1989" t="s">
        <v>3</v>
      </c>
    </row>
    <row r="41" spans="2:30" ht="15.75" customHeight="1" x14ac:dyDescent="0.2">
      <c r="B41" s="615" t="s">
        <v>582</v>
      </c>
      <c r="C41" s="874" t="e">
        <f>#REF!</f>
        <v>#REF!</v>
      </c>
      <c r="D41" s="874" t="e">
        <f>E41-C41</f>
        <v>#REF!</v>
      </c>
      <c r="E41" s="2465" t="e">
        <f>#REF!*(#REF!/#REF!)</f>
        <v>#REF!</v>
      </c>
      <c r="F41" s="2465">
        <v>2318204.1763471612</v>
      </c>
      <c r="G41" s="2465">
        <v>2318204.1763471607</v>
      </c>
      <c r="H41" s="1115" t="e">
        <f>SUM(C41/$C$75)</f>
        <v>#REF!</v>
      </c>
      <c r="I41" s="1922" t="e">
        <f>F41/C41</f>
        <v>#REF!</v>
      </c>
      <c r="J41" s="1922" t="e">
        <f>G41/E41</f>
        <v>#REF!</v>
      </c>
      <c r="K41" s="2565">
        <v>78.25830232379235</v>
      </c>
      <c r="L41" s="1923" t="s">
        <v>244</v>
      </c>
      <c r="M41" s="2565">
        <v>315055.13383607316</v>
      </c>
      <c r="N41" s="2565">
        <v>1614524.5829352234</v>
      </c>
      <c r="O41" s="2565">
        <v>1971.0683831386609</v>
      </c>
      <c r="P41" s="1925" t="e">
        <f>C41/M41</f>
        <v>#REF!</v>
      </c>
      <c r="Q41" s="2523" t="e">
        <f>C41/N41</f>
        <v>#REF!</v>
      </c>
      <c r="R41" s="2523" t="e">
        <f t="shared" si="10"/>
        <v>#REF!</v>
      </c>
      <c r="S41" s="1923"/>
      <c r="T41" s="1923"/>
      <c r="U41" s="1923"/>
      <c r="V41" s="1923"/>
      <c r="W41" s="1923">
        <f t="shared" si="11"/>
        <v>32419.173271731928</v>
      </c>
      <c r="X41" s="1923">
        <f t="shared" si="11"/>
        <v>166134.57958403448</v>
      </c>
      <c r="Y41" s="1925" t="e">
        <f>+C41/W41</f>
        <v>#REF!</v>
      </c>
      <c r="Z41" s="1989" t="e">
        <f>+C41/X41</f>
        <v>#REF!</v>
      </c>
    </row>
    <row r="42" spans="2:30" ht="16.5" customHeight="1" x14ac:dyDescent="0.2">
      <c r="B42" s="615" t="s">
        <v>583</v>
      </c>
      <c r="C42" s="874" t="e">
        <f>#REF!</f>
        <v>#REF!</v>
      </c>
      <c r="D42" s="874" t="e">
        <f>E42-C42</f>
        <v>#REF!</v>
      </c>
      <c r="E42" s="2465">
        <v>729298.6859554965</v>
      </c>
      <c r="F42" s="2465">
        <v>947494.01393872779</v>
      </c>
      <c r="G42" s="2465">
        <v>947494.01393872779</v>
      </c>
      <c r="H42" s="1115" t="e">
        <f>SUM(C42/$C$76)</f>
        <v>#REF!</v>
      </c>
      <c r="I42" s="1922" t="e">
        <f>F42/C42</f>
        <v>#REF!</v>
      </c>
      <c r="J42" s="1922">
        <f>G42/E42</f>
        <v>1.2991851379758912</v>
      </c>
      <c r="K42" s="2565">
        <v>33.933578638451046</v>
      </c>
      <c r="L42" s="1923" t="s">
        <v>244</v>
      </c>
      <c r="M42" s="2565">
        <v>128769.00853518283</v>
      </c>
      <c r="N42" s="2565">
        <v>659886.81812251126</v>
      </c>
      <c r="O42" s="2565">
        <v>854.67486509307514</v>
      </c>
      <c r="P42" s="1925" t="e">
        <f>C42/M42</f>
        <v>#REF!</v>
      </c>
      <c r="Q42" s="2523" t="e">
        <f>C42/N42</f>
        <v>#REF!</v>
      </c>
      <c r="R42" s="2523" t="e">
        <f t="shared" si="10"/>
        <v>#REF!</v>
      </c>
      <c r="S42" s="1923"/>
      <c r="T42" s="1923"/>
      <c r="U42" s="1923"/>
      <c r="V42" s="1923"/>
      <c r="W42" s="1923">
        <f t="shared" si="11"/>
        <v>13250.330978270313</v>
      </c>
      <c r="X42" s="1923">
        <f t="shared" si="11"/>
        <v>67902.353584806406</v>
      </c>
      <c r="Y42" s="1925" t="e">
        <f>+C42/W42</f>
        <v>#REF!</v>
      </c>
      <c r="Z42" s="1989" t="e">
        <f>+C42/X42</f>
        <v>#REF!</v>
      </c>
    </row>
    <row r="43" spans="2:30" ht="19.5" customHeight="1" x14ac:dyDescent="0.25">
      <c r="B43" s="2366" t="s">
        <v>136</v>
      </c>
      <c r="C43" s="1105" t="e">
        <f>SUM(C40:C42)</f>
        <v>#REF!</v>
      </c>
      <c r="D43" s="1105" t="e">
        <f>SUM(D40:D42)</f>
        <v>#REF!</v>
      </c>
      <c r="E43" s="1105" t="e">
        <f>SUM(E40:E42)</f>
        <v>#REF!</v>
      </c>
      <c r="F43" s="1105">
        <f>SUM(F40:F42)</f>
        <v>3265698.190285889</v>
      </c>
      <c r="G43" s="1105">
        <f>SUM(G40:G42)</f>
        <v>3265698.1902858885</v>
      </c>
      <c r="H43" s="2524" t="e">
        <f>SUM(C43/$C$77)</f>
        <v>#REF!</v>
      </c>
      <c r="I43" s="2525" t="e">
        <f>F43/C43</f>
        <v>#REF!</v>
      </c>
      <c r="J43" s="2525" t="e">
        <f>G43/E43</f>
        <v>#REF!</v>
      </c>
      <c r="K43" s="2526">
        <f>SUM(K40:K42)</f>
        <v>112.1918809622434</v>
      </c>
      <c r="L43" s="1105" t="s">
        <v>244</v>
      </c>
      <c r="M43" s="2528">
        <f>SUM(M40:M42)</f>
        <v>443824.14237125602</v>
      </c>
      <c r="N43" s="2528">
        <f>SUM(N40:N42)</f>
        <v>2274411.4010577346</v>
      </c>
      <c r="O43" s="2528">
        <f>SUM(O40:O42)</f>
        <v>2825.7432482317363</v>
      </c>
      <c r="P43" s="2529" t="e">
        <f>C43/M43</f>
        <v>#REF!</v>
      </c>
      <c r="Q43" s="2534" t="e">
        <f>C43/N43</f>
        <v>#REF!</v>
      </c>
      <c r="R43" s="2534" t="e">
        <f t="shared" si="10"/>
        <v>#REF!</v>
      </c>
      <c r="S43" s="2530">
        <f>SUM(S40:S42)</f>
        <v>0</v>
      </c>
      <c r="T43" s="2530">
        <f>SUM(T40:T42)</f>
        <v>0</v>
      </c>
      <c r="U43" s="2530"/>
      <c r="V43" s="2530"/>
      <c r="W43" s="2531">
        <f t="shared" si="11"/>
        <v>45669.504250002246</v>
      </c>
      <c r="X43" s="2531">
        <f t="shared" si="11"/>
        <v>234036.93316884089</v>
      </c>
      <c r="Y43" s="2529" t="e">
        <f>+C43/W43</f>
        <v>#REF!</v>
      </c>
      <c r="Z43" s="2535" t="e">
        <f>+C43/X43</f>
        <v>#REF!</v>
      </c>
    </row>
    <row r="44" spans="2:30" ht="15.75" hidden="1" customHeight="1" x14ac:dyDescent="0.2">
      <c r="B44" s="615" t="s">
        <v>251</v>
      </c>
      <c r="C44" s="874"/>
      <c r="D44" s="874"/>
      <c r="E44" s="874"/>
      <c r="F44" s="874"/>
      <c r="G44" s="874"/>
      <c r="H44" s="1115"/>
      <c r="I44" s="1922"/>
      <c r="J44" s="1922"/>
      <c r="K44" s="2455"/>
      <c r="L44" s="2522"/>
      <c r="M44" s="2455"/>
      <c r="N44" s="2455"/>
      <c r="O44" s="2455"/>
      <c r="P44" s="1925"/>
      <c r="Q44" s="2523"/>
      <c r="R44" s="2523" t="e">
        <f t="shared" si="10"/>
        <v>#DIV/0!</v>
      </c>
      <c r="S44" s="2522"/>
      <c r="T44" s="2522"/>
      <c r="U44" s="2522"/>
      <c r="V44" s="2522"/>
      <c r="W44" s="1923">
        <f t="shared" si="11"/>
        <v>0</v>
      </c>
      <c r="X44" s="1923">
        <f t="shared" si="11"/>
        <v>0</v>
      </c>
      <c r="Y44" s="1925" t="s">
        <v>3</v>
      </c>
      <c r="Z44" s="1989" t="s">
        <v>3</v>
      </c>
    </row>
    <row r="45" spans="2:30" ht="15.75" customHeight="1" x14ac:dyDescent="0.2">
      <c r="B45" s="615" t="s">
        <v>252</v>
      </c>
      <c r="C45" s="874" t="e">
        <f>#REF!</f>
        <v>#REF!</v>
      </c>
      <c r="D45" s="874" t="e">
        <f>E45-C45</f>
        <v>#REF!</v>
      </c>
      <c r="E45" s="2465">
        <v>902069.13925839961</v>
      </c>
      <c r="F45" s="2465">
        <v>532749.36896313459</v>
      </c>
      <c r="G45" s="2465">
        <v>532749.36896313459</v>
      </c>
      <c r="H45" s="1115" t="e">
        <f>SUM(C45/$C$75)</f>
        <v>#REF!</v>
      </c>
      <c r="I45" s="1922" t="e">
        <f>F45/C45</f>
        <v>#REF!</v>
      </c>
      <c r="J45" s="1922">
        <f>G45/E45</f>
        <v>0.59058596040777245</v>
      </c>
      <c r="K45" s="2565">
        <v>50.503095501559208</v>
      </c>
      <c r="L45" s="1923" t="s">
        <v>244</v>
      </c>
      <c r="M45" s="2565">
        <v>45727.222491597146</v>
      </c>
      <c r="N45" s="2565">
        <v>676494.90251679078</v>
      </c>
      <c r="O45" s="2565">
        <v>431.19185788701594</v>
      </c>
      <c r="P45" s="1925" t="e">
        <f>C45/M45</f>
        <v>#REF!</v>
      </c>
      <c r="Q45" s="2523" t="e">
        <f>C45/N45</f>
        <v>#REF!</v>
      </c>
      <c r="R45" s="2523" t="e">
        <f t="shared" si="10"/>
        <v>#REF!</v>
      </c>
      <c r="S45" s="1923"/>
      <c r="T45" s="1923"/>
      <c r="U45" s="1923"/>
      <c r="V45" s="1923"/>
      <c r="W45" s="1923">
        <f t="shared" si="11"/>
        <v>4705.3311943853469</v>
      </c>
      <c r="X45" s="1923">
        <f t="shared" si="11"/>
        <v>69611.325468977768</v>
      </c>
      <c r="Y45" s="1925" t="e">
        <f>+C45/W45</f>
        <v>#REF!</v>
      </c>
      <c r="Z45" s="1989" t="e">
        <f>+C45/X45</f>
        <v>#REF!</v>
      </c>
    </row>
    <row r="46" spans="2:30" ht="15.75" customHeight="1" x14ac:dyDescent="0.2">
      <c r="B46" s="615" t="s">
        <v>253</v>
      </c>
      <c r="C46" s="874" t="e">
        <f>#REF!</f>
        <v>#REF!</v>
      </c>
      <c r="D46" s="874" t="e">
        <f>E46-C46</f>
        <v>#REF!</v>
      </c>
      <c r="E46" s="2465">
        <v>1368124.7322837263</v>
      </c>
      <c r="F46" s="2465">
        <v>897215.00280539063</v>
      </c>
      <c r="G46" s="2465">
        <v>897215.00280539051</v>
      </c>
      <c r="H46" s="1115" t="e">
        <f>SUM(C46/$C$76)</f>
        <v>#REF!</v>
      </c>
      <c r="I46" s="1922" t="e">
        <f>F46/C46</f>
        <v>#REF!</v>
      </c>
      <c r="J46" s="1922">
        <f>G46/E46</f>
        <v>0.65579912535293827</v>
      </c>
      <c r="K46" s="2565">
        <v>84.605295814437767</v>
      </c>
      <c r="L46" s="1923" t="s">
        <v>244</v>
      </c>
      <c r="M46" s="2565">
        <v>77243.712139801763</v>
      </c>
      <c r="N46" s="2565">
        <v>1090725.7661857817</v>
      </c>
      <c r="O46" s="2565">
        <v>657.85932405375002</v>
      </c>
      <c r="P46" s="1925" t="e">
        <f>C46/M46</f>
        <v>#REF!</v>
      </c>
      <c r="Q46" s="2523" t="e">
        <f>C46/N46</f>
        <v>#REF!</v>
      </c>
      <c r="R46" s="2523" t="e">
        <f t="shared" si="10"/>
        <v>#REF!</v>
      </c>
      <c r="S46" s="1923"/>
      <c r="T46" s="1923"/>
      <c r="U46" s="1923"/>
      <c r="V46" s="1923"/>
      <c r="W46" s="1923">
        <f t="shared" si="11"/>
        <v>7948.3779791856014</v>
      </c>
      <c r="X46" s="1923">
        <f t="shared" si="11"/>
        <v>112235.68134051694</v>
      </c>
      <c r="Y46" s="1925" t="e">
        <f>+C46/W46</f>
        <v>#REF!</v>
      </c>
      <c r="Z46" s="1989" t="e">
        <f>+C46/X46</f>
        <v>#REF!</v>
      </c>
    </row>
    <row r="47" spans="2:30" ht="19.5" customHeight="1" x14ac:dyDescent="0.25">
      <c r="B47" s="2366" t="s">
        <v>302</v>
      </c>
      <c r="C47" s="1105" t="e">
        <f>SUM(C44:C46)</f>
        <v>#REF!</v>
      </c>
      <c r="D47" s="1105" t="e">
        <f>SUM(D44:D46)</f>
        <v>#REF!</v>
      </c>
      <c r="E47" s="1105">
        <f>SUM(E44:E46)</f>
        <v>2270193.8715421259</v>
      </c>
      <c r="F47" s="1105">
        <f>SUM(F44:F46)</f>
        <v>1429964.3717685253</v>
      </c>
      <c r="G47" s="1105">
        <f>SUM(G44:G46)</f>
        <v>1429964.3717685251</v>
      </c>
      <c r="H47" s="2524" t="e">
        <f>SUM(C47/$C$77)</f>
        <v>#REF!</v>
      </c>
      <c r="I47" s="2525" t="e">
        <f>F47/C47</f>
        <v>#REF!</v>
      </c>
      <c r="J47" s="2525">
        <f>G47/E47</f>
        <v>0.62988645581937053</v>
      </c>
      <c r="K47" s="2526">
        <f>SUM(K44:K46)</f>
        <v>135.10839131599698</v>
      </c>
      <c r="L47" s="1105" t="s">
        <v>244</v>
      </c>
      <c r="M47" s="2528">
        <f>SUM(M44:M46)</f>
        <v>122970.93463139891</v>
      </c>
      <c r="N47" s="2528">
        <f>SUM(N44:N46)</f>
        <v>1767220.6687025726</v>
      </c>
      <c r="O47" s="2528">
        <f>SUM(O44:O46)</f>
        <v>1089.0511819407659</v>
      </c>
      <c r="P47" s="2529" t="e">
        <f>C47/M47</f>
        <v>#REF!</v>
      </c>
      <c r="Q47" s="2534" t="e">
        <f>C47/N47</f>
        <v>#REF!</v>
      </c>
      <c r="R47" s="2534" t="e">
        <f t="shared" si="10"/>
        <v>#REF!</v>
      </c>
      <c r="S47" s="2530">
        <f>SUM(S44:S46)</f>
        <v>0</v>
      </c>
      <c r="T47" s="2530">
        <f>SUM(T44:T46)</f>
        <v>0</v>
      </c>
      <c r="U47" s="2530">
        <f>SUM(U44:U46)</f>
        <v>0</v>
      </c>
      <c r="V47" s="2530">
        <f>SUM(V44:V46)</f>
        <v>0</v>
      </c>
      <c r="W47" s="2531">
        <f t="shared" si="11"/>
        <v>12653.709173570947</v>
      </c>
      <c r="X47" s="2531">
        <f t="shared" si="11"/>
        <v>181847.00680949472</v>
      </c>
      <c r="Y47" s="2529" t="e">
        <f>+C47/W47</f>
        <v>#REF!</v>
      </c>
      <c r="Z47" s="2535" t="e">
        <f>+C47/X47</f>
        <v>#REF!</v>
      </c>
    </row>
    <row r="48" spans="2:30" ht="15.75" customHeight="1" thickBot="1" x14ac:dyDescent="0.3">
      <c r="B48" s="2386" t="s">
        <v>127</v>
      </c>
      <c r="C48" s="2387" t="e">
        <f>C47+C43+C39+C34</f>
        <v>#REF!</v>
      </c>
      <c r="D48" s="2387" t="e">
        <f>D47+D43+D39+D34</f>
        <v>#REF!</v>
      </c>
      <c r="E48" s="2387" t="e">
        <f>E47+E43+E39+E34</f>
        <v>#REF!</v>
      </c>
      <c r="F48" s="2387">
        <f>F47+F43+F39+F34</f>
        <v>16975482.175085131</v>
      </c>
      <c r="G48" s="2387">
        <f>G47+G43+G39+G34</f>
        <v>16975482.175085131</v>
      </c>
      <c r="H48" s="2388" t="e">
        <f>SUM(C48/C77)</f>
        <v>#REF!</v>
      </c>
      <c r="I48" s="2389" t="e">
        <f>F48/C48</f>
        <v>#REF!</v>
      </c>
      <c r="J48" s="2389" t="e">
        <f>G48/E48</f>
        <v>#REF!</v>
      </c>
      <c r="K48" s="2567">
        <f>K47+K43+K39+K34</f>
        <v>645.56941928091805</v>
      </c>
      <c r="L48" s="1261" t="s">
        <v>244</v>
      </c>
      <c r="M48" s="2570">
        <f>M47+M43+M39+M34</f>
        <v>1632121.2965217484</v>
      </c>
      <c r="N48" s="2571">
        <f>N47+N43+N39+N34</f>
        <v>17957090.304531649</v>
      </c>
      <c r="O48" s="2571">
        <f>O47+O43+O39+O34</f>
        <v>14236.051107691152</v>
      </c>
      <c r="P48" s="2547" t="e">
        <f>C48/M48</f>
        <v>#REF!</v>
      </c>
      <c r="Q48" s="2547" t="e">
        <f>C48/N48</f>
        <v>#REF!</v>
      </c>
      <c r="R48" s="2547" t="e">
        <f t="shared" si="10"/>
        <v>#REF!</v>
      </c>
      <c r="S48" s="2572">
        <f>S47+S43+S39+S34</f>
        <v>0</v>
      </c>
      <c r="T48" s="2573">
        <f>T47+T43+T39+T34</f>
        <v>0</v>
      </c>
      <c r="U48" s="2572"/>
      <c r="V48" s="2573"/>
      <c r="W48" s="2572"/>
      <c r="X48" s="2573"/>
      <c r="Y48" s="2547"/>
      <c r="Z48" s="2549"/>
    </row>
    <row r="49" spans="2:27" ht="15" x14ac:dyDescent="0.2">
      <c r="B49" s="1962"/>
      <c r="C49" s="1963"/>
      <c r="D49" s="1963"/>
      <c r="E49" s="1963"/>
      <c r="F49" s="1963"/>
      <c r="G49" s="1963"/>
      <c r="H49" s="1963"/>
      <c r="I49" s="1963"/>
      <c r="J49" s="1963"/>
      <c r="K49" s="1964"/>
      <c r="L49" s="1963"/>
      <c r="M49" s="1963"/>
      <c r="N49" s="1963"/>
      <c r="O49" s="1963"/>
      <c r="P49" s="1963"/>
      <c r="Q49" s="1963"/>
      <c r="R49" s="1963"/>
      <c r="S49" s="1963"/>
      <c r="T49" s="1963"/>
      <c r="U49" s="1963"/>
      <c r="V49" s="1963"/>
      <c r="W49" s="1963"/>
      <c r="X49" s="1963"/>
      <c r="Y49" s="1963"/>
      <c r="Z49" s="1963"/>
      <c r="AA49" s="201"/>
    </row>
    <row r="50" spans="2:27" ht="16.5" thickBot="1" x14ac:dyDescent="0.3">
      <c r="B50" s="2574" t="s">
        <v>41</v>
      </c>
      <c r="C50" s="2575"/>
      <c r="D50" s="2575"/>
      <c r="E50" s="2575"/>
      <c r="F50" s="2575"/>
      <c r="G50" s="2575"/>
      <c r="H50" s="2575"/>
      <c r="I50" s="2575"/>
      <c r="J50" s="2575"/>
      <c r="K50" s="2575"/>
      <c r="L50" s="2575"/>
      <c r="M50" s="2575"/>
      <c r="N50" s="2575"/>
      <c r="O50" s="2575"/>
      <c r="P50" s="2575"/>
      <c r="Q50" s="2575"/>
      <c r="R50" s="2575"/>
      <c r="S50" s="2575"/>
      <c r="T50" s="2575"/>
      <c r="U50" s="2575"/>
      <c r="V50" s="2575"/>
      <c r="W50" s="2575"/>
      <c r="X50" s="2575"/>
      <c r="Y50" s="2575"/>
      <c r="Z50" s="2575"/>
    </row>
    <row r="51" spans="2:27"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ht="15.75" customHeight="1" x14ac:dyDescent="0.2">
      <c r="B52" s="1107" t="s">
        <v>556</v>
      </c>
      <c r="C52" s="1108" t="e">
        <f>#REF!+#REF!</f>
        <v>#REF!</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ht="15.75" customHeight="1" x14ac:dyDescent="0.2">
      <c r="B53" s="979" t="s">
        <v>557</v>
      </c>
      <c r="C53" s="874" t="e">
        <f>+#REF!+#REF!</f>
        <v>#REF!</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ht="16.5" customHeight="1" x14ac:dyDescent="0.25">
      <c r="B54" s="2366" t="s">
        <v>630</v>
      </c>
      <c r="C54" s="2348" t="e">
        <f>SUM(C51:C53)</f>
        <v>#REF!</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ht="15.75" customHeight="1" x14ac:dyDescent="0.2">
      <c r="B56" s="979" t="s">
        <v>593</v>
      </c>
      <c r="C56" s="1277" t="e">
        <f>#REF!+#REF!+#REF!</f>
        <v>#REF!</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ht="15.75" customHeight="1" x14ac:dyDescent="0.2">
      <c r="B57" s="979" t="s">
        <v>594</v>
      </c>
      <c r="C57" s="1277" t="e">
        <f>#REF!+#REF!+#REF!</f>
        <v>#REF!</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ht="15.75" customHeight="1" x14ac:dyDescent="0.25">
      <c r="B58" s="2366" t="s">
        <v>630</v>
      </c>
      <c r="C58" s="2348" t="e">
        <f>SUM(C55:C57)</f>
        <v>#REF!</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ht="15.75" customHeight="1" thickBot="1" x14ac:dyDescent="0.3">
      <c r="B59" s="2386" t="s">
        <v>90</v>
      </c>
      <c r="C59" s="2387" t="e">
        <f>C54+C58</f>
        <v>#REF!</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ht="15.75" thickBot="1" x14ac:dyDescent="0.25">
      <c r="B60" s="1962"/>
      <c r="C60" s="1963"/>
      <c r="D60" s="1963"/>
      <c r="E60" s="1963"/>
      <c r="F60" s="1963"/>
      <c r="G60" s="1963"/>
      <c r="H60" s="1963"/>
      <c r="I60" s="1963"/>
      <c r="J60" s="1963"/>
      <c r="K60" s="1964"/>
      <c r="L60" s="1963"/>
      <c r="M60" s="1963"/>
      <c r="N60" s="1963"/>
      <c r="O60" s="1963"/>
      <c r="P60" s="1963"/>
      <c r="Q60" s="1963"/>
      <c r="R60" s="1963"/>
      <c r="S60" s="1963"/>
      <c r="T60" s="1963"/>
      <c r="U60" s="1963"/>
      <c r="V60" s="1963"/>
      <c r="W60" s="1963"/>
      <c r="X60" s="1963"/>
      <c r="Y60" s="1963"/>
      <c r="Z60" s="1965"/>
    </row>
    <row r="61" spans="2:27" ht="16.5" thickBot="1" x14ac:dyDescent="0.3">
      <c r="B61" s="1017" t="s">
        <v>28</v>
      </c>
      <c r="C61" s="1962"/>
      <c r="D61" s="1963"/>
      <c r="E61" s="1963"/>
      <c r="F61" s="1963"/>
      <c r="G61" s="1963"/>
      <c r="H61" s="2576"/>
      <c r="I61" s="1963"/>
      <c r="J61" s="1963"/>
      <c r="K61" s="1964"/>
      <c r="L61" s="1963"/>
      <c r="M61" s="1963"/>
      <c r="N61" s="1963"/>
      <c r="O61" s="1963"/>
      <c r="P61" s="2576"/>
      <c r="Q61" s="2576"/>
      <c r="R61" s="1963"/>
      <c r="S61" s="1963"/>
      <c r="T61" s="1963"/>
      <c r="U61" s="1963"/>
      <c r="V61" s="1963"/>
      <c r="W61" s="1963"/>
      <c r="X61" s="1963"/>
      <c r="Y61" s="2576"/>
      <c r="Z61" s="2577"/>
    </row>
    <row r="62" spans="2:27" ht="16.5" hidden="1" thickBot="1" x14ac:dyDescent="0.3">
      <c r="B62" s="2578" t="s">
        <v>91</v>
      </c>
      <c r="C62" s="2579">
        <f>C6+C10+C14+C24</f>
        <v>0</v>
      </c>
      <c r="D62" s="2580">
        <f>D6+D10+D14+D24</f>
        <v>0</v>
      </c>
      <c r="E62" s="2580">
        <f>E6+E10+E14+E24</f>
        <v>0</v>
      </c>
      <c r="F62" s="2580">
        <f>F6+F10+F14+F24</f>
        <v>0</v>
      </c>
      <c r="G62" s="2580">
        <f>G6+G10+G14+G24</f>
        <v>0</v>
      </c>
      <c r="H62" s="1250" t="e">
        <f>SUM(C62/$C$74)</f>
        <v>#DIV/0!</v>
      </c>
      <c r="I62" s="2581"/>
      <c r="J62" s="1121"/>
      <c r="K62" s="2582"/>
      <c r="L62" s="1121"/>
      <c r="M62" s="2583">
        <f>M6+M10+M14+M24</f>
        <v>0</v>
      </c>
      <c r="N62" s="2583">
        <f>N6+N10+N24+N14</f>
        <v>0</v>
      </c>
      <c r="O62" s="2583">
        <f>O6+O10+O14+O24</f>
        <v>0</v>
      </c>
      <c r="P62" s="2118" t="e">
        <f t="shared" ref="P62:P69" si="12">SUM(C62/M62)</f>
        <v>#DIV/0!</v>
      </c>
      <c r="Q62" s="1997" t="e">
        <f t="shared" ref="Q62:R69" si="13">SUM(C62/N62)</f>
        <v>#DIV/0!</v>
      </c>
      <c r="R62" s="1997" t="e">
        <f t="shared" si="13"/>
        <v>#DIV/0!</v>
      </c>
      <c r="S62" s="1121"/>
      <c r="T62" s="1121"/>
      <c r="U62" s="1121"/>
      <c r="V62" s="1121"/>
      <c r="W62" s="2146">
        <f>+(M62*102900+S62*138690+U62*91330)/10^6</f>
        <v>0</v>
      </c>
      <c r="X62" s="2146">
        <f>+(N62*102900+T62*138690+V62*91330)/10^6</f>
        <v>0</v>
      </c>
      <c r="Y62" s="2118" t="s">
        <v>3</v>
      </c>
      <c r="Z62" s="1997" t="s">
        <v>3</v>
      </c>
    </row>
    <row r="63" spans="2:27" ht="15.75" x14ac:dyDescent="0.25">
      <c r="B63" s="2003" t="s">
        <v>92</v>
      </c>
      <c r="C63" s="1108" t="e">
        <f t="shared" ref="C63:G64" si="14">C7+C11+C15+C18+C21+C25</f>
        <v>#REF!</v>
      </c>
      <c r="D63" s="1108" t="e">
        <f t="shared" si="14"/>
        <v>#REF!</v>
      </c>
      <c r="E63" s="1108">
        <f t="shared" si="14"/>
        <v>13113371.976000182</v>
      </c>
      <c r="F63" s="1108" t="e">
        <f t="shared" si="14"/>
        <v>#REF!</v>
      </c>
      <c r="G63" s="1108" t="e">
        <f t="shared" si="14"/>
        <v>#REF!</v>
      </c>
      <c r="H63" s="1977" t="e">
        <f>SUM(C63/$C$75)</f>
        <v>#REF!</v>
      </c>
      <c r="I63" s="1109"/>
      <c r="J63" s="1109"/>
      <c r="K63" s="2584" t="e">
        <f>K7+K11+K15+K18+K21+K25</f>
        <v>#REF!</v>
      </c>
      <c r="L63" s="1109"/>
      <c r="M63" s="1980">
        <f t="shared" ref="M63:O64" si="15">M7+M11+M15+M18+M21+M25</f>
        <v>937876.58973132039</v>
      </c>
      <c r="N63" s="1980">
        <f t="shared" si="15"/>
        <v>17801077.328426629</v>
      </c>
      <c r="O63" s="1980">
        <f t="shared" si="15"/>
        <v>7795.0540392993726</v>
      </c>
      <c r="P63" s="1981" t="e">
        <f t="shared" si="12"/>
        <v>#REF!</v>
      </c>
      <c r="Q63" s="2517" t="e">
        <f t="shared" si="13"/>
        <v>#REF!</v>
      </c>
      <c r="R63" s="2517" t="e">
        <f t="shared" ref="R63:R69" si="16">C63/O63</f>
        <v>#REF!</v>
      </c>
      <c r="S63" s="1980">
        <f t="shared" ref="S63:X64" si="17">S7+S11+S15+S18+S21+S25</f>
        <v>0</v>
      </c>
      <c r="T63" s="1980">
        <f t="shared" si="17"/>
        <v>0</v>
      </c>
      <c r="U63" s="1980">
        <f t="shared" si="17"/>
        <v>0</v>
      </c>
      <c r="V63" s="1980">
        <f t="shared" si="17"/>
        <v>0</v>
      </c>
      <c r="W63" s="2564" t="e">
        <f t="shared" si="17"/>
        <v>#REF!</v>
      </c>
      <c r="X63" s="2564" t="e">
        <f t="shared" si="17"/>
        <v>#REF!</v>
      </c>
      <c r="Y63" s="1981" t="e">
        <f>+C63/W63</f>
        <v>#REF!</v>
      </c>
      <c r="Z63" s="1982" t="e">
        <f>+C63/X63</f>
        <v>#REF!</v>
      </c>
    </row>
    <row r="64" spans="2:27" ht="19.5" customHeight="1" x14ac:dyDescent="0.25">
      <c r="B64" s="2006" t="s">
        <v>93</v>
      </c>
      <c r="C64" s="874" t="e">
        <f t="shared" si="14"/>
        <v>#REF!</v>
      </c>
      <c r="D64" s="874" t="e">
        <f t="shared" si="14"/>
        <v>#REF!</v>
      </c>
      <c r="E64" s="874">
        <f t="shared" si="14"/>
        <v>12464867.805383909</v>
      </c>
      <c r="F64" s="874">
        <f t="shared" si="14"/>
        <v>10207351.100430466</v>
      </c>
      <c r="G64" s="874">
        <f t="shared" si="14"/>
        <v>10624697.977816526</v>
      </c>
      <c r="H64" s="1986" t="e">
        <f>SUM(C64/$C$76)</f>
        <v>#REF!</v>
      </c>
      <c r="I64" s="1114"/>
      <c r="J64" s="1114"/>
      <c r="K64" s="2585">
        <f>K8+K12+K16+K19+K22+K26</f>
        <v>23369.877628773444</v>
      </c>
      <c r="L64" s="1114"/>
      <c r="M64" s="2586">
        <f t="shared" si="15"/>
        <v>904051.05009174184</v>
      </c>
      <c r="N64" s="2586">
        <f t="shared" si="15"/>
        <v>17142654.89867004</v>
      </c>
      <c r="O64" s="2586">
        <f t="shared" si="15"/>
        <v>7397.6722956703043</v>
      </c>
      <c r="P64" s="1925" t="e">
        <f t="shared" si="12"/>
        <v>#REF!</v>
      </c>
      <c r="Q64" s="2523" t="e">
        <f t="shared" si="13"/>
        <v>#REF!</v>
      </c>
      <c r="R64" s="2523" t="e">
        <f t="shared" si="16"/>
        <v>#REF!</v>
      </c>
      <c r="S64" s="2586">
        <f t="shared" si="17"/>
        <v>0</v>
      </c>
      <c r="T64" s="2586">
        <f t="shared" si="17"/>
        <v>0</v>
      </c>
      <c r="U64" s="2586">
        <f t="shared" si="17"/>
        <v>0</v>
      </c>
      <c r="V64" s="2586">
        <f t="shared" si="17"/>
        <v>0</v>
      </c>
      <c r="W64" s="1923">
        <f t="shared" si="17"/>
        <v>93026.853054440217</v>
      </c>
      <c r="X64" s="1923">
        <f t="shared" si="17"/>
        <v>1763979.1890731473</v>
      </c>
      <c r="Y64" s="1925" t="e">
        <f>+C64/W64</f>
        <v>#REF!</v>
      </c>
      <c r="Z64" s="1989" t="e">
        <f>+C64/X64</f>
        <v>#REF!</v>
      </c>
    </row>
    <row r="65" spans="2:26" ht="15.75" x14ac:dyDescent="0.25">
      <c r="B65" s="2366" t="s">
        <v>94</v>
      </c>
      <c r="C65" s="2348" t="e">
        <f>SUM(C62:C64)</f>
        <v>#REF!</v>
      </c>
      <c r="D65" s="2348" t="e">
        <f>SUM(D62:D64)</f>
        <v>#REF!</v>
      </c>
      <c r="E65" s="2348">
        <f>SUM(E62:E64)</f>
        <v>25578239.781384092</v>
      </c>
      <c r="F65" s="2348" t="e">
        <f>SUM(F62:F64)</f>
        <v>#REF!</v>
      </c>
      <c r="G65" s="2348" t="e">
        <f>SUM(G62:G64)</f>
        <v>#REF!</v>
      </c>
      <c r="H65" s="2587" t="e">
        <f>SUM(C65/$C$77)</f>
        <v>#REF!</v>
      </c>
      <c r="I65" s="1114"/>
      <c r="J65" s="1114"/>
      <c r="K65" s="2530" t="e">
        <f>SUM(K62:K64)</f>
        <v>#REF!</v>
      </c>
      <c r="L65" s="1114"/>
      <c r="M65" s="2588">
        <f>SUM(M62:M64)</f>
        <v>1841927.6398230623</v>
      </c>
      <c r="N65" s="2588">
        <f>SUM(N62:N64)</f>
        <v>34943732.227096669</v>
      </c>
      <c r="O65" s="2588">
        <f>SUM(O62:O64)</f>
        <v>15192.726334969677</v>
      </c>
      <c r="P65" s="2529" t="e">
        <f t="shared" si="12"/>
        <v>#REF!</v>
      </c>
      <c r="Q65" s="2534" t="e">
        <f t="shared" si="13"/>
        <v>#REF!</v>
      </c>
      <c r="R65" s="2534" t="e">
        <f t="shared" si="16"/>
        <v>#REF!</v>
      </c>
      <c r="S65" s="2588">
        <f>SUM(S62:S64)</f>
        <v>0</v>
      </c>
      <c r="T65" s="2588">
        <f>SUM(T62:T64)</f>
        <v>0</v>
      </c>
      <c r="U65" s="2588">
        <f>SUM(U62:U64)</f>
        <v>0</v>
      </c>
      <c r="V65" s="2588">
        <f>SUM(V62:V64)</f>
        <v>0</v>
      </c>
      <c r="W65" s="2531">
        <f t="shared" ref="W65:X77" si="18">+(M65*102900+S65*138690+U65*91330)/10^6</f>
        <v>189534.35413779313</v>
      </c>
      <c r="X65" s="2531">
        <f t="shared" si="18"/>
        <v>3595710.0461682472</v>
      </c>
      <c r="Y65" s="2529" t="e">
        <f>+C65/W65</f>
        <v>#REF!</v>
      </c>
      <c r="Z65" s="2535" t="e">
        <f>+C65/X65</f>
        <v>#REF!</v>
      </c>
    </row>
    <row r="66" spans="2:26" ht="15.75" hidden="1" x14ac:dyDescent="0.25">
      <c r="B66" s="2006" t="s">
        <v>95</v>
      </c>
      <c r="C66" s="874">
        <f t="shared" ref="C66:G68" si="19">C31+C36+C40+C44</f>
        <v>0</v>
      </c>
      <c r="D66" s="874">
        <f t="shared" si="19"/>
        <v>0</v>
      </c>
      <c r="E66" s="874">
        <f t="shared" si="19"/>
        <v>0</v>
      </c>
      <c r="F66" s="874">
        <f t="shared" si="19"/>
        <v>0</v>
      </c>
      <c r="G66" s="874">
        <f t="shared" si="19"/>
        <v>0</v>
      </c>
      <c r="H66" s="1986" t="e">
        <f>SUM(C66/$C$74)</f>
        <v>#DIV/0!</v>
      </c>
      <c r="I66" s="1114"/>
      <c r="J66" s="1114"/>
      <c r="K66" s="2585">
        <f>K31+K36+K40+K44</f>
        <v>0</v>
      </c>
      <c r="L66" s="1114"/>
      <c r="M66" s="2586">
        <f t="shared" ref="M66:O68" si="20">M31+M36+M40+M44</f>
        <v>0</v>
      </c>
      <c r="N66" s="2586">
        <f t="shared" si="20"/>
        <v>0</v>
      </c>
      <c r="O66" s="2586">
        <f t="shared" si="20"/>
        <v>0</v>
      </c>
      <c r="P66" s="2008" t="e">
        <f t="shared" si="12"/>
        <v>#DIV/0!</v>
      </c>
      <c r="Q66" s="2008" t="e">
        <f t="shared" si="13"/>
        <v>#DIV/0!</v>
      </c>
      <c r="R66" s="2008" t="e">
        <f t="shared" si="16"/>
        <v>#DIV/0!</v>
      </c>
      <c r="S66" s="1114"/>
      <c r="T66" s="1114"/>
      <c r="U66" s="1114"/>
      <c r="V66" s="1114"/>
      <c r="W66" s="1923">
        <f t="shared" si="18"/>
        <v>0</v>
      </c>
      <c r="X66" s="1923">
        <f t="shared" si="18"/>
        <v>0</v>
      </c>
      <c r="Y66" s="2008" t="s">
        <v>3</v>
      </c>
      <c r="Z66" s="2009" t="s">
        <v>3</v>
      </c>
    </row>
    <row r="67" spans="2:26" ht="15.75" x14ac:dyDescent="0.25">
      <c r="B67" s="2006" t="s">
        <v>96</v>
      </c>
      <c r="C67" s="874" t="e">
        <f t="shared" si="19"/>
        <v>#REF!</v>
      </c>
      <c r="D67" s="874" t="e">
        <f t="shared" si="19"/>
        <v>#REF!</v>
      </c>
      <c r="E67" s="874" t="e">
        <f t="shared" si="19"/>
        <v>#REF!</v>
      </c>
      <c r="F67" s="874">
        <f t="shared" si="19"/>
        <v>9573589.2724722512</v>
      </c>
      <c r="G67" s="874">
        <f t="shared" si="19"/>
        <v>9573589.2724722512</v>
      </c>
      <c r="H67" s="1986" t="e">
        <f>SUM(C67/$C$75)</f>
        <v>#REF!</v>
      </c>
      <c r="I67" s="1114"/>
      <c r="J67" s="1114"/>
      <c r="K67" s="2585">
        <f>K32+K37+K41+K45</f>
        <v>366.49394887888718</v>
      </c>
      <c r="L67" s="1114"/>
      <c r="M67" s="2586">
        <f t="shared" si="20"/>
        <v>940290.5850808929</v>
      </c>
      <c r="N67" s="2586">
        <f t="shared" si="20"/>
        <v>9946689.6087061353</v>
      </c>
      <c r="O67" s="2586">
        <f t="shared" si="20"/>
        <v>8123.210894785253</v>
      </c>
      <c r="P67" s="2008" t="e">
        <f t="shared" si="12"/>
        <v>#REF!</v>
      </c>
      <c r="Q67" s="2008" t="e">
        <f t="shared" si="13"/>
        <v>#REF!</v>
      </c>
      <c r="R67" s="2008" t="e">
        <f t="shared" si="16"/>
        <v>#REF!</v>
      </c>
      <c r="S67" s="2586">
        <f>S32+S37+S41+S45</f>
        <v>0</v>
      </c>
      <c r="T67" s="2586">
        <f>T32+T37+T41+T45</f>
        <v>0</v>
      </c>
      <c r="U67" s="2586"/>
      <c r="V67" s="2586"/>
      <c r="W67" s="1923">
        <f t="shared" si="18"/>
        <v>96755.90120482388</v>
      </c>
      <c r="X67" s="1923">
        <f t="shared" si="18"/>
        <v>1023514.3607358614</v>
      </c>
      <c r="Y67" s="1925" t="e">
        <f>+C67/W67</f>
        <v>#REF!</v>
      </c>
      <c r="Z67" s="1989" t="e">
        <f>+C67/X67</f>
        <v>#REF!</v>
      </c>
    </row>
    <row r="68" spans="2:26" ht="15.75" x14ac:dyDescent="0.25">
      <c r="B68" s="2006" t="s">
        <v>97</v>
      </c>
      <c r="C68" s="874" t="e">
        <f t="shared" si="19"/>
        <v>#REF!</v>
      </c>
      <c r="D68" s="874" t="e">
        <f t="shared" si="19"/>
        <v>#REF!</v>
      </c>
      <c r="E68" s="874">
        <f t="shared" si="19"/>
        <v>10023490.424955567</v>
      </c>
      <c r="F68" s="874">
        <f t="shared" si="19"/>
        <v>7401892.9026128808</v>
      </c>
      <c r="G68" s="874">
        <f t="shared" si="19"/>
        <v>7401892.9026128808</v>
      </c>
      <c r="H68" s="1986" t="e">
        <f>SUM(C68/$C$76)</f>
        <v>#REF!</v>
      </c>
      <c r="I68" s="1114"/>
      <c r="J68" s="1114"/>
      <c r="K68" s="2585">
        <f>K33+K38+K42+K46</f>
        <v>279.07547040203076</v>
      </c>
      <c r="L68" s="1114"/>
      <c r="M68" s="2586">
        <f t="shared" si="20"/>
        <v>691830.7114408554</v>
      </c>
      <c r="N68" s="2586">
        <f t="shared" si="20"/>
        <v>8010400.6958255162</v>
      </c>
      <c r="O68" s="2586">
        <f t="shared" si="20"/>
        <v>6112.8402129058995</v>
      </c>
      <c r="P68" s="2008" t="e">
        <f t="shared" si="12"/>
        <v>#REF!</v>
      </c>
      <c r="Q68" s="2008" t="e">
        <f t="shared" si="13"/>
        <v>#REF!</v>
      </c>
      <c r="R68" s="2008" t="e">
        <f t="shared" si="16"/>
        <v>#REF!</v>
      </c>
      <c r="S68" s="2586">
        <f>S33+S38+S42+S46</f>
        <v>0</v>
      </c>
      <c r="T68" s="2586">
        <f>T33+T38+T42+T46</f>
        <v>0</v>
      </c>
      <c r="U68" s="2586"/>
      <c r="V68" s="2586"/>
      <c r="W68" s="1923">
        <f t="shared" si="18"/>
        <v>71189.380207264025</v>
      </c>
      <c r="X68" s="1923">
        <f t="shared" si="18"/>
        <v>824270.2316004457</v>
      </c>
      <c r="Y68" s="1925" t="e">
        <f>+C68/W68</f>
        <v>#REF!</v>
      </c>
      <c r="Z68" s="1989" t="e">
        <f>+C68/X68</f>
        <v>#REF!</v>
      </c>
    </row>
    <row r="69" spans="2:26" ht="15.75" x14ac:dyDescent="0.25">
      <c r="B69" s="2366" t="s">
        <v>98</v>
      </c>
      <c r="C69" s="2348" t="e">
        <f>SUM(C66:C68)</f>
        <v>#REF!</v>
      </c>
      <c r="D69" s="2348" t="e">
        <f>SUM(D66:D68)</f>
        <v>#REF!</v>
      </c>
      <c r="E69" s="2348" t="e">
        <f>SUM(E66:E68)</f>
        <v>#REF!</v>
      </c>
      <c r="F69" s="2348">
        <f>SUM(F66:F68)</f>
        <v>16975482.175085131</v>
      </c>
      <c r="G69" s="2348">
        <f>SUM(G66:G68)</f>
        <v>16975482.175085131</v>
      </c>
      <c r="H69" s="2587" t="e">
        <f>SUM(C69/$C$77)</f>
        <v>#REF!</v>
      </c>
      <c r="I69" s="1114"/>
      <c r="J69" s="1114"/>
      <c r="K69" s="2530">
        <f>SUM(K66:K68)</f>
        <v>645.56941928091794</v>
      </c>
      <c r="L69" s="1114"/>
      <c r="M69" s="2588">
        <f>SUM(M66:M68)</f>
        <v>1632121.2965217484</v>
      </c>
      <c r="N69" s="2588">
        <f>SUM(N66:N68)</f>
        <v>17957090.304531652</v>
      </c>
      <c r="O69" s="2588">
        <f>SUM(O66:O68)</f>
        <v>14236.051107691153</v>
      </c>
      <c r="P69" s="2589" t="e">
        <f t="shared" si="12"/>
        <v>#REF!</v>
      </c>
      <c r="Q69" s="2589" t="e">
        <f t="shared" si="13"/>
        <v>#REF!</v>
      </c>
      <c r="R69" s="2589" t="e">
        <f t="shared" si="16"/>
        <v>#REF!</v>
      </c>
      <c r="S69" s="2588">
        <f>SUM(S66:S68)</f>
        <v>0</v>
      </c>
      <c r="T69" s="2588">
        <f>SUM(T66:T68)</f>
        <v>0</v>
      </c>
      <c r="U69" s="2588"/>
      <c r="V69" s="2588"/>
      <c r="W69" s="2531">
        <f t="shared" si="18"/>
        <v>167945.28141208793</v>
      </c>
      <c r="X69" s="2531">
        <f t="shared" si="18"/>
        <v>1847784.592336307</v>
      </c>
      <c r="Y69" s="2529" t="e">
        <f>+C69/W69</f>
        <v>#REF!</v>
      </c>
      <c r="Z69" s="2535" t="e">
        <f>+C69/X69</f>
        <v>#REF!</v>
      </c>
    </row>
    <row r="70" spans="2:26" ht="15.75" hidden="1" x14ac:dyDescent="0.25">
      <c r="B70" s="2006" t="s">
        <v>99</v>
      </c>
      <c r="C70" s="874">
        <f>C51+C55</f>
        <v>0</v>
      </c>
      <c r="D70" s="874"/>
      <c r="E70" s="874"/>
      <c r="F70" s="874"/>
      <c r="G70" s="874"/>
      <c r="H70" s="1986" t="e">
        <f>SUM(C70/$C$74)</f>
        <v>#DIV/0!</v>
      </c>
      <c r="I70" s="1114"/>
      <c r="J70" s="1114"/>
      <c r="K70" s="2020"/>
      <c r="L70" s="1114"/>
      <c r="M70" s="2029"/>
      <c r="N70" s="2029"/>
      <c r="O70" s="2029"/>
      <c r="P70" s="2029"/>
      <c r="Q70" s="2008"/>
      <c r="R70" s="2008"/>
      <c r="S70" s="1114"/>
      <c r="T70" s="1114"/>
      <c r="U70" s="1114"/>
      <c r="V70" s="1114"/>
      <c r="W70" s="1923">
        <f t="shared" si="18"/>
        <v>0</v>
      </c>
      <c r="X70" s="1923">
        <f t="shared" si="18"/>
        <v>0</v>
      </c>
      <c r="Y70" s="2029"/>
      <c r="Z70" s="2009"/>
    </row>
    <row r="71" spans="2:26" ht="15.75" x14ac:dyDescent="0.25">
      <c r="B71" s="2006" t="s">
        <v>100</v>
      </c>
      <c r="C71" s="874" t="e">
        <f>C52+C56</f>
        <v>#REF!</v>
      </c>
      <c r="D71" s="874"/>
      <c r="E71" s="874"/>
      <c r="F71" s="874"/>
      <c r="G71" s="874"/>
      <c r="H71" s="1986" t="e">
        <f>SUM(C71/$C$75)</f>
        <v>#REF!</v>
      </c>
      <c r="I71" s="1114"/>
      <c r="J71" s="1114"/>
      <c r="K71" s="2020"/>
      <c r="L71" s="1114"/>
      <c r="M71" s="2029"/>
      <c r="N71" s="2029"/>
      <c r="O71" s="2029"/>
      <c r="P71" s="2029"/>
      <c r="Q71" s="2008"/>
      <c r="R71" s="2008"/>
      <c r="S71" s="1114"/>
      <c r="T71" s="1114"/>
      <c r="U71" s="1114"/>
      <c r="V71" s="1114"/>
      <c r="W71" s="1923">
        <f t="shared" si="18"/>
        <v>0</v>
      </c>
      <c r="X71" s="1923">
        <f t="shared" si="18"/>
        <v>0</v>
      </c>
      <c r="Y71" s="2029"/>
      <c r="Z71" s="2009"/>
    </row>
    <row r="72" spans="2:26" ht="15.75" x14ac:dyDescent="0.25">
      <c r="B72" s="2006" t="s">
        <v>101</v>
      </c>
      <c r="C72" s="874" t="e">
        <f>C53+C57</f>
        <v>#REF!</v>
      </c>
      <c r="D72" s="874"/>
      <c r="E72" s="874"/>
      <c r="F72" s="874"/>
      <c r="G72" s="874"/>
      <c r="H72" s="1986" t="e">
        <f>SUM(C72/$C$76)</f>
        <v>#REF!</v>
      </c>
      <c r="I72" s="1114"/>
      <c r="J72" s="1114"/>
      <c r="K72" s="2020"/>
      <c r="L72" s="1114"/>
      <c r="M72" s="2029"/>
      <c r="N72" s="2029"/>
      <c r="O72" s="2029"/>
      <c r="P72" s="2029"/>
      <c r="Q72" s="2008"/>
      <c r="R72" s="2008"/>
      <c r="S72" s="1114"/>
      <c r="T72" s="1114"/>
      <c r="U72" s="1114"/>
      <c r="V72" s="1114"/>
      <c r="W72" s="1923">
        <f t="shared" si="18"/>
        <v>0</v>
      </c>
      <c r="X72" s="1923">
        <f t="shared" si="18"/>
        <v>0</v>
      </c>
      <c r="Y72" s="2029"/>
      <c r="Z72" s="2009"/>
    </row>
    <row r="73" spans="2:26" ht="15.75" x14ac:dyDescent="0.25">
      <c r="B73" s="2366" t="s">
        <v>102</v>
      </c>
      <c r="C73" s="2348" t="e">
        <f>SUM(C70:C72)</f>
        <v>#REF!</v>
      </c>
      <c r="D73" s="2348">
        <f>SUM(D70:D72)</f>
        <v>0</v>
      </c>
      <c r="E73" s="2348">
        <f>SUM(E70:E72)</f>
        <v>0</v>
      </c>
      <c r="F73" s="2348">
        <f>SUM(F70:F72)</f>
        <v>0</v>
      </c>
      <c r="G73" s="2348">
        <f>SUM(G70:G72)</f>
        <v>0</v>
      </c>
      <c r="H73" s="2587" t="e">
        <f>SUM(C73/$C$77)</f>
        <v>#REF!</v>
      </c>
      <c r="I73" s="1114"/>
      <c r="J73" s="1114"/>
      <c r="K73" s="2585">
        <f>SUM(K70:K72)</f>
        <v>0</v>
      </c>
      <c r="L73" s="1114"/>
      <c r="M73" s="2586">
        <f>SUM(M70:M72)</f>
        <v>0</v>
      </c>
      <c r="N73" s="2586">
        <f>SUM(N70:N72)</f>
        <v>0</v>
      </c>
      <c r="O73" s="2586">
        <f>SUM(O70:O72)</f>
        <v>0</v>
      </c>
      <c r="P73" s="2008"/>
      <c r="Q73" s="2008"/>
      <c r="R73" s="2008"/>
      <c r="S73" s="1114"/>
      <c r="T73" s="1114"/>
      <c r="U73" s="1114"/>
      <c r="V73" s="1114"/>
      <c r="W73" s="2531">
        <f t="shared" si="18"/>
        <v>0</v>
      </c>
      <c r="X73" s="2531">
        <f t="shared" si="18"/>
        <v>0</v>
      </c>
      <c r="Y73" s="2008"/>
      <c r="Z73" s="2009"/>
    </row>
    <row r="74" spans="2:26" ht="15.75" hidden="1" x14ac:dyDescent="0.25">
      <c r="B74" s="2366" t="s">
        <v>103</v>
      </c>
      <c r="C74" s="874">
        <f t="shared" ref="C74:G76" si="21">SUM(C62,C66,C70)</f>
        <v>0</v>
      </c>
      <c r="D74" s="874">
        <f t="shared" si="21"/>
        <v>0</v>
      </c>
      <c r="E74" s="874">
        <f t="shared" si="21"/>
        <v>0</v>
      </c>
      <c r="F74" s="874">
        <f t="shared" si="21"/>
        <v>0</v>
      </c>
      <c r="G74" s="874">
        <f t="shared" si="21"/>
        <v>0</v>
      </c>
      <c r="H74" s="1986" t="e">
        <f>SUM(C74/$C$77)</f>
        <v>#REF!</v>
      </c>
      <c r="I74" s="1114"/>
      <c r="J74" s="1114"/>
      <c r="K74" s="2020">
        <f>SUM(K62,K66,K70)</f>
        <v>0</v>
      </c>
      <c r="L74" s="1114"/>
      <c r="M74" s="2029">
        <f t="shared" ref="M74:N76" si="22">SUM(M62,M66,M70)</f>
        <v>0</v>
      </c>
      <c r="N74" s="2029">
        <f t="shared" si="22"/>
        <v>0</v>
      </c>
      <c r="O74" s="2029">
        <f>SUM(O62,O66,O70)</f>
        <v>0</v>
      </c>
      <c r="P74" s="2008" t="e">
        <f>SUM(C74/M74)</f>
        <v>#DIV/0!</v>
      </c>
      <c r="Q74" s="2008" t="e">
        <f>SUM(C74/N74)</f>
        <v>#DIV/0!</v>
      </c>
      <c r="R74" s="2008" t="e">
        <f>SUM(D74/O74)</f>
        <v>#DIV/0!</v>
      </c>
      <c r="S74" s="1114"/>
      <c r="T74" s="1114"/>
      <c r="U74" s="1114"/>
      <c r="V74" s="1114"/>
      <c r="W74" s="1923">
        <f t="shared" si="18"/>
        <v>0</v>
      </c>
      <c r="X74" s="1923">
        <f t="shared" si="18"/>
        <v>0</v>
      </c>
      <c r="Y74" s="2008"/>
      <c r="Z74" s="2009"/>
    </row>
    <row r="75" spans="2:26" ht="15.75" x14ac:dyDescent="0.25">
      <c r="B75" s="2366" t="s">
        <v>104</v>
      </c>
      <c r="C75" s="874" t="e">
        <f t="shared" si="21"/>
        <v>#REF!</v>
      </c>
      <c r="D75" s="874" t="e">
        <f t="shared" si="21"/>
        <v>#REF!</v>
      </c>
      <c r="E75" s="874" t="e">
        <f t="shared" si="21"/>
        <v>#REF!</v>
      </c>
      <c r="F75" s="874" t="e">
        <f t="shared" si="21"/>
        <v>#REF!</v>
      </c>
      <c r="G75" s="874" t="e">
        <f t="shared" si="21"/>
        <v>#REF!</v>
      </c>
      <c r="H75" s="1986" t="e">
        <f>SUM(C75/$C$77)</f>
        <v>#REF!</v>
      </c>
      <c r="I75" s="1114"/>
      <c r="J75" s="1114"/>
      <c r="K75" s="2020" t="e">
        <f>SUM(K63,K67,K71)</f>
        <v>#REF!</v>
      </c>
      <c r="L75" s="1114"/>
      <c r="M75" s="2029">
        <f t="shared" si="22"/>
        <v>1878167.1748122133</v>
      </c>
      <c r="N75" s="2029">
        <f t="shared" si="22"/>
        <v>27747766.937132765</v>
      </c>
      <c r="O75" s="2029">
        <f>SUM(O63,O67,O71)</f>
        <v>15918.264934084626</v>
      </c>
      <c r="P75" s="2008" t="e">
        <f>SUM(C75/M75)</f>
        <v>#REF!</v>
      </c>
      <c r="Q75" s="2008" t="e">
        <f>SUM(C75/N75)</f>
        <v>#REF!</v>
      </c>
      <c r="R75" s="2008" t="e">
        <f>C75/O75</f>
        <v>#REF!</v>
      </c>
      <c r="S75" s="2029">
        <f t="shared" ref="S75:V76" si="23">SUM(S63,S67,S71)</f>
        <v>0</v>
      </c>
      <c r="T75" s="2029">
        <f t="shared" si="23"/>
        <v>0</v>
      </c>
      <c r="U75" s="2029">
        <f t="shared" si="23"/>
        <v>0</v>
      </c>
      <c r="V75" s="2029">
        <f t="shared" si="23"/>
        <v>0</v>
      </c>
      <c r="W75" s="1923">
        <f t="shared" si="18"/>
        <v>193263.40228817676</v>
      </c>
      <c r="X75" s="1923">
        <f t="shared" si="18"/>
        <v>2855245.2178309616</v>
      </c>
      <c r="Y75" s="1925" t="e">
        <f>+C75/W75</f>
        <v>#REF!</v>
      </c>
      <c r="Z75" s="1989" t="e">
        <f>+C75/X75</f>
        <v>#REF!</v>
      </c>
    </row>
    <row r="76" spans="2:26" ht="15.75" x14ac:dyDescent="0.25">
      <c r="B76" s="2366" t="s">
        <v>105</v>
      </c>
      <c r="C76" s="874" t="e">
        <f t="shared" si="21"/>
        <v>#REF!</v>
      </c>
      <c r="D76" s="874" t="e">
        <f t="shared" si="21"/>
        <v>#REF!</v>
      </c>
      <c r="E76" s="874">
        <f t="shared" si="21"/>
        <v>22488358.230339475</v>
      </c>
      <c r="F76" s="874">
        <f t="shared" si="21"/>
        <v>17609244.003043346</v>
      </c>
      <c r="G76" s="874">
        <f t="shared" si="21"/>
        <v>18026590.880429406</v>
      </c>
      <c r="H76" s="1986" t="e">
        <f>SUM(C76/$C$77)</f>
        <v>#REF!</v>
      </c>
      <c r="I76" s="1114"/>
      <c r="J76" s="1114"/>
      <c r="K76" s="2020">
        <f>SUM(K64,K68,K72)</f>
        <v>23648.953099175473</v>
      </c>
      <c r="L76" s="1114"/>
      <c r="M76" s="2029">
        <f t="shared" si="22"/>
        <v>1595881.7615325972</v>
      </c>
      <c r="N76" s="2029">
        <f t="shared" si="22"/>
        <v>25153055.594495557</v>
      </c>
      <c r="O76" s="2029">
        <f>SUM(O64,O68,O72)</f>
        <v>13510.512508576205</v>
      </c>
      <c r="P76" s="2008" t="e">
        <f>SUM(C76/M76)</f>
        <v>#REF!</v>
      </c>
      <c r="Q76" s="2008" t="e">
        <f>SUM(C76/N76)</f>
        <v>#REF!</v>
      </c>
      <c r="R76" s="2008" t="e">
        <f>C76/O76</f>
        <v>#REF!</v>
      </c>
      <c r="S76" s="2029">
        <f t="shared" si="23"/>
        <v>0</v>
      </c>
      <c r="T76" s="2029">
        <f t="shared" si="23"/>
        <v>0</v>
      </c>
      <c r="U76" s="2029">
        <f t="shared" si="23"/>
        <v>0</v>
      </c>
      <c r="V76" s="2029">
        <f t="shared" si="23"/>
        <v>0</v>
      </c>
      <c r="W76" s="1923">
        <f t="shared" si="18"/>
        <v>164216.23326170424</v>
      </c>
      <c r="X76" s="1923">
        <f t="shared" si="18"/>
        <v>2588249.4206735929</v>
      </c>
      <c r="Y76" s="1925" t="e">
        <f>+C76/W76</f>
        <v>#REF!</v>
      </c>
      <c r="Z76" s="1989" t="e">
        <f>+C76/X76</f>
        <v>#REF!</v>
      </c>
    </row>
    <row r="77" spans="2:26" ht="16.5" thickBot="1" x14ac:dyDescent="0.3">
      <c r="B77" s="2386" t="s">
        <v>106</v>
      </c>
      <c r="C77" s="2387" t="e">
        <f>SUM(C74:C76)</f>
        <v>#REF!</v>
      </c>
      <c r="D77" s="2387" t="e">
        <f>SUM(D74:D76)</f>
        <v>#REF!</v>
      </c>
      <c r="E77" s="2387" t="e">
        <f>SUM(E74:E76)</f>
        <v>#REF!</v>
      </c>
      <c r="F77" s="2387" t="e">
        <f>SUM(F74:F76)</f>
        <v>#REF!</v>
      </c>
      <c r="G77" s="2387" t="e">
        <f>SUM(G74:G76)</f>
        <v>#REF!</v>
      </c>
      <c r="H77" s="2590" t="e">
        <f>SUM(C77/$C$77)</f>
        <v>#REF!</v>
      </c>
      <c r="I77" s="2389" t="e">
        <f>F77/C77</f>
        <v>#REF!</v>
      </c>
      <c r="J77" s="2389" t="e">
        <f>G77/E77</f>
        <v>#REF!</v>
      </c>
      <c r="K77" s="2591" t="e">
        <f>SUM(K74:K76)</f>
        <v>#REF!</v>
      </c>
      <c r="L77" s="2592"/>
      <c r="M77" s="2573">
        <f>SUM(M74:M76)</f>
        <v>3474048.9363448108</v>
      </c>
      <c r="N77" s="2573">
        <f>SUM(N74:N76)</f>
        <v>52900822.531628326</v>
      </c>
      <c r="O77" s="2573">
        <f>SUM(O74:O76)</f>
        <v>29428.77744266083</v>
      </c>
      <c r="P77" s="2547" t="e">
        <f>SUM(C77/M77)</f>
        <v>#REF!</v>
      </c>
      <c r="Q77" s="2547" t="e">
        <f>SUM(C77/N77)</f>
        <v>#REF!</v>
      </c>
      <c r="R77" s="2547" t="e">
        <f>C77/O77</f>
        <v>#REF!</v>
      </c>
      <c r="S77" s="2573">
        <f>SUM(S74:S76)</f>
        <v>0</v>
      </c>
      <c r="T77" s="2573">
        <f>SUM(T74:T76)</f>
        <v>0</v>
      </c>
      <c r="U77" s="2573">
        <f>SUM(U74:U76)</f>
        <v>0</v>
      </c>
      <c r="V77" s="2573">
        <f>SUM(V74:V76)</f>
        <v>0</v>
      </c>
      <c r="W77" s="2569">
        <f t="shared" si="18"/>
        <v>357479.63554988103</v>
      </c>
      <c r="X77" s="2569">
        <f t="shared" si="18"/>
        <v>5443494.6385045545</v>
      </c>
      <c r="Y77" s="2568" t="e">
        <f>+C77/W77</f>
        <v>#REF!</v>
      </c>
      <c r="Z77" s="2549" t="e">
        <f>+C77/X77</f>
        <v>#REF!</v>
      </c>
    </row>
    <row r="78" spans="2:26" x14ac:dyDescent="0.2">
      <c r="C78" s="706"/>
    </row>
    <row r="80" spans="2:26" x14ac:dyDescent="0.2">
      <c r="C80" s="824"/>
    </row>
    <row r="81" spans="3:26" x14ac:dyDescent="0.2">
      <c r="M81" s="2593"/>
    </row>
    <row r="82" spans="3:26" ht="13.5" customHeight="1" x14ac:dyDescent="0.2">
      <c r="M82" s="2593"/>
      <c r="N82" s="2593"/>
    </row>
    <row r="83" spans="3:26" x14ac:dyDescent="0.2">
      <c r="M83" s="2593"/>
      <c r="N83" s="2593"/>
    </row>
    <row r="84" spans="3:26" x14ac:dyDescent="0.2">
      <c r="C84" s="706"/>
      <c r="D84" s="706"/>
      <c r="E84" s="706"/>
      <c r="F84" s="706"/>
      <c r="G84" s="706"/>
      <c r="H84" s="706"/>
      <c r="I84" s="706"/>
      <c r="J84" s="706"/>
      <c r="K84" s="706"/>
      <c r="L84" s="706"/>
      <c r="M84" s="706"/>
      <c r="N84" s="706"/>
      <c r="O84" s="706"/>
      <c r="P84" s="706"/>
      <c r="Q84" s="706"/>
      <c r="R84" s="706"/>
      <c r="S84" s="706"/>
      <c r="T84" s="706"/>
      <c r="U84" s="706"/>
      <c r="V84" s="706"/>
      <c r="W84" s="706"/>
      <c r="X84" s="706"/>
      <c r="Y84" s="706"/>
      <c r="Z84" s="706"/>
    </row>
    <row r="86" spans="3:26" x14ac:dyDescent="0.2">
      <c r="C86" s="706"/>
      <c r="D86" s="706"/>
      <c r="E86" s="706"/>
      <c r="F86" s="706"/>
      <c r="G86" s="706"/>
      <c r="H86" s="706"/>
      <c r="I86" s="706"/>
      <c r="J86" s="706"/>
      <c r="K86" s="706"/>
      <c r="L86" s="706"/>
      <c r="M86" s="706"/>
      <c r="N86" s="706"/>
      <c r="O86" s="706"/>
      <c r="P86" s="706"/>
      <c r="Q86" s="706"/>
      <c r="R86" s="706"/>
    </row>
    <row r="90" spans="3:26" x14ac:dyDescent="0.2">
      <c r="C90" s="259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dimension ref="A1:AD90"/>
  <sheetViews>
    <sheetView zoomScaleNormal="100" workbookViewId="0">
      <pane xSplit="2" ySplit="5" topLeftCell="C6" activePane="bottomRight" state="frozen"/>
      <selection activeCell="C7" sqref="C7"/>
      <selection pane="topRight" activeCell="C7" sqref="C7"/>
      <selection pane="bottomLeft" activeCell="C7" sqref="C7"/>
      <selection pane="bottomRight" activeCell="E7" sqref="E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8" style="321" bestFit="1" customWidth="1"/>
    <col min="7" max="7" width="16.7109375" style="321" customWidth="1"/>
    <col min="8" max="8" width="12.28515625" style="321" hidden="1" customWidth="1"/>
    <col min="9" max="9" width="12.85546875" style="321" customWidth="1"/>
    <col min="10" max="10" width="13.140625" style="321" customWidth="1"/>
    <col min="11" max="11" width="15.28515625" style="819" customWidth="1"/>
    <col min="12" max="12" width="16.42578125" style="321" customWidth="1"/>
    <col min="13" max="13" width="26.7109375" style="321" customWidth="1"/>
    <col min="14" max="14" width="20.140625" style="321" bestFit="1" customWidth="1"/>
    <col min="15" max="15" width="23.140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1:29" s="284" customFormat="1" ht="18" x14ac:dyDescent="0.25">
      <c r="B1" s="2153" t="s">
        <v>78</v>
      </c>
      <c r="C1" s="2153"/>
      <c r="D1" s="2153"/>
      <c r="E1" s="2153"/>
      <c r="F1" s="2153"/>
      <c r="G1" s="2153"/>
      <c r="H1" s="2153"/>
      <c r="I1" s="2153"/>
      <c r="J1" s="2153"/>
      <c r="K1" s="2153"/>
      <c r="L1" s="2153"/>
      <c r="M1" s="2153"/>
      <c r="N1" s="2473"/>
      <c r="O1" s="2153"/>
      <c r="P1" s="2153"/>
      <c r="Q1" s="2153"/>
      <c r="R1" s="2153"/>
      <c r="S1" s="2153"/>
      <c r="T1" s="2153"/>
      <c r="U1" s="2153"/>
      <c r="V1" s="2153"/>
      <c r="W1" s="2153"/>
      <c r="X1" s="2153"/>
      <c r="Y1" s="2153"/>
      <c r="Z1" s="2153"/>
    </row>
    <row r="2" spans="1:29" s="284" customFormat="1" ht="18" customHeight="1" x14ac:dyDescent="0.25">
      <c r="B2" s="2154" t="s">
        <v>692</v>
      </c>
      <c r="C2" s="2154"/>
      <c r="D2" s="2154"/>
      <c r="E2" s="2154"/>
      <c r="F2" s="2154"/>
      <c r="G2" s="2154"/>
      <c r="H2" s="2154"/>
      <c r="I2" s="2154"/>
      <c r="J2" s="2154"/>
      <c r="K2" s="2154"/>
      <c r="L2" s="2154"/>
      <c r="M2" s="2154"/>
      <c r="N2" s="2473" t="e">
        <f>N7/M7</f>
        <v>#REF!</v>
      </c>
      <c r="O2" s="2154"/>
      <c r="P2" s="2154"/>
      <c r="Q2" s="2154"/>
      <c r="R2" s="2154"/>
      <c r="S2" s="2154"/>
      <c r="T2" s="2154"/>
      <c r="U2" s="2154"/>
      <c r="V2" s="2154"/>
      <c r="W2" s="2154"/>
      <c r="X2" s="2154"/>
      <c r="Y2" s="2154"/>
      <c r="Z2" s="2154"/>
    </row>
    <row r="3" spans="1:29" s="284" customFormat="1" ht="13.5" thickBot="1" x14ac:dyDescent="0.25">
      <c r="C3" s="243"/>
      <c r="K3" s="2154"/>
      <c r="N3" s="284" t="e">
        <f>N8/M8</f>
        <v>#REF!</v>
      </c>
    </row>
    <row r="4" spans="1: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1: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1:29" s="284" customFormat="1" ht="19.5" hidden="1" customHeight="1" thickBot="1" x14ac:dyDescent="0.25">
      <c r="B6" s="359" t="s">
        <v>232</v>
      </c>
      <c r="C6" s="2132"/>
      <c r="D6" s="2133"/>
      <c r="E6" s="2133"/>
      <c r="F6" s="2133"/>
      <c r="G6" s="2133"/>
      <c r="H6" s="337"/>
      <c r="I6" s="338"/>
      <c r="J6" s="338"/>
      <c r="K6" s="2119"/>
      <c r="L6" s="2134"/>
      <c r="M6" s="2119"/>
      <c r="N6" s="2119"/>
      <c r="O6" s="2119"/>
      <c r="P6" s="341"/>
      <c r="Q6" s="336"/>
      <c r="R6" s="329"/>
      <c r="S6" s="2119"/>
      <c r="T6" s="2119"/>
      <c r="U6" s="2119"/>
      <c r="V6" s="2119"/>
      <c r="W6" s="2119">
        <f t="shared" ref="W6:W27" si="0">+(M6*102900+S6*138690+U6*91330)/10^6</f>
        <v>0</v>
      </c>
      <c r="X6" s="2119">
        <f t="shared" ref="X6:X27" si="1">+(N6*102900+T6*138690+V6*91330)/10^6</f>
        <v>0</v>
      </c>
      <c r="Y6" s="341" t="s">
        <v>3</v>
      </c>
      <c r="Z6" s="336" t="s">
        <v>3</v>
      </c>
    </row>
    <row r="7" spans="1:29" s="2060" customFormat="1" ht="18" customHeight="1" x14ac:dyDescent="0.2">
      <c r="A7" s="2072"/>
      <c r="B7" s="2290" t="s">
        <v>233</v>
      </c>
      <c r="C7" s="2354" t="e">
        <f>'CNG Table A'!#REF!</f>
        <v>#REF!</v>
      </c>
      <c r="D7" s="2291" t="e">
        <f>E7-C7</f>
        <v>#REF!</v>
      </c>
      <c r="E7" s="2461" t="e">
        <f>#REF!*1000</f>
        <v>#REF!</v>
      </c>
      <c r="F7" s="2461" t="e">
        <f>#REF!*1000</f>
        <v>#REF!</v>
      </c>
      <c r="G7" s="2461" t="e">
        <f>#REF!*1000</f>
        <v>#REF!</v>
      </c>
      <c r="H7" s="401" t="e">
        <f>#REF!*1000</f>
        <v>#REF!</v>
      </c>
      <c r="I7" s="2137" t="e">
        <f>F7/C7</f>
        <v>#REF!</v>
      </c>
      <c r="J7" s="2137" t="e">
        <f>G7/E7</f>
        <v>#REF!</v>
      </c>
      <c r="K7" s="2462" t="e">
        <f>#REF!</f>
        <v>#REF!</v>
      </c>
      <c r="L7" s="354" t="s">
        <v>241</v>
      </c>
      <c r="M7" s="2462" t="e">
        <f>#REF!</f>
        <v>#REF!</v>
      </c>
      <c r="N7" s="2462" t="e">
        <f>#REF!</f>
        <v>#REF!</v>
      </c>
      <c r="O7" s="2462" t="e">
        <f>#REF!</f>
        <v>#REF!</v>
      </c>
      <c r="P7" s="2120" t="e">
        <f>C7/M7</f>
        <v>#REF!</v>
      </c>
      <c r="Q7" s="2378" t="e">
        <f>C7/N7</f>
        <v>#REF!</v>
      </c>
      <c r="R7" s="2378" t="e">
        <f>C7/O7</f>
        <v>#REF!</v>
      </c>
      <c r="S7" s="2357"/>
      <c r="T7" s="2357"/>
      <c r="U7" s="2357"/>
      <c r="V7" s="2357"/>
      <c r="W7" s="2357" t="e">
        <f t="shared" si="0"/>
        <v>#REF!</v>
      </c>
      <c r="X7" s="2357" t="e">
        <f t="shared" si="1"/>
        <v>#REF!</v>
      </c>
      <c r="Y7" s="2359" t="e">
        <f>+C7/W7</f>
        <v>#REF!</v>
      </c>
      <c r="Z7" s="2361" t="e">
        <f>+C7/X7</f>
        <v>#REF!</v>
      </c>
    </row>
    <row r="8" spans="1:29" s="2060" customFormat="1" ht="20.25" customHeight="1" x14ac:dyDescent="0.2">
      <c r="A8" s="2072"/>
      <c r="B8" s="2202" t="s">
        <v>234</v>
      </c>
      <c r="C8" s="2200" t="e">
        <f>'SCG Table A'!#REF!</f>
        <v>#REF!</v>
      </c>
      <c r="D8" s="2052" t="e">
        <f>E8-C8</f>
        <v>#REF!</v>
      </c>
      <c r="E8" s="2461" t="e">
        <v>#REF!</v>
      </c>
      <c r="F8" s="2461" t="e">
        <v>#REF!</v>
      </c>
      <c r="G8" s="2461" t="e">
        <v>#REF!</v>
      </c>
      <c r="H8" s="332" t="e">
        <f>SUM(C8/$C$76)</f>
        <v>#REF!</v>
      </c>
      <c r="I8" s="333" t="e">
        <f>F8/C8</f>
        <v>#REF!</v>
      </c>
      <c r="J8" s="333" t="e">
        <f>G8/E8</f>
        <v>#REF!</v>
      </c>
      <c r="K8" s="2462" t="e">
        <v>#REF!</v>
      </c>
      <c r="L8" s="2337" t="s">
        <v>241</v>
      </c>
      <c r="M8" s="2462" t="e">
        <v>#REF!</v>
      </c>
      <c r="N8" s="2462" t="e">
        <v>#REF!</v>
      </c>
      <c r="O8" s="2462" t="e">
        <v>#REF!</v>
      </c>
      <c r="P8" s="335" t="e">
        <f>C8/M8</f>
        <v>#REF!</v>
      </c>
      <c r="Q8" s="2338" t="e">
        <f>C8/N8</f>
        <v>#REF!</v>
      </c>
      <c r="R8" s="2338" t="e">
        <f t="shared" ref="R8:R28" si="2">C8/O8</f>
        <v>#REF!</v>
      </c>
      <c r="S8" s="2055"/>
      <c r="T8" s="2055"/>
      <c r="U8" s="2055"/>
      <c r="V8" s="2055"/>
      <c r="W8" s="2055" t="e">
        <f t="shared" si="0"/>
        <v>#REF!</v>
      </c>
      <c r="X8" s="2055" t="e">
        <f t="shared" si="1"/>
        <v>#REF!</v>
      </c>
      <c r="Y8" s="2057" t="e">
        <f>+C8/W8</f>
        <v>#REF!</v>
      </c>
      <c r="Z8" s="2362" t="e">
        <f>+C8/X8</f>
        <v>#REF!</v>
      </c>
    </row>
    <row r="9" spans="1:29" ht="17.25" customHeight="1" x14ac:dyDescent="0.25">
      <c r="B9" s="2363" t="s">
        <v>235</v>
      </c>
      <c r="C9" s="2330" t="e">
        <f>SUM(C6:C8)</f>
        <v>#REF!</v>
      </c>
      <c r="D9" s="2330" t="e">
        <f>SUM(D6:D8)</f>
        <v>#REF!</v>
      </c>
      <c r="E9" s="2330" t="e">
        <f>SUM(E6:E8)</f>
        <v>#REF!</v>
      </c>
      <c r="F9" s="2330" t="e">
        <f>SUM(F6:F8)</f>
        <v>#REF!</v>
      </c>
      <c r="G9" s="2330" t="e">
        <f>SUM(G6:G8)</f>
        <v>#REF!</v>
      </c>
      <c r="H9" s="2331" t="e">
        <f>SUM(C9/$C$77)</f>
        <v>#REF!</v>
      </c>
      <c r="I9" s="2332" t="e">
        <f>F9/C9</f>
        <v>#REF!</v>
      </c>
      <c r="J9" s="2332" t="e">
        <f>G9/E9</f>
        <v>#REF!</v>
      </c>
      <c r="K9" s="2439" t="e">
        <f>SUM(K6:K8)</f>
        <v>#REF!</v>
      </c>
      <c r="L9" s="2334" t="s">
        <v>241</v>
      </c>
      <c r="M9" s="2447" t="e">
        <f>SUM(M6:M8)</f>
        <v>#REF!</v>
      </c>
      <c r="N9" s="2447" t="e">
        <f>SUM(N6:N8)</f>
        <v>#REF!</v>
      </c>
      <c r="O9" s="2447" t="e">
        <f>SUM(O6:O8)</f>
        <v>#REF!</v>
      </c>
      <c r="P9" s="2336" t="e">
        <f>C9/M9</f>
        <v>#REF!</v>
      </c>
      <c r="Q9" s="2336" t="e">
        <f>C9/N9</f>
        <v>#REF!</v>
      </c>
      <c r="R9" s="2336" t="e">
        <f t="shared" si="2"/>
        <v>#REF!</v>
      </c>
      <c r="S9" s="2335">
        <f>SUM(S6:S8)</f>
        <v>0</v>
      </c>
      <c r="T9" s="2335">
        <f>SUM(T6:T8)</f>
        <v>0</v>
      </c>
      <c r="U9" s="2335"/>
      <c r="V9" s="2335"/>
      <c r="W9" s="2333" t="e">
        <f t="shared" si="0"/>
        <v>#REF!</v>
      </c>
      <c r="X9" s="2333" t="e">
        <f t="shared" si="1"/>
        <v>#REF!</v>
      </c>
      <c r="Y9" s="2336" t="e">
        <f>+C9/W9</f>
        <v>#REF!</v>
      </c>
      <c r="Z9" s="2364" t="e">
        <f>+C9/X9</f>
        <v>#REF!</v>
      </c>
      <c r="AB9" s="704"/>
    </row>
    <row r="10" spans="1:29" s="284" customFormat="1" ht="15" hidden="1" x14ac:dyDescent="0.2">
      <c r="B10" s="330" t="s">
        <v>139</v>
      </c>
      <c r="C10" s="331"/>
      <c r="D10" s="331"/>
      <c r="E10" s="331"/>
      <c r="F10" s="331"/>
      <c r="G10" s="331"/>
      <c r="H10" s="332"/>
      <c r="I10" s="333"/>
      <c r="J10" s="333"/>
      <c r="K10" s="2438"/>
      <c r="L10" s="2337"/>
      <c r="M10" s="2438"/>
      <c r="N10" s="2438"/>
      <c r="O10" s="2438"/>
      <c r="P10" s="335"/>
      <c r="Q10" s="2338"/>
      <c r="R10" s="2338" t="e">
        <f t="shared" si="2"/>
        <v>#DIV/0!</v>
      </c>
      <c r="S10" s="804"/>
      <c r="T10" s="804"/>
      <c r="U10" s="804"/>
      <c r="V10" s="804"/>
      <c r="W10" s="804">
        <f t="shared" si="0"/>
        <v>0</v>
      </c>
      <c r="X10" s="804">
        <f t="shared" si="1"/>
        <v>0</v>
      </c>
      <c r="Y10" s="335" t="s">
        <v>3</v>
      </c>
      <c r="Z10" s="358" t="s">
        <v>3</v>
      </c>
      <c r="AA10" s="393"/>
      <c r="AB10" s="797"/>
    </row>
    <row r="11" spans="1:29" s="2060" customFormat="1" ht="15" x14ac:dyDescent="0.2">
      <c r="B11" s="2202" t="s">
        <v>140</v>
      </c>
      <c r="C11" s="2052" t="e">
        <f>'CNG Table A'!#REF!</f>
        <v>#REF!</v>
      </c>
      <c r="D11" s="2052" t="e">
        <f>E11-C11</f>
        <v>#REF!</v>
      </c>
      <c r="E11" s="2461" t="e">
        <f>#REF!*1000</f>
        <v>#REF!</v>
      </c>
      <c r="F11" s="2461" t="e">
        <f>#REF!*1000</f>
        <v>#REF!</v>
      </c>
      <c r="G11" s="2461" t="e">
        <f>#REF!*1000</f>
        <v>#REF!</v>
      </c>
      <c r="H11" s="332" t="e">
        <f>SUM(C11/$C$75)</f>
        <v>#REF!</v>
      </c>
      <c r="I11" s="333" t="e">
        <f>F11/C11</f>
        <v>#REF!</v>
      </c>
      <c r="J11" s="333" t="e">
        <f>G11/E11</f>
        <v>#REF!</v>
      </c>
      <c r="K11" s="2462" t="e">
        <f>#REF!</f>
        <v>#REF!</v>
      </c>
      <c r="L11" s="2337" t="s">
        <v>241</v>
      </c>
      <c r="M11" s="2462" t="e">
        <f>#REF!</f>
        <v>#REF!</v>
      </c>
      <c r="N11" s="2462" t="e">
        <f>#REF!</f>
        <v>#REF!</v>
      </c>
      <c r="O11" s="2462" t="e">
        <f>#REF!</f>
        <v>#REF!</v>
      </c>
      <c r="P11" s="335" t="e">
        <f>C11/M11</f>
        <v>#REF!</v>
      </c>
      <c r="Q11" s="2338" t="e">
        <f>C11/N11</f>
        <v>#REF!</v>
      </c>
      <c r="R11" s="2338" t="e">
        <f t="shared" si="2"/>
        <v>#REF!</v>
      </c>
      <c r="S11" s="2055">
        <v>0</v>
      </c>
      <c r="T11" s="2055">
        <v>0</v>
      </c>
      <c r="U11" s="2055">
        <v>0</v>
      </c>
      <c r="V11" s="2055">
        <v>0</v>
      </c>
      <c r="W11" s="2055" t="e">
        <f t="shared" si="0"/>
        <v>#REF!</v>
      </c>
      <c r="X11" s="2055" t="e">
        <f t="shared" si="1"/>
        <v>#REF!</v>
      </c>
      <c r="Y11" s="2057" t="e">
        <f>+C11/W11</f>
        <v>#REF!</v>
      </c>
      <c r="Z11" s="2362" t="e">
        <f>+C11/X11</f>
        <v>#REF!</v>
      </c>
      <c r="AA11" s="2072"/>
      <c r="AB11" s="2203"/>
      <c r="AC11" s="2072"/>
    </row>
    <row r="12" spans="1:29" s="2060" customFormat="1" ht="15" x14ac:dyDescent="0.2">
      <c r="B12" s="2202" t="s">
        <v>141</v>
      </c>
      <c r="C12" s="2052" t="e">
        <f>'SCG Table A'!#REF!</f>
        <v>#REF!</v>
      </c>
      <c r="D12" s="2052" t="e">
        <f>E12-C12</f>
        <v>#REF!</v>
      </c>
      <c r="E12" s="2461" t="e">
        <v>#REF!</v>
      </c>
      <c r="F12" s="2461" t="e">
        <v>#REF!</v>
      </c>
      <c r="G12" s="2461" t="e">
        <v>#REF!</v>
      </c>
      <c r="H12" s="332" t="e">
        <f>SUM(C12/$C$76)</f>
        <v>#REF!</v>
      </c>
      <c r="I12" s="333" t="e">
        <f>F12/C12</f>
        <v>#REF!</v>
      </c>
      <c r="J12" s="333" t="e">
        <f>G12/E12</f>
        <v>#REF!</v>
      </c>
      <c r="K12" s="2462" t="e">
        <v>#REF!</v>
      </c>
      <c r="L12" s="2337" t="s">
        <v>241</v>
      </c>
      <c r="M12" s="2462" t="e">
        <v>#REF!</v>
      </c>
      <c r="N12" s="2462" t="e">
        <v>#REF!</v>
      </c>
      <c r="O12" s="2462" t="e">
        <v>#REF!</v>
      </c>
      <c r="P12" s="335" t="e">
        <f>C12/M12</f>
        <v>#REF!</v>
      </c>
      <c r="Q12" s="2338" t="e">
        <f>C12/N12</f>
        <v>#REF!</v>
      </c>
      <c r="R12" s="2338" t="e">
        <f t="shared" si="2"/>
        <v>#REF!</v>
      </c>
      <c r="S12" s="2055"/>
      <c r="T12" s="2055"/>
      <c r="U12" s="2055"/>
      <c r="V12" s="2055"/>
      <c r="W12" s="2055" t="e">
        <f>+(M12*102900+S12*138690+U12*91330)/10^6</f>
        <v>#REF!</v>
      </c>
      <c r="X12" s="2055" t="e">
        <f>+(N12*102900+T12*138690+V12*91330)/10^6</f>
        <v>#REF!</v>
      </c>
      <c r="Y12" s="2057" t="e">
        <f>+C12/W12</f>
        <v>#REF!</v>
      </c>
      <c r="Z12" s="2362" t="e">
        <f>+C12/X12</f>
        <v>#REF!</v>
      </c>
      <c r="AA12" s="2072"/>
      <c r="AB12" s="2203"/>
      <c r="AC12" s="2072"/>
    </row>
    <row r="13" spans="1:29" ht="17.25" customHeight="1" x14ac:dyDescent="0.25">
      <c r="B13" s="2363" t="s">
        <v>146</v>
      </c>
      <c r="C13" s="2330" t="e">
        <f>SUM(C10:C12)</f>
        <v>#REF!</v>
      </c>
      <c r="D13" s="2330" t="e">
        <f>SUM(D10:D12)</f>
        <v>#REF!</v>
      </c>
      <c r="E13" s="2330" t="e">
        <f>SUM(E10:E12)</f>
        <v>#REF!</v>
      </c>
      <c r="F13" s="2330" t="e">
        <f>SUM(F10:F12)</f>
        <v>#REF!</v>
      </c>
      <c r="G13" s="2330" t="e">
        <f>SUM(G10:G12)</f>
        <v>#REF!</v>
      </c>
      <c r="H13" s="2331" t="e">
        <f>SUM(C13/$C$77)</f>
        <v>#REF!</v>
      </c>
      <c r="I13" s="2332" t="e">
        <f>F13/C13</f>
        <v>#REF!</v>
      </c>
      <c r="J13" s="2332" t="e">
        <f>G13/E13</f>
        <v>#REF!</v>
      </c>
      <c r="K13" s="2439" t="e">
        <f>SUM(K10:K12)</f>
        <v>#REF!</v>
      </c>
      <c r="L13" s="2334" t="s">
        <v>241</v>
      </c>
      <c r="M13" s="2447" t="e">
        <f>SUM(M10:M12)</f>
        <v>#REF!</v>
      </c>
      <c r="N13" s="2447" t="e">
        <f>SUM(N10:N12)</f>
        <v>#REF!</v>
      </c>
      <c r="O13" s="2447" t="e">
        <f>SUM(O10:O12)</f>
        <v>#REF!</v>
      </c>
      <c r="P13" s="2336" t="e">
        <f>C13/M13</f>
        <v>#REF!</v>
      </c>
      <c r="Q13" s="2339" t="e">
        <f>C13/N13</f>
        <v>#REF!</v>
      </c>
      <c r="R13" s="2339" t="e">
        <f t="shared" si="2"/>
        <v>#REF!</v>
      </c>
      <c r="S13" s="2335">
        <f>SUM(S10:S12)</f>
        <v>0</v>
      </c>
      <c r="T13" s="2335">
        <f>SUM(T10:T12)</f>
        <v>0</v>
      </c>
      <c r="U13" s="2335">
        <f>SUM(U10:U12)</f>
        <v>0</v>
      </c>
      <c r="V13" s="2335">
        <f>SUM(V10:V12)</f>
        <v>0</v>
      </c>
      <c r="W13" s="2333" t="e">
        <f t="shared" si="0"/>
        <v>#REF!</v>
      </c>
      <c r="X13" s="2333" t="e">
        <f t="shared" si="1"/>
        <v>#REF!</v>
      </c>
      <c r="Y13" s="2336" t="e">
        <f>+C13/W13</f>
        <v>#REF!</v>
      </c>
      <c r="Z13" s="2365" t="e">
        <f>+C13/X13</f>
        <v>#REF!</v>
      </c>
    </row>
    <row r="14" spans="1:29" s="284" customFormat="1" ht="15.75" hidden="1" customHeight="1" x14ac:dyDescent="0.2">
      <c r="B14" s="330" t="s">
        <v>169</v>
      </c>
      <c r="C14" s="331"/>
      <c r="D14" s="331"/>
      <c r="E14" s="331"/>
      <c r="F14" s="331"/>
      <c r="G14" s="331"/>
      <c r="H14" s="332"/>
      <c r="I14" s="333"/>
      <c r="J14" s="333"/>
      <c r="K14" s="2438"/>
      <c r="L14" s="2337"/>
      <c r="M14" s="2438"/>
      <c r="N14" s="2438"/>
      <c r="O14" s="2438"/>
      <c r="P14" s="335"/>
      <c r="Q14" s="2338"/>
      <c r="R14" s="2338" t="e">
        <f t="shared" si="2"/>
        <v>#DIV/0!</v>
      </c>
      <c r="S14" s="804"/>
      <c r="T14" s="804"/>
      <c r="U14" s="804"/>
      <c r="V14" s="804"/>
      <c r="W14" s="804">
        <f t="shared" si="0"/>
        <v>0</v>
      </c>
      <c r="X14" s="804">
        <f t="shared" si="1"/>
        <v>0</v>
      </c>
      <c r="Y14" s="335" t="s">
        <v>3</v>
      </c>
      <c r="Z14" s="358" t="s">
        <v>3</v>
      </c>
    </row>
    <row r="15" spans="1:29" s="284" customFormat="1" ht="30" x14ac:dyDescent="0.2">
      <c r="B15" s="2073" t="s">
        <v>597</v>
      </c>
      <c r="C15" s="2052" t="e">
        <f>'CNG Table A'!#REF!</f>
        <v>#REF!</v>
      </c>
      <c r="D15" s="2052" t="e">
        <f>E15-C15</f>
        <v>#REF!</v>
      </c>
      <c r="E15" s="2461" t="e">
        <f>#REF!*1000</f>
        <v>#REF!</v>
      </c>
      <c r="F15" s="2461" t="e">
        <f>#REF!*1000</f>
        <v>#REF!</v>
      </c>
      <c r="G15" s="2461" t="e">
        <f>#REF!*1000</f>
        <v>#REF!</v>
      </c>
      <c r="H15" s="332" t="e">
        <f>SUM(C15/$C$75)</f>
        <v>#REF!</v>
      </c>
      <c r="I15" s="333" t="e">
        <f>F15/C15</f>
        <v>#REF!</v>
      </c>
      <c r="J15" s="333" t="e">
        <f>G15/E15</f>
        <v>#REF!</v>
      </c>
      <c r="K15" s="2462" t="e">
        <f>#REF!</f>
        <v>#REF!</v>
      </c>
      <c r="L15" s="2337" t="s">
        <v>572</v>
      </c>
      <c r="M15" s="2462" t="e">
        <f>#REF!</f>
        <v>#REF!</v>
      </c>
      <c r="N15" s="2462" t="e">
        <f>#REF!</f>
        <v>#REF!</v>
      </c>
      <c r="O15" s="2462" t="e">
        <f>#REF!</f>
        <v>#REF!</v>
      </c>
      <c r="P15" s="335" t="e">
        <f t="shared" ref="P15:P23" si="3">C15/M15</f>
        <v>#REF!</v>
      </c>
      <c r="Q15" s="2338" t="e">
        <f t="shared" ref="Q15:Q23" si="4">C15/N15</f>
        <v>#REF!</v>
      </c>
      <c r="R15" s="2338" t="e">
        <f t="shared" si="2"/>
        <v>#REF!</v>
      </c>
      <c r="S15" s="804"/>
      <c r="T15" s="804"/>
      <c r="U15" s="804"/>
      <c r="V15" s="804"/>
      <c r="W15" s="2055" t="e">
        <f t="shared" si="0"/>
        <v>#REF!</v>
      </c>
      <c r="X15" s="2055" t="e">
        <f t="shared" si="1"/>
        <v>#REF!</v>
      </c>
      <c r="Y15" s="2057" t="e">
        <f t="shared" ref="Y15:Y20" si="5">+C15/W15</f>
        <v>#REF!</v>
      </c>
      <c r="Z15" s="2362" t="e">
        <f>+C15/X15</f>
        <v>#REF!</v>
      </c>
    </row>
    <row r="16" spans="1:29" s="284" customFormat="1" ht="30" x14ac:dyDescent="0.2">
      <c r="B16" s="2073" t="s">
        <v>598</v>
      </c>
      <c r="C16" s="2052" t="e">
        <f>'SCG Table A'!#REF!</f>
        <v>#REF!</v>
      </c>
      <c r="D16" s="2052" t="e">
        <f>E16-C16</f>
        <v>#REF!</v>
      </c>
      <c r="E16" s="2461" t="e">
        <v>#REF!</v>
      </c>
      <c r="F16" s="2461" t="e">
        <v>#REF!</v>
      </c>
      <c r="G16" s="2461" t="e">
        <v>#REF!</v>
      </c>
      <c r="H16" s="332" t="e">
        <f>SUM(C16/$C$76)</f>
        <v>#REF!</v>
      </c>
      <c r="I16" s="333" t="e">
        <f>F16/C16</f>
        <v>#REF!</v>
      </c>
      <c r="J16" s="333" t="e">
        <f>G16/E16</f>
        <v>#REF!</v>
      </c>
      <c r="K16" s="2462" t="e">
        <v>#REF!</v>
      </c>
      <c r="L16" s="2337" t="s">
        <v>572</v>
      </c>
      <c r="M16" s="2462" t="e">
        <v>#REF!</v>
      </c>
      <c r="N16" s="2462" t="e">
        <v>#REF!</v>
      </c>
      <c r="O16" s="2462" t="e">
        <v>#REF!</v>
      </c>
      <c r="P16" s="335" t="e">
        <f t="shared" si="3"/>
        <v>#REF!</v>
      </c>
      <c r="Q16" s="2338" t="e">
        <f t="shared" si="4"/>
        <v>#REF!</v>
      </c>
      <c r="R16" s="2338" t="e">
        <f t="shared" si="2"/>
        <v>#REF!</v>
      </c>
      <c r="S16" s="804"/>
      <c r="T16" s="804"/>
      <c r="U16" s="804"/>
      <c r="V16" s="804"/>
      <c r="W16" s="2055" t="e">
        <f t="shared" si="0"/>
        <v>#REF!</v>
      </c>
      <c r="X16" s="2055" t="e">
        <f t="shared" si="1"/>
        <v>#REF!</v>
      </c>
      <c r="Y16" s="2057" t="e">
        <f t="shared" si="5"/>
        <v>#REF!</v>
      </c>
      <c r="Z16" s="2362" t="e">
        <f>+C16/X16</f>
        <v>#REF!</v>
      </c>
    </row>
    <row r="17" spans="2:27" s="284" customFormat="1" ht="15.75" customHeight="1" x14ac:dyDescent="0.25">
      <c r="B17" s="2366" t="s">
        <v>599</v>
      </c>
      <c r="C17" s="2330" t="e">
        <f>SUM(C14:C16)</f>
        <v>#REF!</v>
      </c>
      <c r="D17" s="2330" t="e">
        <f>SUM(D14:D16)</f>
        <v>#REF!</v>
      </c>
      <c r="E17" s="2330" t="e">
        <f>SUM(E14:E16)</f>
        <v>#REF!</v>
      </c>
      <c r="F17" s="2330" t="e">
        <f>SUM(F14:F16)</f>
        <v>#REF!</v>
      </c>
      <c r="G17" s="2330" t="e">
        <f>SUM(G14:G16)</f>
        <v>#REF!</v>
      </c>
      <c r="H17" s="2331" t="e">
        <f>SUM(C17/$C$77)</f>
        <v>#REF!</v>
      </c>
      <c r="I17" s="2332" t="e">
        <f t="shared" ref="I17:I23" si="6">F17/C17</f>
        <v>#REF!</v>
      </c>
      <c r="J17" s="2332" t="e">
        <f t="shared" ref="J17:J23" si="7">G17/E17</f>
        <v>#REF!</v>
      </c>
      <c r="K17" s="2439" t="e">
        <f>SUM(K14:K16)</f>
        <v>#REF!</v>
      </c>
      <c r="L17" s="2334" t="s">
        <v>572</v>
      </c>
      <c r="M17" s="2447" t="e">
        <f>SUM(M14:M16)</f>
        <v>#REF!</v>
      </c>
      <c r="N17" s="2447" t="e">
        <f>SUM(N14:N16)</f>
        <v>#REF!</v>
      </c>
      <c r="O17" s="2447" t="e">
        <f>SUM(O14:O16)</f>
        <v>#REF!</v>
      </c>
      <c r="P17" s="2336" t="e">
        <f t="shared" si="3"/>
        <v>#REF!</v>
      </c>
      <c r="Q17" s="2339" t="e">
        <f t="shared" si="4"/>
        <v>#REF!</v>
      </c>
      <c r="R17" s="2339" t="e">
        <f t="shared" si="2"/>
        <v>#REF!</v>
      </c>
      <c r="S17" s="2335">
        <f>SUM(S14:S16)</f>
        <v>0</v>
      </c>
      <c r="T17" s="2335">
        <f>SUM(T14:T16)</f>
        <v>0</v>
      </c>
      <c r="U17" s="2335">
        <f>SUM(U14:U16)</f>
        <v>0</v>
      </c>
      <c r="V17" s="2335">
        <f>SUM(V14:V16)</f>
        <v>0</v>
      </c>
      <c r="W17" s="2333" t="e">
        <f t="shared" si="0"/>
        <v>#REF!</v>
      </c>
      <c r="X17" s="2333" t="e">
        <f t="shared" si="1"/>
        <v>#REF!</v>
      </c>
      <c r="Y17" s="2336" t="e">
        <f t="shared" si="5"/>
        <v>#REF!</v>
      </c>
      <c r="Z17" s="2365" t="e">
        <f>+C17/X17</f>
        <v>#REF!</v>
      </c>
    </row>
    <row r="18" spans="2:27" s="284" customFormat="1" ht="15" x14ac:dyDescent="0.2">
      <c r="B18" s="2073" t="s">
        <v>609</v>
      </c>
      <c r="C18" s="2052" t="e">
        <f>'CNG Table A'!#REF!</f>
        <v>#REF!</v>
      </c>
      <c r="D18" s="2340" t="e">
        <f>E18-C18</f>
        <v>#REF!</v>
      </c>
      <c r="E18" s="2461" t="e">
        <f>#REF!*1000</f>
        <v>#REF!</v>
      </c>
      <c r="F18" s="2461" t="e">
        <f>#REF!*1000</f>
        <v>#REF!</v>
      </c>
      <c r="G18" s="2461" t="e">
        <f>#REF!*1000</f>
        <v>#REF!</v>
      </c>
      <c r="H18" s="1115" t="e">
        <f>SUM(C18/$C$75)</f>
        <v>#REF!</v>
      </c>
      <c r="I18" s="1922" t="e">
        <f>F18/C18</f>
        <v>#REF!</v>
      </c>
      <c r="J18" s="333" t="e">
        <f t="shared" si="7"/>
        <v>#REF!</v>
      </c>
      <c r="K18" s="2462" t="e">
        <f>#REF!</f>
        <v>#REF!</v>
      </c>
      <c r="L18" s="2342" t="s">
        <v>242</v>
      </c>
      <c r="M18" s="2462" t="e">
        <f>#REF!</f>
        <v>#REF!</v>
      </c>
      <c r="N18" s="2462" t="e">
        <f>#REF!</f>
        <v>#REF!</v>
      </c>
      <c r="O18" s="2462" t="e">
        <f>#REF!</f>
        <v>#REF!</v>
      </c>
      <c r="P18" s="2341" t="e">
        <f t="shared" si="3"/>
        <v>#REF!</v>
      </c>
      <c r="Q18" s="2400" t="e">
        <f t="shared" si="4"/>
        <v>#REF!</v>
      </c>
      <c r="R18" s="2400"/>
      <c r="S18" s="2342">
        <v>0</v>
      </c>
      <c r="T18" s="2342">
        <v>0</v>
      </c>
      <c r="U18" s="2342">
        <v>0</v>
      </c>
      <c r="V18" s="2342">
        <v>0</v>
      </c>
      <c r="W18" s="1923" t="e">
        <f t="shared" si="0"/>
        <v>#REF!</v>
      </c>
      <c r="X18" s="1923" t="e">
        <f t="shared" si="1"/>
        <v>#REF!</v>
      </c>
      <c r="Y18" s="1925" t="e">
        <f t="shared" si="5"/>
        <v>#REF!</v>
      </c>
      <c r="Z18" s="1989" t="e">
        <f>+E18/X18</f>
        <v>#REF!</v>
      </c>
    </row>
    <row r="19" spans="2:27" s="2060" customFormat="1" ht="15" x14ac:dyDescent="0.2">
      <c r="B19" s="693" t="s">
        <v>530</v>
      </c>
      <c r="C19" s="2340" t="e">
        <f>'SCG Table A'!#REF!</f>
        <v>#REF!</v>
      </c>
      <c r="D19" s="2340"/>
      <c r="E19" s="2461" t="e">
        <v>#REF!</v>
      </c>
      <c r="F19" s="2461" t="e">
        <v>#REF!</v>
      </c>
      <c r="G19" s="2461" t="e">
        <v>#REF!</v>
      </c>
      <c r="H19" s="1115" t="e">
        <f>H18</f>
        <v>#REF!</v>
      </c>
      <c r="I19" s="1922" t="e">
        <f>F19/C19</f>
        <v>#REF!</v>
      </c>
      <c r="J19" s="333" t="e">
        <f t="shared" si="7"/>
        <v>#REF!</v>
      </c>
      <c r="K19" s="2462" t="e">
        <v>#REF!</v>
      </c>
      <c r="L19" s="2342" t="str">
        <f>L18</f>
        <v>Units</v>
      </c>
      <c r="M19" s="2462" t="e">
        <v>#REF!</v>
      </c>
      <c r="N19" s="2462" t="e">
        <v>#REF!</v>
      </c>
      <c r="O19" s="2462" t="e">
        <v>#REF!</v>
      </c>
      <c r="P19" s="2341" t="e">
        <f t="shared" si="3"/>
        <v>#REF!</v>
      </c>
      <c r="Q19" s="2400" t="e">
        <f t="shared" si="4"/>
        <v>#REF!</v>
      </c>
      <c r="R19" s="2400"/>
      <c r="S19" s="2342">
        <v>0</v>
      </c>
      <c r="T19" s="2342">
        <v>0</v>
      </c>
      <c r="U19" s="2342">
        <v>0</v>
      </c>
      <c r="V19" s="2342">
        <v>0</v>
      </c>
      <c r="W19" s="1923" t="e">
        <f>+(M19*102900+S19*138690+U19*91330)/10^6</f>
        <v>#REF!</v>
      </c>
      <c r="X19" s="1923" t="e">
        <f>+(N19*102900+T19*138690+V19*91330)/10^6</f>
        <v>#REF!</v>
      </c>
      <c r="Y19" s="1925" t="e">
        <f>+C19/W19</f>
        <v>#REF!</v>
      </c>
      <c r="Z19" s="1989" t="e">
        <f>+E19/X19</f>
        <v>#REF!</v>
      </c>
    </row>
    <row r="20" spans="2:27" s="284" customFormat="1" ht="15.75" x14ac:dyDescent="0.25">
      <c r="B20" s="2366" t="s">
        <v>610</v>
      </c>
      <c r="C20" s="2330" t="e">
        <f>SUM(C18:C19)</f>
        <v>#REF!</v>
      </c>
      <c r="D20" s="2330" t="e">
        <f>SUM(D18:D19)</f>
        <v>#REF!</v>
      </c>
      <c r="E20" s="2330" t="e">
        <f>SUM(E18:E19)</f>
        <v>#REF!</v>
      </c>
      <c r="F20" s="2330" t="e">
        <f>SUM(F18:F19)</f>
        <v>#REF!</v>
      </c>
      <c r="G20" s="2330" t="e">
        <f>SUM(G18:G19)</f>
        <v>#REF!</v>
      </c>
      <c r="H20" s="2331" t="e">
        <f>SUM(C20/$C$77)</f>
        <v>#REF!</v>
      </c>
      <c r="I20" s="2332" t="e">
        <f t="shared" si="6"/>
        <v>#REF!</v>
      </c>
      <c r="J20" s="2332"/>
      <c r="K20" s="2439" t="e">
        <f>SUM(K18:K19)</f>
        <v>#REF!</v>
      </c>
      <c r="L20" s="2334"/>
      <c r="M20" s="2447" t="e">
        <f>SUM(M18:M19)</f>
        <v>#REF!</v>
      </c>
      <c r="N20" s="2447" t="e">
        <f>SUM(N18:N19)</f>
        <v>#REF!</v>
      </c>
      <c r="O20" s="2447" t="e">
        <f>SUM(O18:O19)</f>
        <v>#REF!</v>
      </c>
      <c r="P20" s="2336" t="e">
        <f t="shared" si="3"/>
        <v>#REF!</v>
      </c>
      <c r="Q20" s="2339" t="e">
        <f t="shared" si="4"/>
        <v>#REF!</v>
      </c>
      <c r="R20" s="2339"/>
      <c r="S20" s="2335">
        <f>SUM(S18:S19)</f>
        <v>0</v>
      </c>
      <c r="T20" s="2335">
        <f>SUM(T18:T19)</f>
        <v>0</v>
      </c>
      <c r="U20" s="2335">
        <f>SUM(U18:U19)</f>
        <v>0</v>
      </c>
      <c r="V20" s="2335">
        <f>SUM(V18:V19)</f>
        <v>0</v>
      </c>
      <c r="W20" s="2333" t="e">
        <f t="shared" si="0"/>
        <v>#REF!</v>
      </c>
      <c r="X20" s="2333" t="e">
        <f t="shared" si="1"/>
        <v>#REF!</v>
      </c>
      <c r="Y20" s="2336" t="e">
        <f t="shared" si="5"/>
        <v>#REF!</v>
      </c>
      <c r="Z20" s="2365" t="e">
        <f>+C20/X20</f>
        <v>#REF!</v>
      </c>
    </row>
    <row r="21" spans="2:27" s="2060" customFormat="1" ht="15.75" customHeight="1" x14ac:dyDescent="0.2">
      <c r="B21" s="2202" t="s">
        <v>170</v>
      </c>
      <c r="C21" s="2052" t="e">
        <f>'CNG Table A'!#REF!</f>
        <v>#REF!</v>
      </c>
      <c r="D21" s="2052" t="e">
        <f>E21-C21</f>
        <v>#REF!</v>
      </c>
      <c r="E21" s="2461" t="e">
        <f>#REF!*1000</f>
        <v>#REF!</v>
      </c>
      <c r="F21" s="2461" t="e">
        <f>#REF!*1000</f>
        <v>#REF!</v>
      </c>
      <c r="G21" s="2461" t="e">
        <f>#REF!*1000</f>
        <v>#REF!</v>
      </c>
      <c r="H21" s="1115" t="e">
        <f>SUM(C21/$C$75)</f>
        <v>#REF!</v>
      </c>
      <c r="I21" s="1922" t="e">
        <f>F21/C21</f>
        <v>#REF!</v>
      </c>
      <c r="J21" s="333" t="e">
        <f>G21/E21</f>
        <v>#REF!</v>
      </c>
      <c r="K21" s="2462" t="e">
        <f>#REF!</f>
        <v>#REF!</v>
      </c>
      <c r="L21" s="2342" t="s">
        <v>241</v>
      </c>
      <c r="M21" s="2462" t="e">
        <f>#REF!</f>
        <v>#REF!</v>
      </c>
      <c r="N21" s="2462" t="e">
        <f>#REF!</f>
        <v>#REF!</v>
      </c>
      <c r="O21" s="2462" t="e">
        <f>#REF!</f>
        <v>#REF!</v>
      </c>
      <c r="P21" s="335" t="e">
        <f t="shared" si="3"/>
        <v>#REF!</v>
      </c>
      <c r="Q21" s="2338" t="e">
        <f t="shared" si="4"/>
        <v>#REF!</v>
      </c>
      <c r="R21" s="2338" t="e">
        <f t="shared" si="2"/>
        <v>#REF!</v>
      </c>
      <c r="S21" s="2055"/>
      <c r="T21" s="2055"/>
      <c r="U21" s="2055"/>
      <c r="V21" s="2055"/>
      <c r="W21" s="2055" t="e">
        <f t="shared" si="0"/>
        <v>#REF!</v>
      </c>
      <c r="X21" s="2055" t="e">
        <f t="shared" si="1"/>
        <v>#REF!</v>
      </c>
      <c r="Y21" s="2057" t="e">
        <f t="shared" ref="Y21:Y28" si="8">+C21/W21</f>
        <v>#REF!</v>
      </c>
      <c r="Z21" s="2362" t="e">
        <f t="shared" ref="Z21:Z28" si="9">+C21/X21</f>
        <v>#REF!</v>
      </c>
    </row>
    <row r="22" spans="2:27" s="2060" customFormat="1" ht="15.75" customHeight="1" x14ac:dyDescent="0.2">
      <c r="B22" s="2202" t="s">
        <v>171</v>
      </c>
      <c r="C22" s="2052" t="e">
        <f>'SCG Table A'!#REF!</f>
        <v>#REF!</v>
      </c>
      <c r="D22" s="2052" t="e">
        <f>E22-C22</f>
        <v>#REF!</v>
      </c>
      <c r="E22" s="2461" t="e">
        <v>#REF!</v>
      </c>
      <c r="F22" s="2461" t="e">
        <v>#REF!</v>
      </c>
      <c r="G22" s="2461" t="e">
        <v>#REF!</v>
      </c>
      <c r="H22" s="1115" t="e">
        <f>H21</f>
        <v>#REF!</v>
      </c>
      <c r="I22" s="1922" t="e">
        <f>F22/C22</f>
        <v>#REF!</v>
      </c>
      <c r="J22" s="333" t="e">
        <f>G22/E22</f>
        <v>#REF!</v>
      </c>
      <c r="K22" s="2462" t="e">
        <v>#REF!</v>
      </c>
      <c r="L22" s="2342" t="s">
        <v>241</v>
      </c>
      <c r="M22" s="2462" t="e">
        <v>#REF!</v>
      </c>
      <c r="N22" s="2462" t="e">
        <v>#REF!</v>
      </c>
      <c r="O22" s="2462" t="e">
        <v>#REF!</v>
      </c>
      <c r="P22" s="335" t="e">
        <f t="shared" si="3"/>
        <v>#REF!</v>
      </c>
      <c r="Q22" s="2338" t="e">
        <f t="shared" si="4"/>
        <v>#REF!</v>
      </c>
      <c r="R22" s="2338" t="e">
        <f t="shared" si="2"/>
        <v>#REF!</v>
      </c>
      <c r="S22" s="2055"/>
      <c r="T22" s="2055"/>
      <c r="U22" s="2055"/>
      <c r="V22" s="2055"/>
      <c r="W22" s="2055" t="e">
        <f t="shared" si="0"/>
        <v>#REF!</v>
      </c>
      <c r="X22" s="2055" t="e">
        <f t="shared" si="1"/>
        <v>#REF!</v>
      </c>
      <c r="Y22" s="2057" t="e">
        <f t="shared" si="8"/>
        <v>#REF!</v>
      </c>
      <c r="Z22" s="2362" t="e">
        <f t="shared" si="9"/>
        <v>#REF!</v>
      </c>
    </row>
    <row r="23" spans="2:27" ht="17.25" customHeight="1" x14ac:dyDescent="0.25">
      <c r="B23" s="2363" t="s">
        <v>204</v>
      </c>
      <c r="C23" s="2330" t="e">
        <f>SUM(C21:C22)</f>
        <v>#REF!</v>
      </c>
      <c r="D23" s="2330" t="e">
        <f>SUM(D21:D22)</f>
        <v>#REF!</v>
      </c>
      <c r="E23" s="2330" t="e">
        <f>SUM(E21:E22)</f>
        <v>#REF!</v>
      </c>
      <c r="F23" s="2330" t="e">
        <f>SUM(F21:F22)</f>
        <v>#REF!</v>
      </c>
      <c r="G23" s="2330" t="e">
        <f>SUM(G21:G22)</f>
        <v>#REF!</v>
      </c>
      <c r="H23" s="2331" t="e">
        <f>SUM(C23/$C$77)</f>
        <v>#REF!</v>
      </c>
      <c r="I23" s="2332" t="e">
        <f t="shared" si="6"/>
        <v>#REF!</v>
      </c>
      <c r="J23" s="2332" t="e">
        <f t="shared" si="7"/>
        <v>#REF!</v>
      </c>
      <c r="K23" s="2439" t="e">
        <f>SUM(K21:K22)</f>
        <v>#REF!</v>
      </c>
      <c r="L23" s="2334" t="s">
        <v>241</v>
      </c>
      <c r="M23" s="2447" t="e">
        <f>SUM(M21:M22)</f>
        <v>#REF!</v>
      </c>
      <c r="N23" s="2447" t="e">
        <f>SUM(N21:N22)</f>
        <v>#REF!</v>
      </c>
      <c r="O23" s="2447" t="e">
        <f>SUM(O21:O22)</f>
        <v>#REF!</v>
      </c>
      <c r="P23" s="2336" t="e">
        <f t="shared" si="3"/>
        <v>#REF!</v>
      </c>
      <c r="Q23" s="2339" t="e">
        <f t="shared" si="4"/>
        <v>#REF!</v>
      </c>
      <c r="R23" s="2339" t="e">
        <f t="shared" si="2"/>
        <v>#REF!</v>
      </c>
      <c r="S23" s="2344">
        <f>SUM(S14:S22)</f>
        <v>0</v>
      </c>
      <c r="T23" s="2344">
        <f>SUM(T14:T22)</f>
        <v>0</v>
      </c>
      <c r="U23" s="2344">
        <f>SUM(U14:U22)</f>
        <v>0</v>
      </c>
      <c r="V23" s="2344">
        <f>SUM(V14:V22)</f>
        <v>0</v>
      </c>
      <c r="W23" s="2333" t="e">
        <f t="shared" si="0"/>
        <v>#REF!</v>
      </c>
      <c r="X23" s="2333" t="e">
        <f t="shared" si="1"/>
        <v>#REF!</v>
      </c>
      <c r="Y23" s="2345" t="e">
        <f t="shared" si="8"/>
        <v>#REF!</v>
      </c>
      <c r="Z23" s="2367" t="e">
        <f t="shared" si="9"/>
        <v>#REF!</v>
      </c>
    </row>
    <row r="24" spans="2:27" s="284" customFormat="1" ht="15.75" hidden="1" customHeight="1" x14ac:dyDescent="0.2">
      <c r="B24" s="330" t="s">
        <v>142</v>
      </c>
      <c r="C24" s="331"/>
      <c r="D24" s="331"/>
      <c r="E24" s="331"/>
      <c r="F24" s="331"/>
      <c r="G24" s="331"/>
      <c r="H24" s="332"/>
      <c r="I24" s="333"/>
      <c r="J24" s="333"/>
      <c r="K24" s="2438"/>
      <c r="L24" s="2337"/>
      <c r="M24" s="2438"/>
      <c r="N24" s="2438"/>
      <c r="O24" s="2438"/>
      <c r="P24" s="335"/>
      <c r="Q24" s="2338"/>
      <c r="R24" s="2338" t="e">
        <f t="shared" si="2"/>
        <v>#DIV/0!</v>
      </c>
      <c r="S24" s="2055"/>
      <c r="T24" s="2055"/>
      <c r="U24" s="2055"/>
      <c r="V24" s="2055"/>
      <c r="W24" s="804">
        <f t="shared" si="0"/>
        <v>0</v>
      </c>
      <c r="X24" s="804">
        <f t="shared" si="1"/>
        <v>0</v>
      </c>
      <c r="Y24" s="2078" t="s">
        <v>3</v>
      </c>
      <c r="Z24" s="2368" t="s">
        <v>3</v>
      </c>
    </row>
    <row r="25" spans="2:27" s="2060" customFormat="1" ht="15.75" hidden="1" customHeight="1" x14ac:dyDescent="0.2">
      <c r="B25" s="2202" t="s">
        <v>143</v>
      </c>
      <c r="C25" s="2052"/>
      <c r="D25" s="2052"/>
      <c r="E25" s="2052"/>
      <c r="F25" s="2052"/>
      <c r="G25" s="2052"/>
      <c r="H25" s="2053" t="e">
        <f>SUM(C25/$C$75)</f>
        <v>#REF!</v>
      </c>
      <c r="I25" s="2054" t="e">
        <f>F25/C25</f>
        <v>#DIV/0!</v>
      </c>
      <c r="J25" s="2054" t="e">
        <f>G25/E25</f>
        <v>#DIV/0!</v>
      </c>
      <c r="K25" s="2440"/>
      <c r="L25" s="2328" t="s">
        <v>242</v>
      </c>
      <c r="M25" s="2440"/>
      <c r="N25" s="2440"/>
      <c r="O25" s="2440"/>
      <c r="P25" s="2057" t="e">
        <f>C25/M25</f>
        <v>#DIV/0!</v>
      </c>
      <c r="Q25" s="2329" t="e">
        <f>C25/N25</f>
        <v>#DIV/0!</v>
      </c>
      <c r="R25" s="2329" t="e">
        <f t="shared" si="2"/>
        <v>#DIV/0!</v>
      </c>
      <c r="S25" s="2077"/>
      <c r="T25" s="2077"/>
      <c r="U25" s="2077"/>
      <c r="V25" s="2077"/>
      <c r="W25" s="2055">
        <f t="shared" si="0"/>
        <v>0</v>
      </c>
      <c r="X25" s="2055">
        <f t="shared" si="1"/>
        <v>0</v>
      </c>
      <c r="Y25" s="2078" t="e">
        <f t="shared" si="8"/>
        <v>#DIV/0!</v>
      </c>
      <c r="Z25" s="2368" t="e">
        <f t="shared" si="9"/>
        <v>#DIV/0!</v>
      </c>
    </row>
    <row r="26" spans="2:27" s="2060" customFormat="1" ht="15.75" hidden="1" customHeight="1" thickBot="1" x14ac:dyDescent="0.25">
      <c r="B26" s="2202" t="s">
        <v>144</v>
      </c>
      <c r="C26" s="2052" t="e">
        <f>'SCG Table A'!#REF!</f>
        <v>#REF!</v>
      </c>
      <c r="D26" s="2052" t="e">
        <f>E26-C26</f>
        <v>#REF!</v>
      </c>
      <c r="E26" s="2052"/>
      <c r="F26" s="2052"/>
      <c r="G26" s="2052"/>
      <c r="H26" s="2053" t="e">
        <f>SUM(C26/$C$76)</f>
        <v>#REF!</v>
      </c>
      <c r="I26" s="2054" t="e">
        <f>F26/C26</f>
        <v>#REF!</v>
      </c>
      <c r="J26" s="2054" t="e">
        <f>G26/E26</f>
        <v>#DIV/0!</v>
      </c>
      <c r="K26" s="2440"/>
      <c r="L26" s="2328" t="s">
        <v>242</v>
      </c>
      <c r="M26" s="2440"/>
      <c r="N26" s="2440"/>
      <c r="O26" s="2440"/>
      <c r="P26" s="2057" t="e">
        <f>C26/M26</f>
        <v>#REF!</v>
      </c>
      <c r="Q26" s="2329" t="e">
        <f>C26/N26</f>
        <v>#REF!</v>
      </c>
      <c r="R26" s="2329" t="e">
        <f t="shared" si="2"/>
        <v>#REF!</v>
      </c>
      <c r="S26" s="2077"/>
      <c r="T26" s="2077"/>
      <c r="U26" s="2077"/>
      <c r="V26" s="2077"/>
      <c r="W26" s="2055">
        <f t="shared" si="0"/>
        <v>0</v>
      </c>
      <c r="X26" s="2055">
        <f t="shared" si="1"/>
        <v>0</v>
      </c>
      <c r="Y26" s="2078" t="e">
        <f t="shared" si="8"/>
        <v>#REF!</v>
      </c>
      <c r="Z26" s="2368" t="e">
        <f t="shared" si="9"/>
        <v>#REF!</v>
      </c>
    </row>
    <row r="27" spans="2:27" ht="17.25" hidden="1" customHeight="1" thickBot="1" x14ac:dyDescent="0.3">
      <c r="B27" s="2363" t="s">
        <v>145</v>
      </c>
      <c r="C27" s="2330" t="e">
        <f>SUM(C24:C26)</f>
        <v>#REF!</v>
      </c>
      <c r="D27" s="2330" t="e">
        <f>SUM(D24:D26)</f>
        <v>#REF!</v>
      </c>
      <c r="E27" s="2330">
        <f>SUM(E24:E26)</f>
        <v>0</v>
      </c>
      <c r="F27" s="2330">
        <f>SUM(F24:F26)</f>
        <v>0</v>
      </c>
      <c r="G27" s="2330">
        <f>SUM(G24:G26)</f>
        <v>0</v>
      </c>
      <c r="H27" s="2331" t="e">
        <f>SUM(C27/$C$77)</f>
        <v>#REF!</v>
      </c>
      <c r="I27" s="2332" t="e">
        <f>F27/C27</f>
        <v>#REF!</v>
      </c>
      <c r="J27" s="2332" t="e">
        <f>G27/E27</f>
        <v>#DIV/0!</v>
      </c>
      <c r="K27" s="2439">
        <f>SUM(K24:K26)</f>
        <v>0</v>
      </c>
      <c r="L27" s="2346" t="s">
        <v>242</v>
      </c>
      <c r="M27" s="2447">
        <f>SUM(M24:M26)</f>
        <v>0</v>
      </c>
      <c r="N27" s="2447">
        <f>SUM(N24:N26)</f>
        <v>0</v>
      </c>
      <c r="O27" s="2447">
        <f>SUM(O24:O26)</f>
        <v>0</v>
      </c>
      <c r="P27" s="2336" t="e">
        <f>C27/M27</f>
        <v>#REF!</v>
      </c>
      <c r="Q27" s="2339" t="e">
        <f>C27/N27</f>
        <v>#REF!</v>
      </c>
      <c r="R27" s="2339" t="e">
        <f t="shared" si="2"/>
        <v>#REF!</v>
      </c>
      <c r="S27" s="2335">
        <f>SUM(S24:S26)</f>
        <v>0</v>
      </c>
      <c r="T27" s="2335">
        <f>SUM(T24:T26)</f>
        <v>0</v>
      </c>
      <c r="U27" s="2335">
        <f>SUM(U24:U26)</f>
        <v>0</v>
      </c>
      <c r="V27" s="2335">
        <f>SUM(V24:V26)</f>
        <v>0</v>
      </c>
      <c r="W27" s="2333">
        <f t="shared" si="0"/>
        <v>0</v>
      </c>
      <c r="X27" s="2333">
        <f t="shared" si="1"/>
        <v>0</v>
      </c>
      <c r="Y27" s="2336" t="e">
        <f t="shared" si="8"/>
        <v>#REF!</v>
      </c>
      <c r="Z27" s="2365" t="e">
        <f t="shared" si="9"/>
        <v>#REF!</v>
      </c>
    </row>
    <row r="28" spans="2:27" ht="16.5" thickBot="1" x14ac:dyDescent="0.3">
      <c r="B28" s="2369" t="s">
        <v>88</v>
      </c>
      <c r="C28" s="2370" t="e">
        <f>+C23+C20+C17+C13+C9</f>
        <v>#REF!</v>
      </c>
      <c r="D28" s="2370" t="e">
        <f>D9+D13+D17+D20+D23+D27</f>
        <v>#REF!</v>
      </c>
      <c r="E28" s="2370" t="e">
        <f>E9+E13+E17+E20+E23+E27</f>
        <v>#REF!</v>
      </c>
      <c r="F28" s="2370" t="e">
        <f>F9+F13+F17+F20+F23+F27</f>
        <v>#REF!</v>
      </c>
      <c r="G28" s="2370" t="e">
        <f>G9+G13+G17+G20+G23+G27</f>
        <v>#REF!</v>
      </c>
      <c r="H28" s="2371" t="e">
        <f>SUM(C28/C77)</f>
        <v>#REF!</v>
      </c>
      <c r="I28" s="2372" t="e">
        <f>F28/C28</f>
        <v>#REF!</v>
      </c>
      <c r="J28" s="2372" t="e">
        <f>G28/E28</f>
        <v>#REF!</v>
      </c>
      <c r="K28" s="2456" t="e">
        <f>K9+K13+K17+K20+K23+K27</f>
        <v>#REF!</v>
      </c>
      <c r="L28" s="2374" t="s">
        <v>462</v>
      </c>
      <c r="M28" s="2448" t="e">
        <f>M9+M13+M17+M20+M23+M27</f>
        <v>#REF!</v>
      </c>
      <c r="N28" s="2448" t="e">
        <f>N9+N13+N17+N20+N23+N27</f>
        <v>#REF!</v>
      </c>
      <c r="O28" s="2448" t="e">
        <f>O9+O13+O17+O20+O23+O27</f>
        <v>#REF!</v>
      </c>
      <c r="P28" s="2376" t="e">
        <f>C28/M28</f>
        <v>#REF!</v>
      </c>
      <c r="Q28" s="2376" t="e">
        <f>C28/N28</f>
        <v>#REF!</v>
      </c>
      <c r="R28" s="2376" t="e">
        <f t="shared" si="2"/>
        <v>#REF!</v>
      </c>
      <c r="S28" s="2375">
        <f t="shared" ref="S28:X28" si="10">S9+S13+S17+S20+S23+S27</f>
        <v>0</v>
      </c>
      <c r="T28" s="2375">
        <f t="shared" si="10"/>
        <v>0</v>
      </c>
      <c r="U28" s="2375">
        <f t="shared" si="10"/>
        <v>0</v>
      </c>
      <c r="V28" s="2375">
        <f t="shared" si="10"/>
        <v>0</v>
      </c>
      <c r="W28" s="2375" t="e">
        <f t="shared" si="10"/>
        <v>#REF!</v>
      </c>
      <c r="X28" s="2375" t="e">
        <f t="shared" si="10"/>
        <v>#REF!</v>
      </c>
      <c r="Y28" s="2376" t="e">
        <f t="shared" si="8"/>
        <v>#REF!</v>
      </c>
      <c r="Z28" s="2377" t="e">
        <f t="shared" si="9"/>
        <v>#REF!</v>
      </c>
    </row>
    <row r="29" spans="2:27" ht="15.75" customHeight="1" x14ac:dyDescent="0.25">
      <c r="B29" s="2322"/>
      <c r="C29" s="2323"/>
      <c r="D29" s="2323"/>
      <c r="E29" s="2323"/>
      <c r="F29" s="2323"/>
      <c r="G29" s="2323"/>
      <c r="H29" s="2324"/>
      <c r="I29" s="2325"/>
      <c r="J29" s="2325"/>
      <c r="K29" s="2442"/>
      <c r="L29" s="2326"/>
      <c r="M29" s="2449"/>
      <c r="N29" s="2449"/>
      <c r="O29" s="2449"/>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443"/>
      <c r="L30" s="2159"/>
      <c r="M30" s="2443"/>
      <c r="N30" s="2443"/>
      <c r="O30" s="2443"/>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444"/>
      <c r="L31" s="2134"/>
      <c r="M31" s="2444"/>
      <c r="N31" s="2444"/>
      <c r="O31" s="2444"/>
      <c r="P31" s="341"/>
      <c r="Q31" s="336"/>
      <c r="R31" s="336"/>
      <c r="S31" s="336"/>
      <c r="T31" s="336"/>
      <c r="U31" s="336"/>
      <c r="V31" s="336"/>
      <c r="W31" s="2146" t="s">
        <v>3</v>
      </c>
      <c r="X31" s="2146" t="s">
        <v>3</v>
      </c>
      <c r="Y31" s="341" t="s">
        <v>3</v>
      </c>
      <c r="Z31" s="336" t="s">
        <v>3</v>
      </c>
    </row>
    <row r="32" spans="2:27" s="284" customFormat="1" ht="15" x14ac:dyDescent="0.2">
      <c r="B32" s="399" t="s">
        <v>125</v>
      </c>
      <c r="C32" s="351" t="e">
        <f>'CNG Table A'!#REF!</f>
        <v>#REF!</v>
      </c>
      <c r="D32" s="1108" t="e">
        <f>E32-C32</f>
        <v>#REF!</v>
      </c>
      <c r="E32" s="2461" t="e">
        <f>#REF!*1000</f>
        <v>#REF!</v>
      </c>
      <c r="F32" s="2465" t="e">
        <f>#REF!*1000</f>
        <v>#REF!</v>
      </c>
      <c r="G32" s="2461" t="e">
        <f>#REF!*1000</f>
        <v>#REF!</v>
      </c>
      <c r="H32" s="401" t="e">
        <f>SUM(C32/$C$75)</f>
        <v>#REF!</v>
      </c>
      <c r="I32" s="2137" t="e">
        <f>F32/C32</f>
        <v>#REF!</v>
      </c>
      <c r="J32" s="2137" t="e">
        <f>G32/E32</f>
        <v>#REF!</v>
      </c>
      <c r="K32" s="2644" t="e">
        <f>#REF!</f>
        <v>#REF!</v>
      </c>
      <c r="L32" s="354" t="s">
        <v>244</v>
      </c>
      <c r="M32" s="2466" t="e">
        <f>#REF!</f>
        <v>#REF!</v>
      </c>
      <c r="N32" s="2466" t="e">
        <f>#REF!</f>
        <v>#REF!</v>
      </c>
      <c r="O32" s="2466" t="e">
        <f>#REF!</f>
        <v>#REF!</v>
      </c>
      <c r="P32" s="2120" t="e">
        <f>C32/M32</f>
        <v>#REF!</v>
      </c>
      <c r="Q32" s="2378" t="e">
        <f>C32/N32</f>
        <v>#REF!</v>
      </c>
      <c r="R32" s="2378" t="e">
        <f>C32/O32</f>
        <v>#REF!</v>
      </c>
      <c r="S32" s="2121"/>
      <c r="T32" s="2121"/>
      <c r="U32" s="2121"/>
      <c r="V32" s="2121"/>
      <c r="W32" s="2121" t="e">
        <f t="shared" ref="W32:X34" si="11">+(M32*102900+S32*138690+U32*91330)/10^6</f>
        <v>#REF!</v>
      </c>
      <c r="X32" s="2121" t="e">
        <f t="shared" si="11"/>
        <v>#REF!</v>
      </c>
      <c r="Y32" s="2120" t="e">
        <f>+C32/W32</f>
        <v>#REF!</v>
      </c>
      <c r="Z32" s="356" t="e">
        <f>+C32/X32</f>
        <v>#REF!</v>
      </c>
    </row>
    <row r="33" spans="2:30" s="284" customFormat="1" ht="15" x14ac:dyDescent="0.2">
      <c r="B33" s="381" t="s">
        <v>126</v>
      </c>
      <c r="C33" s="331" t="e">
        <f>'SCG Table A'!#REF!</f>
        <v>#REF!</v>
      </c>
      <c r="D33" s="874" t="e">
        <f>E33-C33</f>
        <v>#REF!</v>
      </c>
      <c r="E33" s="2461" t="e">
        <v>#REF!</v>
      </c>
      <c r="F33" s="2465" t="e">
        <v>#REF!</v>
      </c>
      <c r="G33" s="2461" t="e">
        <v>#REF!</v>
      </c>
      <c r="H33" s="332" t="e">
        <f>SUM(C33/$C$76)</f>
        <v>#REF!</v>
      </c>
      <c r="I33" s="333" t="e">
        <f>F33/C33</f>
        <v>#REF!</v>
      </c>
      <c r="J33" s="333" t="e">
        <f>G33/E33</f>
        <v>#REF!</v>
      </c>
      <c r="K33" s="2467" t="e">
        <v>#REF!</v>
      </c>
      <c r="L33" s="2337" t="s">
        <v>244</v>
      </c>
      <c r="M33" s="2467" t="e">
        <v>#REF!</v>
      </c>
      <c r="N33" s="2467" t="e">
        <v>#REF!</v>
      </c>
      <c r="O33" s="2467" t="e">
        <v>#REF!</v>
      </c>
      <c r="P33" s="335" t="e">
        <f>C33/M33</f>
        <v>#REF!</v>
      </c>
      <c r="Q33" s="2338" t="e">
        <f>C33/N33</f>
        <v>#REF!</v>
      </c>
      <c r="R33" s="2338" t="e">
        <f>C33/O33</f>
        <v>#REF!</v>
      </c>
      <c r="S33" s="804"/>
      <c r="T33" s="804"/>
      <c r="U33" s="804"/>
      <c r="V33" s="804"/>
      <c r="W33" s="804" t="e">
        <f t="shared" si="11"/>
        <v>#REF!</v>
      </c>
      <c r="X33" s="804" t="e">
        <f t="shared" si="11"/>
        <v>#REF!</v>
      </c>
      <c r="Y33" s="335" t="e">
        <f>+C33/W33</f>
        <v>#REF!</v>
      </c>
      <c r="Z33" s="358" t="e">
        <f>+C33/X33</f>
        <v>#REF!</v>
      </c>
    </row>
    <row r="34" spans="2:30" ht="17.25" customHeight="1" thickBot="1" x14ac:dyDescent="0.3">
      <c r="B34" s="2369" t="s">
        <v>137</v>
      </c>
      <c r="C34" s="2379" t="e">
        <f>SUM(C31:C33)</f>
        <v>#REF!</v>
      </c>
      <c r="D34" s="2379" t="e">
        <f>SUM(D31:D33)</f>
        <v>#REF!</v>
      </c>
      <c r="E34" s="2379" t="e">
        <f>SUM(E31:E33)</f>
        <v>#REF!</v>
      </c>
      <c r="F34" s="2379" t="e">
        <f>SUM(F31:F33)</f>
        <v>#REF!</v>
      </c>
      <c r="G34" s="2379" t="e">
        <f>SUM(G31:G33)</f>
        <v>#REF!</v>
      </c>
      <c r="H34" s="2380" t="e">
        <f>SUM(C34/$C$77)</f>
        <v>#REF!</v>
      </c>
      <c r="I34" s="2372" t="e">
        <f>F34/C34</f>
        <v>#REF!</v>
      </c>
      <c r="J34" s="2372" t="e">
        <f>G34/E34</f>
        <v>#REF!</v>
      </c>
      <c r="K34" s="2446" t="e">
        <f>+K31+K32+K33</f>
        <v>#REF!</v>
      </c>
      <c r="L34" s="2379" t="s">
        <v>244</v>
      </c>
      <c r="M34" s="2448" t="e">
        <f>SUM(M31:M33)</f>
        <v>#REF!</v>
      </c>
      <c r="N34" s="2448" t="e">
        <f>SUM(N31:N33)</f>
        <v>#REF!</v>
      </c>
      <c r="O34" s="2448" t="e">
        <f>SUM(O31:O33)</f>
        <v>#REF!</v>
      </c>
      <c r="P34" s="2382" t="e">
        <f>C34/M34</f>
        <v>#REF!</v>
      </c>
      <c r="Q34" s="2376" t="e">
        <f>C34/N34</f>
        <v>#REF!</v>
      </c>
      <c r="R34" s="2376" t="e">
        <f>C34/O34</f>
        <v>#REF!</v>
      </c>
      <c r="S34" s="2375">
        <f>SUM(S31:S33)</f>
        <v>0</v>
      </c>
      <c r="T34" s="2375">
        <f>SUM(T31:T33)</f>
        <v>0</v>
      </c>
      <c r="U34" s="2375">
        <f>SUM(U31:U33)</f>
        <v>0</v>
      </c>
      <c r="V34" s="2375">
        <f>SUM(V31:V33)</f>
        <v>0</v>
      </c>
      <c r="W34" s="2381" t="e">
        <f t="shared" si="11"/>
        <v>#REF!</v>
      </c>
      <c r="X34" s="2381" t="e">
        <f t="shared" si="11"/>
        <v>#REF!</v>
      </c>
      <c r="Y34" s="2382" t="e">
        <f>+C34/W34</f>
        <v>#REF!</v>
      </c>
      <c r="Z34" s="2377" t="e">
        <f>+C34/X34</f>
        <v>#REF!</v>
      </c>
    </row>
    <row r="35" spans="2:30" ht="15.75" customHeight="1" thickBot="1" x14ac:dyDescent="0.3">
      <c r="B35" s="2158" t="s">
        <v>132</v>
      </c>
      <c r="C35" s="2159"/>
      <c r="D35" s="2159"/>
      <c r="E35" s="2159"/>
      <c r="F35" s="2159"/>
      <c r="G35" s="2159"/>
      <c r="H35" s="2159"/>
      <c r="I35" s="2159"/>
      <c r="J35" s="2159"/>
      <c r="K35" s="2443"/>
      <c r="L35" s="2159"/>
      <c r="M35" s="2443"/>
      <c r="N35" s="2443"/>
      <c r="O35" s="2443"/>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444"/>
      <c r="L36" s="2134"/>
      <c r="M36" s="2444"/>
      <c r="N36" s="2444"/>
      <c r="O36" s="2444"/>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t="e">
        <f>'CNG Table A'!#REF!</f>
        <v>#REF!</v>
      </c>
      <c r="D37" s="1108" t="e">
        <f>E37-C37</f>
        <v>#REF!</v>
      </c>
      <c r="E37" s="2461" t="e">
        <f>#REF!*1000</f>
        <v>#REF!</v>
      </c>
      <c r="F37" s="2461" t="e">
        <f>#REF!*1000</f>
        <v>#REF!</v>
      </c>
      <c r="G37" s="2461" t="e">
        <f>#REF!*1000</f>
        <v>#REF!</v>
      </c>
      <c r="H37" s="401" t="e">
        <f>SUM(C37/$C$75)</f>
        <v>#REF!</v>
      </c>
      <c r="I37" s="2137" t="e">
        <f>F37/C37</f>
        <v>#REF!</v>
      </c>
      <c r="J37" s="2137" t="e">
        <f>G37/E37</f>
        <v>#REF!</v>
      </c>
      <c r="K37" s="2644" t="e">
        <f>#REF!</f>
        <v>#REF!</v>
      </c>
      <c r="L37" s="354" t="s">
        <v>244</v>
      </c>
      <c r="M37" s="2467" t="e">
        <f>#REF!</f>
        <v>#REF!</v>
      </c>
      <c r="N37" s="2467" t="e">
        <f>#REF!</f>
        <v>#REF!</v>
      </c>
      <c r="O37" s="2467" t="e">
        <f>#REF!</f>
        <v>#REF!</v>
      </c>
      <c r="P37" s="2120" t="e">
        <f>C37/M37</f>
        <v>#REF!</v>
      </c>
      <c r="Q37" s="2378" t="e">
        <f>C37/N37</f>
        <v>#REF!</v>
      </c>
      <c r="R37" s="2378" t="e">
        <f t="shared" ref="R37:R48" si="12">C37/O37</f>
        <v>#REF!</v>
      </c>
      <c r="S37" s="2121"/>
      <c r="T37" s="2121"/>
      <c r="U37" s="2121"/>
      <c r="V37" s="2121"/>
      <c r="W37" s="2121" t="e">
        <f t="shared" ref="W37:W47" si="13">+(M37*102900+S37*138690+U37*91330)/10^6</f>
        <v>#REF!</v>
      </c>
      <c r="X37" s="2121" t="e">
        <f t="shared" ref="X37:X47" si="14">+(N37*102900+T37*138690+V37*91330)/10^6</f>
        <v>#REF!</v>
      </c>
      <c r="Y37" s="2120" t="e">
        <f>+C37/W37</f>
        <v>#REF!</v>
      </c>
      <c r="Z37" s="356" t="e">
        <f>+C37/X37</f>
        <v>#REF!</v>
      </c>
      <c r="AA37" s="295"/>
    </row>
    <row r="38" spans="2:30" s="284" customFormat="1" ht="15.75" customHeight="1" x14ac:dyDescent="0.2">
      <c r="B38" s="330" t="s">
        <v>130</v>
      </c>
      <c r="C38" s="331" t="e">
        <f>'SCG Table A'!#REF!</f>
        <v>#REF!</v>
      </c>
      <c r="D38" s="874" t="e">
        <f>E38-C38</f>
        <v>#REF!</v>
      </c>
      <c r="E38" s="2461" t="e">
        <v>#REF!</v>
      </c>
      <c r="F38" s="2461" t="e">
        <v>#REF!</v>
      </c>
      <c r="G38" s="2461" t="e">
        <v>#REF!</v>
      </c>
      <c r="H38" s="332" t="e">
        <f>SUM(C38/$C$76)</f>
        <v>#REF!</v>
      </c>
      <c r="I38" s="333" t="e">
        <f>F38/C38</f>
        <v>#REF!</v>
      </c>
      <c r="J38" s="333" t="e">
        <f>G38/E38</f>
        <v>#REF!</v>
      </c>
      <c r="K38" s="2467" t="e">
        <v>#REF!</v>
      </c>
      <c r="L38" s="2337" t="s">
        <v>244</v>
      </c>
      <c r="M38" s="2467" t="e">
        <v>#REF!</v>
      </c>
      <c r="N38" s="2467" t="e">
        <v>#REF!</v>
      </c>
      <c r="O38" s="2467" t="e">
        <v>#REF!</v>
      </c>
      <c r="P38" s="335" t="e">
        <f>C38/M38</f>
        <v>#REF!</v>
      </c>
      <c r="Q38" s="2338" t="e">
        <f>C38/N38</f>
        <v>#REF!</v>
      </c>
      <c r="R38" s="2338" t="e">
        <f t="shared" si="12"/>
        <v>#REF!</v>
      </c>
      <c r="S38" s="804"/>
      <c r="T38" s="804"/>
      <c r="U38" s="804"/>
      <c r="V38" s="804"/>
      <c r="W38" s="804" t="e">
        <f t="shared" si="13"/>
        <v>#REF!</v>
      </c>
      <c r="X38" s="804" t="e">
        <f t="shared" si="14"/>
        <v>#REF!</v>
      </c>
      <c r="Y38" s="335" t="e">
        <f>+C38/W38</f>
        <v>#REF!</v>
      </c>
      <c r="Z38" s="358" t="e">
        <f>+C38/X38</f>
        <v>#REF!</v>
      </c>
      <c r="AA38" s="295"/>
    </row>
    <row r="39" spans="2:30" ht="18" customHeight="1" x14ac:dyDescent="0.25">
      <c r="B39" s="2366" t="s">
        <v>617</v>
      </c>
      <c r="C39" s="2330" t="e">
        <f>SUM(C36:C38)</f>
        <v>#REF!</v>
      </c>
      <c r="D39" s="2330" t="e">
        <f>SUM(D36:D38)</f>
        <v>#REF!</v>
      </c>
      <c r="E39" s="2330" t="e">
        <f>SUM(E36:E38)</f>
        <v>#REF!</v>
      </c>
      <c r="F39" s="2330" t="e">
        <f>SUM(F36:F38)</f>
        <v>#REF!</v>
      </c>
      <c r="G39" s="2330" t="e">
        <f>SUM(G36:G38)</f>
        <v>#REF!</v>
      </c>
      <c r="H39" s="2331" t="e">
        <f>SUM(C39/$C$77)</f>
        <v>#REF!</v>
      </c>
      <c r="I39" s="2332" t="e">
        <f>F39/C39</f>
        <v>#REF!</v>
      </c>
      <c r="J39" s="2332" t="e">
        <f>G39/E39</f>
        <v>#REF!</v>
      </c>
      <c r="K39" s="2439" t="e">
        <f>+K36+K37+K38</f>
        <v>#REF!</v>
      </c>
      <c r="L39" s="2330" t="s">
        <v>244</v>
      </c>
      <c r="M39" s="2447" t="e">
        <f>SUM(M36:M38)</f>
        <v>#REF!</v>
      </c>
      <c r="N39" s="2447" t="e">
        <f>SUM(N36:N38)</f>
        <v>#REF!</v>
      </c>
      <c r="O39" s="2447" t="e">
        <f>SUM(O36:O38)</f>
        <v>#REF!</v>
      </c>
      <c r="P39" s="2336" t="e">
        <f>C39/M39</f>
        <v>#REF!</v>
      </c>
      <c r="Q39" s="2339" t="e">
        <f>C39/N39</f>
        <v>#REF!</v>
      </c>
      <c r="R39" s="2339" t="e">
        <f t="shared" si="12"/>
        <v>#REF!</v>
      </c>
      <c r="S39" s="2335">
        <f>SUM(S36:S38)</f>
        <v>0</v>
      </c>
      <c r="T39" s="2335">
        <f>SUM(T36:T38)</f>
        <v>0</v>
      </c>
      <c r="U39" s="2335">
        <f>SUM(U36:U38)</f>
        <v>0</v>
      </c>
      <c r="V39" s="2335">
        <f>SUM(V36:V38)</f>
        <v>0</v>
      </c>
      <c r="W39" s="2333" t="e">
        <f t="shared" si="13"/>
        <v>#REF!</v>
      </c>
      <c r="X39" s="2333" t="e">
        <f t="shared" si="14"/>
        <v>#REF!</v>
      </c>
      <c r="Y39" s="2336" t="e">
        <f>+C39/W39</f>
        <v>#REF!</v>
      </c>
      <c r="Z39" s="2365" t="e">
        <f>+C39/X39</f>
        <v>#REF!</v>
      </c>
    </row>
    <row r="40" spans="2:30" s="284" customFormat="1" ht="15.75" hidden="1" customHeight="1" x14ac:dyDescent="0.2">
      <c r="B40" s="330" t="s">
        <v>133</v>
      </c>
      <c r="C40" s="331"/>
      <c r="D40" s="331"/>
      <c r="E40" s="2133"/>
      <c r="F40" s="2133"/>
      <c r="G40" s="2133"/>
      <c r="H40" s="332"/>
      <c r="I40" s="333"/>
      <c r="J40" s="333"/>
      <c r="K40" s="2438"/>
      <c r="L40" s="2337"/>
      <c r="M40" s="2438"/>
      <c r="N40" s="2438"/>
      <c r="O40" s="2438"/>
      <c r="P40" s="335"/>
      <c r="Q40" s="2338"/>
      <c r="R40" s="2338" t="e">
        <f t="shared" si="12"/>
        <v>#DIV/0!</v>
      </c>
      <c r="S40" s="2337"/>
      <c r="T40" s="2337"/>
      <c r="U40" s="2337"/>
      <c r="V40" s="2337"/>
      <c r="W40" s="804">
        <f t="shared" si="13"/>
        <v>0</v>
      </c>
      <c r="X40" s="804">
        <f t="shared" si="14"/>
        <v>0</v>
      </c>
      <c r="Y40" s="335" t="s">
        <v>3</v>
      </c>
      <c r="Z40" s="358" t="s">
        <v>3</v>
      </c>
    </row>
    <row r="41" spans="2:30" s="284" customFormat="1" ht="15.75" customHeight="1" x14ac:dyDescent="0.2">
      <c r="B41" s="615" t="s">
        <v>582</v>
      </c>
      <c r="C41" s="331" t="e">
        <f>'CNG Table A'!#REF!</f>
        <v>#REF!</v>
      </c>
      <c r="D41" s="874" t="e">
        <f>E41-C41</f>
        <v>#REF!</v>
      </c>
      <c r="E41" s="2461" t="e">
        <f>#REF!*1000</f>
        <v>#REF!</v>
      </c>
      <c r="F41" s="2461" t="e">
        <f>#REF!*1000</f>
        <v>#REF!</v>
      </c>
      <c r="G41" s="2461" t="e">
        <f>#REF!*1000</f>
        <v>#REF!</v>
      </c>
      <c r="H41" s="332" t="e">
        <f>SUM(C41/$C$75)</f>
        <v>#REF!</v>
      </c>
      <c r="I41" s="333" t="e">
        <f>F41/C41</f>
        <v>#REF!</v>
      </c>
      <c r="J41" s="333" t="e">
        <f>G41/E41</f>
        <v>#REF!</v>
      </c>
      <c r="K41" s="2467" t="e">
        <f>#REF!</f>
        <v>#REF!</v>
      </c>
      <c r="L41" s="804" t="s">
        <v>244</v>
      </c>
      <c r="M41" s="2467" t="e">
        <f>#REF!</f>
        <v>#REF!</v>
      </c>
      <c r="N41" s="2467" t="e">
        <f>#REF!</f>
        <v>#REF!</v>
      </c>
      <c r="O41" s="2467" t="e">
        <f>#REF!</f>
        <v>#REF!</v>
      </c>
      <c r="P41" s="335" t="e">
        <f>C41/M41</f>
        <v>#REF!</v>
      </c>
      <c r="Q41" s="2338" t="e">
        <f>C41/N41</f>
        <v>#REF!</v>
      </c>
      <c r="R41" s="2338" t="e">
        <f t="shared" si="12"/>
        <v>#REF!</v>
      </c>
      <c r="S41" s="804"/>
      <c r="T41" s="804"/>
      <c r="U41" s="804"/>
      <c r="V41" s="804"/>
      <c r="W41" s="804" t="e">
        <f t="shared" si="13"/>
        <v>#REF!</v>
      </c>
      <c r="X41" s="804" t="e">
        <f t="shared" si="14"/>
        <v>#REF!</v>
      </c>
      <c r="Y41" s="335" t="e">
        <f>+C41/W41</f>
        <v>#REF!</v>
      </c>
      <c r="Z41" s="358" t="e">
        <f>+C41/X41</f>
        <v>#REF!</v>
      </c>
    </row>
    <row r="42" spans="2:30" s="284" customFormat="1" ht="16.5" customHeight="1" x14ac:dyDescent="0.2">
      <c r="B42" s="615" t="s">
        <v>583</v>
      </c>
      <c r="C42" s="331" t="e">
        <f>'SCG Table A'!#REF!</f>
        <v>#REF!</v>
      </c>
      <c r="D42" s="874" t="e">
        <f>E42-C42</f>
        <v>#REF!</v>
      </c>
      <c r="E42" s="2461" t="e">
        <v>#REF!</v>
      </c>
      <c r="F42" s="2461" t="e">
        <v>#REF!</v>
      </c>
      <c r="G42" s="2461" t="e">
        <v>#REF!</v>
      </c>
      <c r="H42" s="332" t="e">
        <f>SUM(C42/$C$76)</f>
        <v>#REF!</v>
      </c>
      <c r="I42" s="333" t="e">
        <f>F42/C42</f>
        <v>#REF!</v>
      </c>
      <c r="J42" s="333" t="e">
        <f>G42/E42</f>
        <v>#REF!</v>
      </c>
      <c r="K42" s="2467" t="e">
        <v>#REF!</v>
      </c>
      <c r="L42" s="804" t="s">
        <v>244</v>
      </c>
      <c r="M42" s="2467" t="e">
        <v>#REF!</v>
      </c>
      <c r="N42" s="2467" t="e">
        <v>#REF!</v>
      </c>
      <c r="O42" s="2467" t="e">
        <v>#REF!</v>
      </c>
      <c r="P42" s="335" t="e">
        <f>C42/M42</f>
        <v>#REF!</v>
      </c>
      <c r="Q42" s="2338" t="e">
        <f>C42/N42</f>
        <v>#REF!</v>
      </c>
      <c r="R42" s="2338" t="e">
        <f t="shared" si="12"/>
        <v>#REF!</v>
      </c>
      <c r="S42" s="804"/>
      <c r="T42" s="804"/>
      <c r="U42" s="804"/>
      <c r="V42" s="804"/>
      <c r="W42" s="804" t="e">
        <f t="shared" si="13"/>
        <v>#REF!</v>
      </c>
      <c r="X42" s="804" t="e">
        <f t="shared" si="14"/>
        <v>#REF!</v>
      </c>
      <c r="Y42" s="335" t="e">
        <f>+C42/W42</f>
        <v>#REF!</v>
      </c>
      <c r="Z42" s="358" t="e">
        <f>+C42/X42</f>
        <v>#REF!</v>
      </c>
    </row>
    <row r="43" spans="2:30" ht="19.5" customHeight="1" x14ac:dyDescent="0.25">
      <c r="B43" s="2363" t="s">
        <v>136</v>
      </c>
      <c r="C43" s="2330" t="e">
        <f>SUM(C40:C42)</f>
        <v>#REF!</v>
      </c>
      <c r="D43" s="2330" t="e">
        <f>SUM(D40:D42)</f>
        <v>#REF!</v>
      </c>
      <c r="E43" s="2330" t="e">
        <f>SUM(E40:E42)</f>
        <v>#REF!</v>
      </c>
      <c r="F43" s="2330" t="e">
        <f>SUM(F40:F42)</f>
        <v>#REF!</v>
      </c>
      <c r="G43" s="2330" t="e">
        <f>SUM(G40:G42)</f>
        <v>#REF!</v>
      </c>
      <c r="H43" s="2331" t="e">
        <f>SUM(C43/$C$77)</f>
        <v>#REF!</v>
      </c>
      <c r="I43" s="2332" t="e">
        <f>F43/C43</f>
        <v>#REF!</v>
      </c>
      <c r="J43" s="2332" t="e">
        <f>G43/E43</f>
        <v>#REF!</v>
      </c>
      <c r="K43" s="2439" t="e">
        <f>SUM(K40:K42)</f>
        <v>#REF!</v>
      </c>
      <c r="L43" s="2330" t="s">
        <v>244</v>
      </c>
      <c r="M43" s="2447" t="e">
        <f>SUM(M40:M42)</f>
        <v>#REF!</v>
      </c>
      <c r="N43" s="2447" t="e">
        <f>SUM(N40:N42)</f>
        <v>#REF!</v>
      </c>
      <c r="O43" s="2447" t="e">
        <f>SUM(O40:O42)</f>
        <v>#REF!</v>
      </c>
      <c r="P43" s="2336" t="e">
        <f>C43/M43</f>
        <v>#REF!</v>
      </c>
      <c r="Q43" s="2339" t="e">
        <f>C43/N43</f>
        <v>#REF!</v>
      </c>
      <c r="R43" s="2339" t="e">
        <f t="shared" si="12"/>
        <v>#REF!</v>
      </c>
      <c r="S43" s="2335">
        <f>SUM(S40:S42)</f>
        <v>0</v>
      </c>
      <c r="T43" s="2335">
        <f>SUM(T40:T42)</f>
        <v>0</v>
      </c>
      <c r="U43" s="2335"/>
      <c r="V43" s="2335"/>
      <c r="W43" s="2333" t="e">
        <f t="shared" si="13"/>
        <v>#REF!</v>
      </c>
      <c r="X43" s="2333" t="e">
        <f t="shared" si="14"/>
        <v>#REF!</v>
      </c>
      <c r="Y43" s="2336" t="e">
        <f>+C43/W43</f>
        <v>#REF!</v>
      </c>
      <c r="Z43" s="2365" t="e">
        <f>+C43/X43</f>
        <v>#REF!</v>
      </c>
    </row>
    <row r="44" spans="2:30" ht="15.75" hidden="1" customHeight="1" x14ac:dyDescent="0.2">
      <c r="B44" s="330" t="s">
        <v>251</v>
      </c>
      <c r="C44" s="331"/>
      <c r="D44" s="331"/>
      <c r="E44" s="2133"/>
      <c r="F44" s="2133"/>
      <c r="G44" s="2133"/>
      <c r="H44" s="332"/>
      <c r="I44" s="333"/>
      <c r="J44" s="333"/>
      <c r="K44" s="2438"/>
      <c r="L44" s="2337"/>
      <c r="M44" s="2438"/>
      <c r="N44" s="2438"/>
      <c r="O44" s="2438"/>
      <c r="P44" s="335"/>
      <c r="Q44" s="2338"/>
      <c r="R44" s="2338" t="e">
        <f t="shared" si="12"/>
        <v>#DIV/0!</v>
      </c>
      <c r="S44" s="2337"/>
      <c r="T44" s="2337"/>
      <c r="U44" s="2337"/>
      <c r="V44" s="2337"/>
      <c r="W44" s="804">
        <f t="shared" si="13"/>
        <v>0</v>
      </c>
      <c r="X44" s="804">
        <f t="shared" si="14"/>
        <v>0</v>
      </c>
      <c r="Y44" s="335" t="s">
        <v>3</v>
      </c>
      <c r="Z44" s="358" t="s">
        <v>3</v>
      </c>
    </row>
    <row r="45" spans="2:30" ht="15.75" customHeight="1" x14ac:dyDescent="0.2">
      <c r="B45" s="330" t="s">
        <v>252</v>
      </c>
      <c r="C45" s="331" t="e">
        <f>'CNG Table A'!#REF!</f>
        <v>#REF!</v>
      </c>
      <c r="D45" s="874" t="e">
        <f>E45-C45</f>
        <v>#REF!</v>
      </c>
      <c r="E45" s="2461" t="e">
        <f>#REF!*1000</f>
        <v>#REF!</v>
      </c>
      <c r="F45" s="2461" t="e">
        <f>#REF!*1000</f>
        <v>#REF!</v>
      </c>
      <c r="G45" s="2461" t="e">
        <f>#REF!*1000</f>
        <v>#REF!</v>
      </c>
      <c r="H45" s="332" t="e">
        <f>SUM(C45/$C$75)</f>
        <v>#REF!</v>
      </c>
      <c r="I45" s="333" t="e">
        <f>F45/C45</f>
        <v>#REF!</v>
      </c>
      <c r="J45" s="333" t="e">
        <f>G45/E45</f>
        <v>#REF!</v>
      </c>
      <c r="K45" s="2467" t="e">
        <f>#REF!</f>
        <v>#REF!</v>
      </c>
      <c r="L45" s="804" t="s">
        <v>244</v>
      </c>
      <c r="M45" s="2467" t="e">
        <f>#REF!</f>
        <v>#REF!</v>
      </c>
      <c r="N45" s="2467" t="e">
        <f>#REF!</f>
        <v>#REF!</v>
      </c>
      <c r="O45" s="2467" t="e">
        <f>#REF!</f>
        <v>#REF!</v>
      </c>
      <c r="P45" s="335" t="e">
        <f>C45/M45</f>
        <v>#REF!</v>
      </c>
      <c r="Q45" s="2338" t="e">
        <f>C45/N45</f>
        <v>#REF!</v>
      </c>
      <c r="R45" s="2338" t="e">
        <f t="shared" si="12"/>
        <v>#REF!</v>
      </c>
      <c r="S45" s="804"/>
      <c r="T45" s="804"/>
      <c r="U45" s="804"/>
      <c r="V45" s="804"/>
      <c r="W45" s="804" t="e">
        <f t="shared" si="13"/>
        <v>#REF!</v>
      </c>
      <c r="X45" s="804" t="e">
        <f t="shared" si="14"/>
        <v>#REF!</v>
      </c>
      <c r="Y45" s="335" t="e">
        <f>+C45/W45</f>
        <v>#REF!</v>
      </c>
      <c r="Z45" s="358" t="e">
        <f>+C45/X45</f>
        <v>#REF!</v>
      </c>
    </row>
    <row r="46" spans="2:30" ht="15.75" customHeight="1" x14ac:dyDescent="0.2">
      <c r="B46" s="330" t="s">
        <v>253</v>
      </c>
      <c r="C46" s="331" t="e">
        <f>'SCG Table A'!#REF!</f>
        <v>#REF!</v>
      </c>
      <c r="D46" s="874" t="e">
        <f>E46-C46</f>
        <v>#REF!</v>
      </c>
      <c r="E46" s="2461" t="e">
        <v>#REF!</v>
      </c>
      <c r="F46" s="2461" t="e">
        <v>#REF!</v>
      </c>
      <c r="G46" s="2461" t="e">
        <v>#REF!</v>
      </c>
      <c r="H46" s="332" t="e">
        <f>SUM(C46/$C$76)</f>
        <v>#REF!</v>
      </c>
      <c r="I46" s="333" t="e">
        <f>F46/C46</f>
        <v>#REF!</v>
      </c>
      <c r="J46" s="333" t="e">
        <f>G46/E46</f>
        <v>#REF!</v>
      </c>
      <c r="K46" s="2467" t="e">
        <v>#REF!</v>
      </c>
      <c r="L46" s="804" t="s">
        <v>244</v>
      </c>
      <c r="M46" s="2467" t="e">
        <v>#REF!</v>
      </c>
      <c r="N46" s="2467" t="e">
        <v>#REF!</v>
      </c>
      <c r="O46" s="2467" t="e">
        <v>#REF!</v>
      </c>
      <c r="P46" s="335" t="e">
        <f>C46/M46</f>
        <v>#REF!</v>
      </c>
      <c r="Q46" s="2338" t="e">
        <f>C46/N46</f>
        <v>#REF!</v>
      </c>
      <c r="R46" s="2338" t="e">
        <f t="shared" si="12"/>
        <v>#REF!</v>
      </c>
      <c r="S46" s="804"/>
      <c r="T46" s="804"/>
      <c r="U46" s="804"/>
      <c r="V46" s="804"/>
      <c r="W46" s="804" t="e">
        <f t="shared" si="13"/>
        <v>#REF!</v>
      </c>
      <c r="X46" s="804" t="e">
        <f t="shared" si="14"/>
        <v>#REF!</v>
      </c>
      <c r="Y46" s="335" t="e">
        <f>+C46/W46</f>
        <v>#REF!</v>
      </c>
      <c r="Z46" s="358" t="e">
        <f>+C46/X46</f>
        <v>#REF!</v>
      </c>
    </row>
    <row r="47" spans="2:30" ht="19.5" customHeight="1" x14ac:dyDescent="0.25">
      <c r="B47" s="2363" t="s">
        <v>302</v>
      </c>
      <c r="C47" s="2330" t="e">
        <f>SUM(C44:C46)</f>
        <v>#REF!</v>
      </c>
      <c r="D47" s="2330" t="e">
        <f>SUM(D44:D46)</f>
        <v>#REF!</v>
      </c>
      <c r="E47" s="2330" t="e">
        <f>SUM(E44:E46)</f>
        <v>#REF!</v>
      </c>
      <c r="F47" s="2330" t="e">
        <f>SUM(F44:F46)</f>
        <v>#REF!</v>
      </c>
      <c r="G47" s="2330" t="e">
        <f>SUM(G44:G46)</f>
        <v>#REF!</v>
      </c>
      <c r="H47" s="2331" t="e">
        <f>SUM(C47/$C$77)</f>
        <v>#REF!</v>
      </c>
      <c r="I47" s="2332" t="e">
        <f>F47/C47</f>
        <v>#REF!</v>
      </c>
      <c r="J47" s="2332" t="e">
        <f>G47/E47</f>
        <v>#REF!</v>
      </c>
      <c r="K47" s="2439" t="e">
        <f>SUM(K44:K46)</f>
        <v>#REF!</v>
      </c>
      <c r="L47" s="2330" t="s">
        <v>244</v>
      </c>
      <c r="M47" s="2447" t="e">
        <f>SUM(M44:M46)</f>
        <v>#REF!</v>
      </c>
      <c r="N47" s="2447" t="e">
        <f>SUM(N44:N46)</f>
        <v>#REF!</v>
      </c>
      <c r="O47" s="2447" t="e">
        <f>SUM(O44:O46)</f>
        <v>#REF!</v>
      </c>
      <c r="P47" s="2336" t="e">
        <f>C47/M47</f>
        <v>#REF!</v>
      </c>
      <c r="Q47" s="2339" t="e">
        <f>C47/N47</f>
        <v>#REF!</v>
      </c>
      <c r="R47" s="2339" t="e">
        <f t="shared" si="12"/>
        <v>#REF!</v>
      </c>
      <c r="S47" s="2335">
        <f>SUM(S44:S46)</f>
        <v>0</v>
      </c>
      <c r="T47" s="2335">
        <f>SUM(T44:T46)</f>
        <v>0</v>
      </c>
      <c r="U47" s="2335">
        <f>SUM(U44:U46)</f>
        <v>0</v>
      </c>
      <c r="V47" s="2335">
        <f>SUM(V44:V46)</f>
        <v>0</v>
      </c>
      <c r="W47" s="2333" t="e">
        <f t="shared" si="13"/>
        <v>#REF!</v>
      </c>
      <c r="X47" s="2333" t="e">
        <f t="shared" si="14"/>
        <v>#REF!</v>
      </c>
      <c r="Y47" s="2336" t="e">
        <f>+C47/W47</f>
        <v>#REF!</v>
      </c>
      <c r="Z47" s="2365" t="e">
        <f>+C47/X47</f>
        <v>#REF!</v>
      </c>
    </row>
    <row r="48" spans="2:30" ht="15.75" customHeight="1" thickBot="1" x14ac:dyDescent="0.3">
      <c r="B48" s="2369" t="s">
        <v>127</v>
      </c>
      <c r="C48" s="2370" t="e">
        <f>C47+C43+C39+C34</f>
        <v>#REF!</v>
      </c>
      <c r="D48" s="2370" t="e">
        <f>D47+D43+D39+D34</f>
        <v>#REF!</v>
      </c>
      <c r="E48" s="2370" t="e">
        <f>E47+E43+E39+E34</f>
        <v>#REF!</v>
      </c>
      <c r="F48" s="2370" t="e">
        <f>F47+F43+F39+F34</f>
        <v>#REF!</v>
      </c>
      <c r="G48" s="2370" t="e">
        <f>G47+G43+G39+G34</f>
        <v>#REF!</v>
      </c>
      <c r="H48" s="2371" t="e">
        <f>SUM(C48/C77)</f>
        <v>#REF!</v>
      </c>
      <c r="I48" s="2372" t="e">
        <f>F48/C48</f>
        <v>#REF!</v>
      </c>
      <c r="J48" s="2372" t="e">
        <f>G48/E48</f>
        <v>#REF!</v>
      </c>
      <c r="K48" s="2446" t="e">
        <f>K47+K43+K39+K34</f>
        <v>#REF!</v>
      </c>
      <c r="L48" s="2379" t="s">
        <v>244</v>
      </c>
      <c r="M48" s="2450" t="e">
        <f>M47+M43+M39+M34</f>
        <v>#REF!</v>
      </c>
      <c r="N48" s="2451" t="e">
        <f>N47+N43+N39+N34</f>
        <v>#REF!</v>
      </c>
      <c r="O48" s="2451" t="e">
        <f>O47+O43+O39+O34</f>
        <v>#REF!</v>
      </c>
      <c r="P48" s="2376" t="e">
        <f>C48/M48</f>
        <v>#REF!</v>
      </c>
      <c r="Q48" s="2376" t="e">
        <f>C48/N48</f>
        <v>#REF!</v>
      </c>
      <c r="R48" s="2376" t="e">
        <f t="shared" si="12"/>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t="e">
        <f>'CNG Table A'!#REF!</f>
        <v>#REF!</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t="e">
        <f>'SCG Table A'!#REF!</f>
        <v>#REF!</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t="e">
        <f>SUM(C51:C53)</f>
        <v>#REF!</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t="e">
        <f>'CNG Table A'!#REF!+'CNG Table A'!#REF!</f>
        <v>#REF!</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t="e">
        <f>+'SCG Table A'!#REF!+'SCG Table A'!#REF!</f>
        <v>#REF!</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t="e">
        <f>SUM(C55:C57)</f>
        <v>#REF!</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t="e">
        <f>C54+C58</f>
        <v>#REF!</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5">SUM(C62/M62)</f>
        <v>#DIV/0!</v>
      </c>
      <c r="Q62" s="329" t="e">
        <f t="shared" ref="Q62:R69" si="16">SUM(C62/N62)</f>
        <v>#DIV/0!</v>
      </c>
      <c r="R62" s="329" t="e">
        <f t="shared" si="16"/>
        <v>#DIV/0!</v>
      </c>
      <c r="S62" s="2117"/>
      <c r="T62" s="2117"/>
      <c r="U62" s="2117"/>
      <c r="V62" s="2117"/>
      <c r="W62" s="2119">
        <f>+(M62*102900+S62*138690+U62*91330)/10^6</f>
        <v>0</v>
      </c>
      <c r="X62" s="2119">
        <f>+(N62*102900+T62*138690+V62*91330)/10^6</f>
        <v>0</v>
      </c>
      <c r="Y62" s="2118" t="s">
        <v>3</v>
      </c>
      <c r="Z62" s="1997" t="s">
        <v>3</v>
      </c>
    </row>
    <row r="63" spans="2:27" s="284" customFormat="1" ht="15.75" x14ac:dyDescent="0.25">
      <c r="B63" s="434" t="s">
        <v>92</v>
      </c>
      <c r="C63" s="351" t="e">
        <f t="shared" ref="C63:G64" si="17">C7+C11+C15+C18+C21+C25</f>
        <v>#REF!</v>
      </c>
      <c r="D63" s="351" t="e">
        <f t="shared" si="17"/>
        <v>#REF!</v>
      </c>
      <c r="E63" s="351" t="e">
        <f t="shared" si="17"/>
        <v>#REF!</v>
      </c>
      <c r="F63" s="351" t="e">
        <f t="shared" si="17"/>
        <v>#REF!</v>
      </c>
      <c r="G63" s="351" t="e">
        <f t="shared" si="17"/>
        <v>#REF!</v>
      </c>
      <c r="H63" s="497" t="e">
        <f>SUM(C63/$C$75)</f>
        <v>#REF!</v>
      </c>
      <c r="I63" s="400"/>
      <c r="J63" s="400"/>
      <c r="K63" s="2471" t="e">
        <f>K7+K11+K15+K18+K21+K25</f>
        <v>#REF!</v>
      </c>
      <c r="L63" s="400"/>
      <c r="M63" s="424" t="e">
        <f t="shared" ref="M63:O64" si="18">M7+M11+M15+M18+M21+M25</f>
        <v>#REF!</v>
      </c>
      <c r="N63" s="424" t="e">
        <f t="shared" si="18"/>
        <v>#REF!</v>
      </c>
      <c r="O63" s="424" t="e">
        <f t="shared" si="18"/>
        <v>#REF!</v>
      </c>
      <c r="P63" s="2120" t="e">
        <f t="shared" si="15"/>
        <v>#REF!</v>
      </c>
      <c r="Q63" s="2378" t="e">
        <f t="shared" si="16"/>
        <v>#REF!</v>
      </c>
      <c r="R63" s="2378" t="e">
        <f t="shared" ref="R63:R69" si="19">C63/O63</f>
        <v>#REF!</v>
      </c>
      <c r="S63" s="424">
        <f t="shared" ref="S63:X63" si="20">S7+S11+S15+S18+S21+S25</f>
        <v>0</v>
      </c>
      <c r="T63" s="424">
        <f t="shared" si="20"/>
        <v>0</v>
      </c>
      <c r="U63" s="424">
        <f t="shared" si="20"/>
        <v>0</v>
      </c>
      <c r="V63" s="424">
        <f t="shared" si="20"/>
        <v>0</v>
      </c>
      <c r="W63" s="2121" t="e">
        <f t="shared" si="20"/>
        <v>#REF!</v>
      </c>
      <c r="X63" s="2121" t="e">
        <f t="shared" si="20"/>
        <v>#REF!</v>
      </c>
      <c r="Y63" s="2120" t="e">
        <f>+C63/W63</f>
        <v>#REF!</v>
      </c>
      <c r="Z63" s="356" t="e">
        <f>+C63/X63</f>
        <v>#REF!</v>
      </c>
    </row>
    <row r="64" spans="2:27" s="284" customFormat="1" ht="19.5" customHeight="1" x14ac:dyDescent="0.25">
      <c r="B64" s="437" t="s">
        <v>93</v>
      </c>
      <c r="C64" s="331" t="e">
        <f>C8+C12+C16+C19+C22</f>
        <v>#REF!</v>
      </c>
      <c r="D64" s="331" t="e">
        <f t="shared" si="17"/>
        <v>#REF!</v>
      </c>
      <c r="E64" s="331" t="e">
        <f t="shared" si="17"/>
        <v>#REF!</v>
      </c>
      <c r="F64" s="331" t="e">
        <f t="shared" si="17"/>
        <v>#REF!</v>
      </c>
      <c r="G64" s="331" t="e">
        <f t="shared" si="17"/>
        <v>#REF!</v>
      </c>
      <c r="H64" s="494" t="e">
        <f>SUM(C64/$C$76)</f>
        <v>#REF!</v>
      </c>
      <c r="I64" s="402"/>
      <c r="J64" s="402"/>
      <c r="K64" s="2472" t="e">
        <f>K8+K12+K16+K19+K22+K26</f>
        <v>#REF!</v>
      </c>
      <c r="L64" s="402"/>
      <c r="M64" s="2350" t="e">
        <f t="shared" si="18"/>
        <v>#REF!</v>
      </c>
      <c r="N64" s="2350" t="e">
        <f t="shared" si="18"/>
        <v>#REF!</v>
      </c>
      <c r="O64" s="2350" t="e">
        <f t="shared" si="18"/>
        <v>#REF!</v>
      </c>
      <c r="P64" s="335" t="e">
        <f t="shared" si="15"/>
        <v>#REF!</v>
      </c>
      <c r="Q64" s="2338" t="e">
        <f t="shared" si="16"/>
        <v>#REF!</v>
      </c>
      <c r="R64" s="2338" t="e">
        <f t="shared" si="19"/>
        <v>#REF!</v>
      </c>
      <c r="S64" s="2350">
        <f t="shared" ref="S64:X64" si="21">S8+S12+S16+S19+S22+S26</f>
        <v>0</v>
      </c>
      <c r="T64" s="2350">
        <f t="shared" si="21"/>
        <v>0</v>
      </c>
      <c r="U64" s="2350">
        <f t="shared" si="21"/>
        <v>0</v>
      </c>
      <c r="V64" s="2350">
        <f t="shared" si="21"/>
        <v>0</v>
      </c>
      <c r="W64" s="804" t="e">
        <f t="shared" si="21"/>
        <v>#REF!</v>
      </c>
      <c r="X64" s="804" t="e">
        <f t="shared" si="21"/>
        <v>#REF!</v>
      </c>
      <c r="Y64" s="335" t="e">
        <f>+C64/W64</f>
        <v>#REF!</v>
      </c>
      <c r="Z64" s="358" t="e">
        <f>+C64/X64</f>
        <v>#REF!</v>
      </c>
    </row>
    <row r="65" spans="2:26" ht="15.75" x14ac:dyDescent="0.25">
      <c r="B65" s="2363" t="s">
        <v>94</v>
      </c>
      <c r="C65" s="2347" t="e">
        <f>SUM(C62:C64)</f>
        <v>#REF!</v>
      </c>
      <c r="D65" s="2347" t="e">
        <f>SUM(D62:D64)</f>
        <v>#REF!</v>
      </c>
      <c r="E65" s="2347" t="e">
        <f>SUM(E62:E64)</f>
        <v>#REF!</v>
      </c>
      <c r="F65" s="2347" t="e">
        <f>SUM(F62:F64)</f>
        <v>#REF!</v>
      </c>
      <c r="G65" s="2347" t="e">
        <f>SUM(G62:G64)</f>
        <v>#REF!</v>
      </c>
      <c r="H65" s="2351" t="e">
        <f>SUM(C65/$C$77)</f>
        <v>#REF!</v>
      </c>
      <c r="I65" s="402"/>
      <c r="J65" s="402"/>
      <c r="K65" s="2335" t="e">
        <f>SUM(K62:K64)</f>
        <v>#REF!</v>
      </c>
      <c r="L65" s="402"/>
      <c r="M65" s="2352" t="e">
        <f>SUM(M62:M64)</f>
        <v>#REF!</v>
      </c>
      <c r="N65" s="2352" t="e">
        <f>SUM(N62:N64)</f>
        <v>#REF!</v>
      </c>
      <c r="O65" s="2352" t="e">
        <f>SUM(O62:O64)</f>
        <v>#REF!</v>
      </c>
      <c r="P65" s="2336" t="e">
        <f t="shared" si="15"/>
        <v>#REF!</v>
      </c>
      <c r="Q65" s="2339" t="e">
        <f t="shared" si="16"/>
        <v>#REF!</v>
      </c>
      <c r="R65" s="2339" t="e">
        <f t="shared" si="19"/>
        <v>#REF!</v>
      </c>
      <c r="S65" s="2352">
        <f>SUM(S62:S64)</f>
        <v>0</v>
      </c>
      <c r="T65" s="2352">
        <f>SUM(T62:T64)</f>
        <v>0</v>
      </c>
      <c r="U65" s="2352">
        <f>SUM(U62:U64)</f>
        <v>0</v>
      </c>
      <c r="V65" s="2352">
        <f>SUM(V62:V64)</f>
        <v>0</v>
      </c>
      <c r="W65" s="2333" t="e">
        <f t="shared" ref="W65:W77" si="22">+(M65*102900+S65*138690+U65*91330)/10^6</f>
        <v>#REF!</v>
      </c>
      <c r="X65" s="2333" t="e">
        <f t="shared" ref="X65:X77" si="23">+(N65*102900+T65*138690+V65*91330)/10^6</f>
        <v>#REF!</v>
      </c>
      <c r="Y65" s="2336" t="e">
        <f>+C65/W65</f>
        <v>#REF!</v>
      </c>
      <c r="Z65" s="2365" t="e">
        <f>+C65/X65</f>
        <v>#REF!</v>
      </c>
    </row>
    <row r="66" spans="2:26" s="284" customFormat="1" ht="15.75" hidden="1" x14ac:dyDescent="0.25">
      <c r="B66" s="437" t="s">
        <v>95</v>
      </c>
      <c r="C66" s="331">
        <f t="shared" ref="C66:G68" si="24">C31+C36+C40+C44</f>
        <v>0</v>
      </c>
      <c r="D66" s="331">
        <f t="shared" si="24"/>
        <v>0</v>
      </c>
      <c r="E66" s="331">
        <f t="shared" si="24"/>
        <v>0</v>
      </c>
      <c r="F66" s="331">
        <f t="shared" si="24"/>
        <v>0</v>
      </c>
      <c r="G66" s="331">
        <f t="shared" si="24"/>
        <v>0</v>
      </c>
      <c r="H66" s="494" t="e">
        <f>SUM(C66/$C$74)</f>
        <v>#DIV/0!</v>
      </c>
      <c r="I66" s="402"/>
      <c r="J66" s="402"/>
      <c r="K66" s="2472">
        <f>K31+K36+K40+K44</f>
        <v>0</v>
      </c>
      <c r="L66" s="402"/>
      <c r="M66" s="2350">
        <f t="shared" ref="M66:O68" si="25">M31+M36+M40+M44</f>
        <v>0</v>
      </c>
      <c r="N66" s="2350">
        <f t="shared" si="25"/>
        <v>0</v>
      </c>
      <c r="O66" s="2350">
        <f t="shared" si="25"/>
        <v>0</v>
      </c>
      <c r="P66" s="438" t="e">
        <f t="shared" si="15"/>
        <v>#DIV/0!</v>
      </c>
      <c r="Q66" s="438" t="e">
        <f t="shared" si="16"/>
        <v>#DIV/0!</v>
      </c>
      <c r="R66" s="438" t="e">
        <f t="shared" si="19"/>
        <v>#DIV/0!</v>
      </c>
      <c r="S66" s="402"/>
      <c r="T66" s="402"/>
      <c r="U66" s="402"/>
      <c r="V66" s="402"/>
      <c r="W66" s="804">
        <f t="shared" si="22"/>
        <v>0</v>
      </c>
      <c r="X66" s="804">
        <f t="shared" si="23"/>
        <v>0</v>
      </c>
      <c r="Y66" s="2008" t="s">
        <v>3</v>
      </c>
      <c r="Z66" s="2009" t="s">
        <v>3</v>
      </c>
    </row>
    <row r="67" spans="2:26" s="284" customFormat="1" ht="15.75" x14ac:dyDescent="0.25">
      <c r="B67" s="437" t="s">
        <v>96</v>
      </c>
      <c r="C67" s="331" t="e">
        <f t="shared" si="24"/>
        <v>#REF!</v>
      </c>
      <c r="D67" s="331" t="e">
        <f t="shared" si="24"/>
        <v>#REF!</v>
      </c>
      <c r="E67" s="331" t="e">
        <f t="shared" si="24"/>
        <v>#REF!</v>
      </c>
      <c r="F67" s="331" t="e">
        <f t="shared" si="24"/>
        <v>#REF!</v>
      </c>
      <c r="G67" s="331" t="e">
        <f t="shared" si="24"/>
        <v>#REF!</v>
      </c>
      <c r="H67" s="494" t="e">
        <f>SUM(C67/$C$75)</f>
        <v>#REF!</v>
      </c>
      <c r="I67" s="402"/>
      <c r="J67" s="402"/>
      <c r="K67" s="2472" t="e">
        <f>K32+K37+K41+K45</f>
        <v>#REF!</v>
      </c>
      <c r="L67" s="402"/>
      <c r="M67" s="2350" t="e">
        <f t="shared" si="25"/>
        <v>#REF!</v>
      </c>
      <c r="N67" s="2350" t="e">
        <f t="shared" si="25"/>
        <v>#REF!</v>
      </c>
      <c r="O67" s="2350" t="e">
        <f t="shared" si="25"/>
        <v>#REF!</v>
      </c>
      <c r="P67" s="438" t="e">
        <f t="shared" si="15"/>
        <v>#REF!</v>
      </c>
      <c r="Q67" s="438" t="e">
        <f t="shared" si="16"/>
        <v>#REF!</v>
      </c>
      <c r="R67" s="438" t="e">
        <f t="shared" si="19"/>
        <v>#REF!</v>
      </c>
      <c r="S67" s="2350">
        <f>S32+S37+S41+S45</f>
        <v>0</v>
      </c>
      <c r="T67" s="2350">
        <f>T32+T37+T41+T45</f>
        <v>0</v>
      </c>
      <c r="U67" s="2350"/>
      <c r="V67" s="2350"/>
      <c r="W67" s="804" t="e">
        <f t="shared" si="22"/>
        <v>#REF!</v>
      </c>
      <c r="X67" s="804" t="e">
        <f t="shared" si="23"/>
        <v>#REF!</v>
      </c>
      <c r="Y67" s="335" t="e">
        <f>+C67/W67</f>
        <v>#REF!</v>
      </c>
      <c r="Z67" s="358" t="e">
        <f>+C67/X67</f>
        <v>#REF!</v>
      </c>
    </row>
    <row r="68" spans="2:26" s="284" customFormat="1" ht="15.75" x14ac:dyDescent="0.25">
      <c r="B68" s="437" t="s">
        <v>97</v>
      </c>
      <c r="C68" s="331" t="e">
        <f t="shared" si="24"/>
        <v>#REF!</v>
      </c>
      <c r="D68" s="331" t="e">
        <f t="shared" si="24"/>
        <v>#REF!</v>
      </c>
      <c r="E68" s="331" t="e">
        <f t="shared" si="24"/>
        <v>#REF!</v>
      </c>
      <c r="F68" s="331" t="e">
        <f t="shared" si="24"/>
        <v>#REF!</v>
      </c>
      <c r="G68" s="331" t="e">
        <f t="shared" si="24"/>
        <v>#REF!</v>
      </c>
      <c r="H68" s="494" t="e">
        <f>SUM(C68/$C$76)</f>
        <v>#REF!</v>
      </c>
      <c r="I68" s="402"/>
      <c r="J68" s="402"/>
      <c r="K68" s="2472" t="e">
        <f>K33+K38+K42+K46</f>
        <v>#REF!</v>
      </c>
      <c r="L68" s="402"/>
      <c r="M68" s="2350" t="e">
        <f t="shared" si="25"/>
        <v>#REF!</v>
      </c>
      <c r="N68" s="2350" t="e">
        <f t="shared" si="25"/>
        <v>#REF!</v>
      </c>
      <c r="O68" s="2350" t="e">
        <f t="shared" si="25"/>
        <v>#REF!</v>
      </c>
      <c r="P68" s="438" t="e">
        <f t="shared" si="15"/>
        <v>#REF!</v>
      </c>
      <c r="Q68" s="438" t="e">
        <f t="shared" si="16"/>
        <v>#REF!</v>
      </c>
      <c r="R68" s="438" t="e">
        <f t="shared" si="19"/>
        <v>#REF!</v>
      </c>
      <c r="S68" s="2350">
        <f>S33+S38+S42+S46</f>
        <v>0</v>
      </c>
      <c r="T68" s="2350">
        <f>T33+T38+T42+T46</f>
        <v>0</v>
      </c>
      <c r="U68" s="2350"/>
      <c r="V68" s="2350"/>
      <c r="W68" s="804" t="e">
        <f t="shared" si="22"/>
        <v>#REF!</v>
      </c>
      <c r="X68" s="804" t="e">
        <f t="shared" si="23"/>
        <v>#REF!</v>
      </c>
      <c r="Y68" s="335" t="e">
        <f>+C68/W68</f>
        <v>#REF!</v>
      </c>
      <c r="Z68" s="358" t="e">
        <f>+C68/X68</f>
        <v>#REF!</v>
      </c>
    </row>
    <row r="69" spans="2:26" ht="15.75" x14ac:dyDescent="0.25">
      <c r="B69" s="2363" t="s">
        <v>98</v>
      </c>
      <c r="C69" s="2347" t="e">
        <f>SUM(C66:C68)</f>
        <v>#REF!</v>
      </c>
      <c r="D69" s="2347" t="e">
        <f>SUM(D66:D68)</f>
        <v>#REF!</v>
      </c>
      <c r="E69" s="2347" t="e">
        <f>SUM(E66:E68)</f>
        <v>#REF!</v>
      </c>
      <c r="F69" s="2347" t="e">
        <f>SUM(F66:F68)</f>
        <v>#REF!</v>
      </c>
      <c r="G69" s="2347" t="e">
        <f>SUM(G66:G68)</f>
        <v>#REF!</v>
      </c>
      <c r="H69" s="2351" t="e">
        <f>SUM(C69/$C$77)</f>
        <v>#REF!</v>
      </c>
      <c r="I69" s="402"/>
      <c r="J69" s="402"/>
      <c r="K69" s="2335" t="e">
        <f>SUM(K66:K68)</f>
        <v>#REF!</v>
      </c>
      <c r="L69" s="402"/>
      <c r="M69" s="2352" t="e">
        <f>SUM(M66:M68)</f>
        <v>#REF!</v>
      </c>
      <c r="N69" s="2352" t="e">
        <f>SUM(N66:N68)</f>
        <v>#REF!</v>
      </c>
      <c r="O69" s="2352" t="e">
        <f>SUM(O66:O68)</f>
        <v>#REF!</v>
      </c>
      <c r="P69" s="2353" t="e">
        <f t="shared" si="15"/>
        <v>#REF!</v>
      </c>
      <c r="Q69" s="2353" t="e">
        <f t="shared" si="16"/>
        <v>#REF!</v>
      </c>
      <c r="R69" s="2353" t="e">
        <f t="shared" si="19"/>
        <v>#REF!</v>
      </c>
      <c r="S69" s="2352">
        <f>SUM(S66:S68)</f>
        <v>0</v>
      </c>
      <c r="T69" s="2352">
        <f>SUM(T66:T68)</f>
        <v>0</v>
      </c>
      <c r="U69" s="2352"/>
      <c r="V69" s="2352"/>
      <c r="W69" s="2333" t="e">
        <f t="shared" si="22"/>
        <v>#REF!</v>
      </c>
      <c r="X69" s="2333" t="e">
        <f t="shared" si="23"/>
        <v>#REF!</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22"/>
        <v>0</v>
      </c>
      <c r="X70" s="804">
        <f t="shared" si="23"/>
        <v>0</v>
      </c>
      <c r="Y70" s="2029"/>
      <c r="Z70" s="439"/>
    </row>
    <row r="71" spans="2:26" s="284" customFormat="1" ht="15.75" x14ac:dyDescent="0.25">
      <c r="B71" s="437" t="s">
        <v>100</v>
      </c>
      <c r="C71" s="331" t="e">
        <f>C52+C56</f>
        <v>#REF!</v>
      </c>
      <c r="D71" s="331"/>
      <c r="E71" s="331"/>
      <c r="F71" s="331"/>
      <c r="G71" s="331"/>
      <c r="H71" s="494" t="e">
        <f>SUM(C71/$C$75)</f>
        <v>#REF!</v>
      </c>
      <c r="I71" s="402"/>
      <c r="J71" s="402"/>
      <c r="K71" s="814"/>
      <c r="L71" s="402"/>
      <c r="M71" s="450"/>
      <c r="N71" s="450"/>
      <c r="O71" s="450"/>
      <c r="P71" s="450"/>
      <c r="Q71" s="438"/>
      <c r="R71" s="438"/>
      <c r="S71" s="402"/>
      <c r="T71" s="402"/>
      <c r="U71" s="402"/>
      <c r="V71" s="402"/>
      <c r="W71" s="804">
        <f t="shared" si="22"/>
        <v>0</v>
      </c>
      <c r="X71" s="804">
        <f t="shared" si="23"/>
        <v>0</v>
      </c>
      <c r="Y71" s="450"/>
      <c r="Z71" s="439"/>
    </row>
    <row r="72" spans="2:26" s="284" customFormat="1" ht="15.75" x14ac:dyDescent="0.25">
      <c r="B72" s="437" t="s">
        <v>101</v>
      </c>
      <c r="C72" s="331" t="e">
        <f>C53+C57</f>
        <v>#REF!</v>
      </c>
      <c r="D72" s="331"/>
      <c r="E72" s="331"/>
      <c r="F72" s="331"/>
      <c r="G72" s="331"/>
      <c r="H72" s="494" t="e">
        <f>SUM(C72/$C$76)</f>
        <v>#REF!</v>
      </c>
      <c r="I72" s="402"/>
      <c r="J72" s="402"/>
      <c r="K72" s="814"/>
      <c r="L72" s="402"/>
      <c r="M72" s="450"/>
      <c r="N72" s="450"/>
      <c r="O72" s="450"/>
      <c r="P72" s="450"/>
      <c r="Q72" s="438"/>
      <c r="R72" s="438"/>
      <c r="S72" s="402"/>
      <c r="T72" s="402"/>
      <c r="U72" s="402"/>
      <c r="V72" s="402"/>
      <c r="W72" s="804">
        <f t="shared" si="22"/>
        <v>0</v>
      </c>
      <c r="X72" s="804">
        <f t="shared" si="23"/>
        <v>0</v>
      </c>
      <c r="Y72" s="450"/>
      <c r="Z72" s="439"/>
    </row>
    <row r="73" spans="2:26" s="284" customFormat="1" ht="15.75" x14ac:dyDescent="0.25">
      <c r="B73" s="2363" t="s">
        <v>102</v>
      </c>
      <c r="C73" s="2347" t="e">
        <f>SUM(C70:C72)</f>
        <v>#REF!</v>
      </c>
      <c r="D73" s="2347">
        <f>SUM(D70:D72)</f>
        <v>0</v>
      </c>
      <c r="E73" s="2347">
        <f>SUM(E70:E72)</f>
        <v>0</v>
      </c>
      <c r="F73" s="2347">
        <f>SUM(F70:F72)</f>
        <v>0</v>
      </c>
      <c r="G73" s="2347">
        <f>SUM(G70:G72)</f>
        <v>0</v>
      </c>
      <c r="H73" s="2351" t="e">
        <f>SUM(C73/$C$77)</f>
        <v>#REF!</v>
      </c>
      <c r="I73" s="402"/>
      <c r="J73" s="402"/>
      <c r="K73" s="2472">
        <f>SUM(K70:K72)</f>
        <v>0</v>
      </c>
      <c r="L73" s="402"/>
      <c r="M73" s="2350">
        <f>SUM(M70:M72)</f>
        <v>0</v>
      </c>
      <c r="N73" s="2350">
        <f>SUM(N70:N72)</f>
        <v>0</v>
      </c>
      <c r="O73" s="2350">
        <f>SUM(O70:O72)</f>
        <v>0</v>
      </c>
      <c r="P73" s="438"/>
      <c r="Q73" s="438"/>
      <c r="R73" s="438"/>
      <c r="S73" s="402"/>
      <c r="T73" s="402"/>
      <c r="U73" s="402"/>
      <c r="V73" s="402"/>
      <c r="W73" s="2333">
        <f t="shared" si="22"/>
        <v>0</v>
      </c>
      <c r="X73" s="2333">
        <f t="shared" si="23"/>
        <v>0</v>
      </c>
      <c r="Y73" s="438"/>
      <c r="Z73" s="439"/>
    </row>
    <row r="74" spans="2:26" s="284" customFormat="1" ht="15.75" hidden="1" x14ac:dyDescent="0.25">
      <c r="B74" s="2363" t="s">
        <v>103</v>
      </c>
      <c r="C74" s="331">
        <f t="shared" ref="C74:G76" si="26">SUM(C62,C66,C70)</f>
        <v>0</v>
      </c>
      <c r="D74" s="331">
        <f t="shared" si="26"/>
        <v>0</v>
      </c>
      <c r="E74" s="331">
        <f t="shared" si="26"/>
        <v>0</v>
      </c>
      <c r="F74" s="331">
        <f t="shared" si="26"/>
        <v>0</v>
      </c>
      <c r="G74" s="331">
        <f t="shared" si="26"/>
        <v>0</v>
      </c>
      <c r="H74" s="494" t="e">
        <f>SUM(C74/$C$77)</f>
        <v>#REF!</v>
      </c>
      <c r="I74" s="402"/>
      <c r="J74" s="402"/>
      <c r="K74" s="814">
        <f>SUM(K62,K66,K70)</f>
        <v>0</v>
      </c>
      <c r="L74" s="402"/>
      <c r="M74" s="450">
        <f t="shared" ref="M74:N76" si="27">SUM(M62,M66,M70)</f>
        <v>0</v>
      </c>
      <c r="N74" s="450">
        <f t="shared" si="27"/>
        <v>0</v>
      </c>
      <c r="O74" s="450">
        <f>SUM(O62,O66,O70)</f>
        <v>0</v>
      </c>
      <c r="P74" s="438" t="e">
        <f>SUM(C74/M74)</f>
        <v>#DIV/0!</v>
      </c>
      <c r="Q74" s="438" t="e">
        <f>SUM(C74/N74)</f>
        <v>#DIV/0!</v>
      </c>
      <c r="R74" s="438" t="e">
        <f>SUM(D74/O74)</f>
        <v>#DIV/0!</v>
      </c>
      <c r="S74" s="402"/>
      <c r="T74" s="402"/>
      <c r="U74" s="402"/>
      <c r="V74" s="402"/>
      <c r="W74" s="804">
        <f t="shared" si="22"/>
        <v>0</v>
      </c>
      <c r="X74" s="804">
        <f t="shared" si="23"/>
        <v>0</v>
      </c>
      <c r="Y74" s="2008"/>
      <c r="Z74" s="2009"/>
    </row>
    <row r="75" spans="2:26" s="284" customFormat="1" ht="15.75" x14ac:dyDescent="0.25">
      <c r="B75" s="2363" t="s">
        <v>104</v>
      </c>
      <c r="C75" s="331" t="e">
        <f t="shared" si="26"/>
        <v>#REF!</v>
      </c>
      <c r="D75" s="331" t="e">
        <f t="shared" si="26"/>
        <v>#REF!</v>
      </c>
      <c r="E75" s="331" t="e">
        <f t="shared" si="26"/>
        <v>#REF!</v>
      </c>
      <c r="F75" s="331" t="e">
        <f t="shared" si="26"/>
        <v>#REF!</v>
      </c>
      <c r="G75" s="331" t="e">
        <f t="shared" si="26"/>
        <v>#REF!</v>
      </c>
      <c r="H75" s="494" t="e">
        <f>SUM(C75/$C$77)</f>
        <v>#REF!</v>
      </c>
      <c r="I75" s="402"/>
      <c r="J75" s="402"/>
      <c r="K75" s="814" t="e">
        <f>SUM(K63,K67,K71)</f>
        <v>#REF!</v>
      </c>
      <c r="L75" s="402"/>
      <c r="M75" s="450" t="e">
        <f>SUM(M63,M67,M71)</f>
        <v>#REF!</v>
      </c>
      <c r="N75" s="450" t="e">
        <f t="shared" si="27"/>
        <v>#REF!</v>
      </c>
      <c r="O75" s="450" t="e">
        <f>SUM(O63,O67,O71)</f>
        <v>#REF!</v>
      </c>
      <c r="P75" s="438" t="e">
        <f>SUM(C75/M75)</f>
        <v>#REF!</v>
      </c>
      <c r="Q75" s="438" t="e">
        <f>SUM(C75/N75)</f>
        <v>#REF!</v>
      </c>
      <c r="R75" s="438" t="e">
        <f>C75/O75</f>
        <v>#REF!</v>
      </c>
      <c r="S75" s="450">
        <f t="shared" ref="S75:V76" si="28">SUM(S63,S67,S71)</f>
        <v>0</v>
      </c>
      <c r="T75" s="450">
        <f t="shared" si="28"/>
        <v>0</v>
      </c>
      <c r="U75" s="450">
        <f t="shared" si="28"/>
        <v>0</v>
      </c>
      <c r="V75" s="450">
        <f t="shared" si="28"/>
        <v>0</v>
      </c>
      <c r="W75" s="804" t="e">
        <f t="shared" si="22"/>
        <v>#REF!</v>
      </c>
      <c r="X75" s="804" t="e">
        <f t="shared" si="23"/>
        <v>#REF!</v>
      </c>
      <c r="Y75" s="335" t="e">
        <f>+C75/W75</f>
        <v>#REF!</v>
      </c>
      <c r="Z75" s="358" t="e">
        <f>+C75/X75</f>
        <v>#REF!</v>
      </c>
    </row>
    <row r="76" spans="2:26" s="284" customFormat="1" ht="15.75" x14ac:dyDescent="0.25">
      <c r="B76" s="2363" t="s">
        <v>105</v>
      </c>
      <c r="C76" s="331" t="e">
        <f t="shared" si="26"/>
        <v>#REF!</v>
      </c>
      <c r="D76" s="331" t="e">
        <f t="shared" si="26"/>
        <v>#REF!</v>
      </c>
      <c r="E76" s="331" t="e">
        <f t="shared" si="26"/>
        <v>#REF!</v>
      </c>
      <c r="F76" s="331" t="e">
        <f t="shared" si="26"/>
        <v>#REF!</v>
      </c>
      <c r="G76" s="331" t="e">
        <f t="shared" si="26"/>
        <v>#REF!</v>
      </c>
      <c r="H76" s="494" t="e">
        <f>SUM(C76/$C$77)</f>
        <v>#REF!</v>
      </c>
      <c r="I76" s="402"/>
      <c r="J76" s="402"/>
      <c r="K76" s="814" t="e">
        <f>SUM(K64,K68,K72)</f>
        <v>#REF!</v>
      </c>
      <c r="L76" s="402"/>
      <c r="M76" s="450" t="e">
        <f t="shared" si="27"/>
        <v>#REF!</v>
      </c>
      <c r="N76" s="450" t="e">
        <f t="shared" si="27"/>
        <v>#REF!</v>
      </c>
      <c r="O76" s="450" t="e">
        <f>SUM(O64,O68,O72)</f>
        <v>#REF!</v>
      </c>
      <c r="P76" s="438" t="e">
        <f>SUM(C76/M76)</f>
        <v>#REF!</v>
      </c>
      <c r="Q76" s="438" t="e">
        <f>SUM(C76/N76)</f>
        <v>#REF!</v>
      </c>
      <c r="R76" s="438" t="e">
        <f>C76/O76</f>
        <v>#REF!</v>
      </c>
      <c r="S76" s="450">
        <f t="shared" si="28"/>
        <v>0</v>
      </c>
      <c r="T76" s="450">
        <f t="shared" si="28"/>
        <v>0</v>
      </c>
      <c r="U76" s="450">
        <f t="shared" si="28"/>
        <v>0</v>
      </c>
      <c r="V76" s="450">
        <f t="shared" si="28"/>
        <v>0</v>
      </c>
      <c r="W76" s="804" t="e">
        <f t="shared" si="22"/>
        <v>#REF!</v>
      </c>
      <c r="X76" s="804" t="e">
        <f t="shared" si="23"/>
        <v>#REF!</v>
      </c>
      <c r="Y76" s="335" t="e">
        <f>+C76/W76</f>
        <v>#REF!</v>
      </c>
      <c r="Z76" s="358" t="e">
        <f>+C76/X76</f>
        <v>#REF!</v>
      </c>
    </row>
    <row r="77" spans="2:26" ht="16.5" thickBot="1" x14ac:dyDescent="0.3">
      <c r="B77" s="2369" t="s">
        <v>106</v>
      </c>
      <c r="C77" s="2370" t="e">
        <f>SUM(C74:C76)</f>
        <v>#REF!</v>
      </c>
      <c r="D77" s="2370" t="e">
        <f>SUM(D74:D76)</f>
        <v>#REF!</v>
      </c>
      <c r="E77" s="2370" t="e">
        <f>SUM(E74:E76)</f>
        <v>#REF!</v>
      </c>
      <c r="F77" s="2370" t="e">
        <f>SUM(F74:F76)</f>
        <v>#REF!</v>
      </c>
      <c r="G77" s="2370" t="e">
        <f>SUM(G74:G76)</f>
        <v>#REF!</v>
      </c>
      <c r="H77" s="2396" t="e">
        <f>SUM(C77/$C$77)</f>
        <v>#REF!</v>
      </c>
      <c r="I77" s="2372" t="e">
        <f>F77/C77</f>
        <v>#REF!</v>
      </c>
      <c r="J77" s="2372" t="e">
        <f>G77/E77</f>
        <v>#REF!</v>
      </c>
      <c r="K77" s="2397" t="e">
        <f>SUM(K74:K76)</f>
        <v>#REF!</v>
      </c>
      <c r="L77" s="2398"/>
      <c r="M77" s="2384" t="e">
        <f>SUM(M74:M76)</f>
        <v>#REF!</v>
      </c>
      <c r="N77" s="2384" t="e">
        <f>SUM(N74:N76)</f>
        <v>#REF!</v>
      </c>
      <c r="O77" s="2384" t="e">
        <f>SUM(O74:O76)</f>
        <v>#REF!</v>
      </c>
      <c r="P77" s="2376" t="e">
        <f>SUM(C77/M77)</f>
        <v>#REF!</v>
      </c>
      <c r="Q77" s="2376" t="e">
        <f>SUM(C77/N77)</f>
        <v>#REF!</v>
      </c>
      <c r="R77" s="2376" t="e">
        <f>C77/O77</f>
        <v>#REF!</v>
      </c>
      <c r="S77" s="2384">
        <f>SUM(S74:S76)</f>
        <v>0</v>
      </c>
      <c r="T77" s="2384">
        <f>SUM(T74:T76)</f>
        <v>0</v>
      </c>
      <c r="U77" s="2384">
        <f>SUM(U74:U76)</f>
        <v>0</v>
      </c>
      <c r="V77" s="2384">
        <f>SUM(V74:V76)</f>
        <v>0</v>
      </c>
      <c r="W77" s="2381" t="e">
        <f t="shared" si="22"/>
        <v>#REF!</v>
      </c>
      <c r="X77" s="2381" t="e">
        <f t="shared" si="23"/>
        <v>#REF!</v>
      </c>
      <c r="Y77" s="2382" t="e">
        <f>+C77/W77</f>
        <v>#REF!</v>
      </c>
      <c r="Z77" s="2377" t="e">
        <f>+C77/X77</f>
        <v>#REF!</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N82" s="1038"/>
      <c r="S82" s="704"/>
      <c r="T82" s="704"/>
      <c r="U82" s="704"/>
      <c r="V82" s="704"/>
      <c r="W82" s="704"/>
      <c r="X82" s="704"/>
    </row>
    <row r="83" spans="3:26" x14ac:dyDescent="0.2">
      <c r="M83" s="1038"/>
      <c r="N83" s="1038"/>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pageSetUpPr fitToPage="1"/>
  </sheetPr>
  <dimension ref="B1:AC90"/>
  <sheetViews>
    <sheetView zoomScale="75" zoomScaleNormal="100" workbookViewId="0">
      <pane xSplit="2" ySplit="5" topLeftCell="C6" activePane="bottomRight" state="frozen"/>
      <selection activeCell="S52" sqref="S52"/>
      <selection pane="topRight" activeCell="S52" sqref="S52"/>
      <selection pane="bottomLeft" activeCell="S52" sqref="S52"/>
      <selection pane="bottomRight" activeCell="E15" sqref="E15"/>
    </sheetView>
  </sheetViews>
  <sheetFormatPr defaultRowHeight="12.75" x14ac:dyDescent="0.2"/>
  <cols>
    <col min="1" max="1" width="9.140625" style="321"/>
    <col min="2" max="2" width="64.7109375" style="321" customWidth="1"/>
    <col min="3" max="3" width="18" style="321" bestFit="1" customWidth="1"/>
    <col min="4" max="4" width="15.7109375" style="321" customWidth="1"/>
    <col min="5" max="5" width="15.5703125" style="321" customWidth="1"/>
    <col min="6" max="6" width="16.140625" style="321" bestFit="1" customWidth="1"/>
    <col min="7" max="7" width="16.7109375" style="321" customWidth="1"/>
    <col min="8" max="8" width="12.28515625" style="321" customWidth="1"/>
    <col min="9" max="9" width="12.85546875" style="321" customWidth="1"/>
    <col min="10" max="10" width="13.140625" style="321" customWidth="1"/>
    <col min="11" max="11" width="11.28515625" style="819" customWidth="1"/>
    <col min="12" max="12" width="16.4257812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28515625" style="321" bestFit="1" customWidth="1"/>
    <col min="20" max="20" width="13.140625" style="321" customWidth="1"/>
    <col min="21" max="21" width="14.5703125" style="321" customWidth="1"/>
    <col min="22" max="22" width="14.7109375" style="321" customWidth="1"/>
    <col min="23" max="23" width="14.5703125" style="321" customWidth="1"/>
    <col min="24" max="24" width="11" style="321" bestFit="1" customWidth="1"/>
    <col min="25" max="25" width="13.85546875" style="321" customWidth="1"/>
    <col min="26" max="26" width="12" style="321" bestFit="1" customWidth="1"/>
    <col min="27" max="16384" width="9.140625" style="321"/>
  </cols>
  <sheetData>
    <row r="1" spans="2:28"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row>
    <row r="2" spans="2:28" s="284" customFormat="1" ht="18" customHeight="1" x14ac:dyDescent="0.2">
      <c r="B2" s="2154" t="s">
        <v>619</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row>
    <row r="3" spans="2:28" s="284" customFormat="1" ht="13.5" thickBot="1" x14ac:dyDescent="0.25">
      <c r="C3" s="243"/>
      <c r="K3" s="802"/>
    </row>
    <row r="4" spans="2:28" ht="63.75" thickBot="1" x14ac:dyDescent="0.3">
      <c r="B4" s="315" t="s">
        <v>79</v>
      </c>
      <c r="C4" s="941" t="s">
        <v>552</v>
      </c>
      <c r="D4" s="941" t="s">
        <v>553</v>
      </c>
      <c r="E4" s="941" t="s">
        <v>554</v>
      </c>
      <c r="F4" s="941" t="s">
        <v>551</v>
      </c>
      <c r="G4" s="315" t="s">
        <v>161</v>
      </c>
      <c r="H4" s="943" t="s">
        <v>555</v>
      </c>
      <c r="I4" s="941" t="s">
        <v>498</v>
      </c>
      <c r="J4" s="317" t="s">
        <v>162</v>
      </c>
      <c r="K4" s="2140" t="s">
        <v>163</v>
      </c>
      <c r="L4" s="318" t="s">
        <v>81</v>
      </c>
      <c r="M4" s="2141" t="s">
        <v>166</v>
      </c>
      <c r="N4" s="2141" t="s">
        <v>165</v>
      </c>
      <c r="O4" s="2142" t="s">
        <v>463</v>
      </c>
      <c r="P4" s="319" t="s">
        <v>164</v>
      </c>
      <c r="Q4" s="320" t="s">
        <v>167</v>
      </c>
      <c r="R4" s="941" t="s">
        <v>512</v>
      </c>
      <c r="S4" s="941" t="s">
        <v>513</v>
      </c>
      <c r="T4" s="941" t="s">
        <v>514</v>
      </c>
      <c r="U4" s="941" t="s">
        <v>515</v>
      </c>
      <c r="V4" s="941" t="s">
        <v>508</v>
      </c>
      <c r="W4" s="941" t="s">
        <v>509</v>
      </c>
      <c r="X4" s="319" t="s">
        <v>510</v>
      </c>
      <c r="Y4" s="320" t="s">
        <v>511</v>
      </c>
    </row>
    <row r="5" spans="2:28" ht="16.5" thickBot="1" x14ac:dyDescent="0.3">
      <c r="B5" s="2155" t="s">
        <v>5</v>
      </c>
      <c r="C5" s="2156"/>
      <c r="D5" s="2156"/>
      <c r="E5" s="2156"/>
      <c r="F5" s="2156"/>
      <c r="G5" s="2156"/>
      <c r="H5" s="2156"/>
      <c r="I5" s="2156"/>
      <c r="J5" s="2156"/>
      <c r="K5" s="2156"/>
      <c r="L5" s="2156"/>
      <c r="M5" s="2156"/>
      <c r="N5" s="2156"/>
      <c r="O5" s="2156"/>
      <c r="P5" s="2156"/>
      <c r="Q5" s="2157"/>
      <c r="R5" s="2108"/>
      <c r="S5" s="2108"/>
      <c r="T5" s="2108"/>
      <c r="U5" s="2108"/>
      <c r="V5" s="2108"/>
      <c r="W5" s="2108"/>
      <c r="X5" s="2109"/>
      <c r="Y5" s="2109"/>
    </row>
    <row r="6" spans="2:28" s="284" customFormat="1" ht="19.5" hidden="1" customHeight="1" x14ac:dyDescent="0.2">
      <c r="B6" s="322" t="s">
        <v>232</v>
      </c>
      <c r="C6" s="683"/>
      <c r="D6" s="331"/>
      <c r="E6" s="331"/>
      <c r="F6" s="331"/>
      <c r="G6" s="331"/>
      <c r="H6" s="332"/>
      <c r="I6" s="333"/>
      <c r="J6" s="333"/>
      <c r="K6" s="804"/>
      <c r="L6" s="326"/>
      <c r="M6" s="804"/>
      <c r="N6" s="804"/>
      <c r="O6" s="804"/>
      <c r="P6" s="335"/>
      <c r="Q6" s="336"/>
      <c r="R6" s="804"/>
      <c r="S6" s="804"/>
      <c r="T6" s="804"/>
      <c r="U6" s="804"/>
      <c r="V6" s="804">
        <v>0</v>
      </c>
      <c r="W6" s="804">
        <v>0</v>
      </c>
      <c r="X6" s="335" t="s">
        <v>3</v>
      </c>
      <c r="Y6" s="336" t="s">
        <v>3</v>
      </c>
    </row>
    <row r="7" spans="2:28" s="2060" customFormat="1" ht="18" customHeight="1" x14ac:dyDescent="0.2">
      <c r="B7" s="2199" t="s">
        <v>233</v>
      </c>
      <c r="C7" s="2200">
        <v>3941950</v>
      </c>
      <c r="D7" s="2052">
        <v>0</v>
      </c>
      <c r="E7" s="2052">
        <v>3941950</v>
      </c>
      <c r="F7" s="2052">
        <v>4330353.2771407636</v>
      </c>
      <c r="G7" s="2052">
        <v>4607020.8801125148</v>
      </c>
      <c r="H7" s="2053">
        <v>0.22734419265483277</v>
      </c>
      <c r="I7" s="2054">
        <v>1.098530746747362</v>
      </c>
      <c r="J7" s="2054">
        <v>1.1687162140850378</v>
      </c>
      <c r="K7" s="2055">
        <v>3860.3117875895673</v>
      </c>
      <c r="L7" s="2056" t="s">
        <v>241</v>
      </c>
      <c r="M7" s="2055">
        <v>337943.52892888448</v>
      </c>
      <c r="N7" s="2055">
        <v>7272108.7546488494</v>
      </c>
      <c r="O7" s="2055">
        <v>4193.2706842317348</v>
      </c>
      <c r="P7" s="2057">
        <v>11.664522805020269</v>
      </c>
      <c r="Q7" s="2058">
        <v>0.54206422552193334</v>
      </c>
      <c r="R7" s="2055"/>
      <c r="S7" s="2055"/>
      <c r="T7" s="2055"/>
      <c r="U7" s="2055"/>
      <c r="V7" s="2055">
        <v>34774.389126782211</v>
      </c>
      <c r="W7" s="2055">
        <v>748299.99085336656</v>
      </c>
      <c r="X7" s="2057">
        <v>113.35785038892391</v>
      </c>
      <c r="Y7" s="2058">
        <v>5.2678739117777784</v>
      </c>
    </row>
    <row r="8" spans="2:28" s="2060" customFormat="1" ht="19.5" customHeight="1" thickBot="1" x14ac:dyDescent="0.25">
      <c r="B8" s="2071" t="s">
        <v>234</v>
      </c>
      <c r="C8" s="2201">
        <v>3649330.7499139821</v>
      </c>
      <c r="D8" s="2052">
        <v>0</v>
      </c>
      <c r="E8" s="2052">
        <v>3649330.7499139821</v>
      </c>
      <c r="F8" s="2052">
        <v>4119562.2533197636</v>
      </c>
      <c r="G8" s="2052">
        <v>4348382.2066543289</v>
      </c>
      <c r="H8" s="2053">
        <v>0.24821542887480139</v>
      </c>
      <c r="I8" s="2054">
        <v>1.1288541750886421</v>
      </c>
      <c r="J8" s="2054">
        <v>1.1915560700429315</v>
      </c>
      <c r="K8" s="2055">
        <v>2984.9541511133225</v>
      </c>
      <c r="L8" s="2056" t="s">
        <v>241</v>
      </c>
      <c r="M8" s="2055">
        <v>316809.46561741264</v>
      </c>
      <c r="N8" s="2055">
        <v>6946593.40140766</v>
      </c>
      <c r="O8" s="2055">
        <v>3937.4072485760748</v>
      </c>
      <c r="P8" s="2057">
        <v>11.519007939999524</v>
      </c>
      <c r="Q8" s="2058">
        <v>0.52534106129984237</v>
      </c>
      <c r="R8" s="2055"/>
      <c r="S8" s="2055"/>
      <c r="T8" s="2055"/>
      <c r="U8" s="2055"/>
      <c r="V8" s="2055">
        <v>32599.694012031759</v>
      </c>
      <c r="W8" s="2055">
        <v>714804.46100484824</v>
      </c>
      <c r="X8" s="2057">
        <v>111.94371175898468</v>
      </c>
      <c r="Y8" s="2058">
        <v>5.1053553090363692</v>
      </c>
    </row>
    <row r="9" spans="2:28" ht="17.25" customHeight="1" thickBot="1" x14ac:dyDescent="0.3">
      <c r="B9" s="342" t="s">
        <v>235</v>
      </c>
      <c r="C9" s="343">
        <v>7591280.7499139821</v>
      </c>
      <c r="D9" s="343">
        <v>0</v>
      </c>
      <c r="E9" s="343">
        <v>7591280.7499139821</v>
      </c>
      <c r="F9" s="343">
        <v>8449915.5304605272</v>
      </c>
      <c r="G9" s="343">
        <v>8955403.0867668428</v>
      </c>
      <c r="H9" s="344">
        <v>0.23692100871974342</v>
      </c>
      <c r="I9" s="345">
        <v>1.1131080260147506</v>
      </c>
      <c r="J9" s="345">
        <v>1.1796959408816909</v>
      </c>
      <c r="K9" s="346">
        <v>6845.2659387028898</v>
      </c>
      <c r="L9" s="347" t="s">
        <v>241</v>
      </c>
      <c r="M9" s="348">
        <v>654752.99454629712</v>
      </c>
      <c r="N9" s="348">
        <v>14218702.156056508</v>
      </c>
      <c r="O9" s="348">
        <v>8130.6779328078101</v>
      </c>
      <c r="P9" s="349">
        <v>11.594113830932939</v>
      </c>
      <c r="Q9" s="350">
        <v>0.53389406899422587</v>
      </c>
      <c r="R9" s="348">
        <v>0</v>
      </c>
      <c r="S9" s="348">
        <v>0</v>
      </c>
      <c r="T9" s="348"/>
      <c r="U9" s="348"/>
      <c r="V9" s="346">
        <v>67374.083138813978</v>
      </c>
      <c r="W9" s="346">
        <v>1463104.4518582146</v>
      </c>
      <c r="X9" s="349">
        <v>112.67360379915391</v>
      </c>
      <c r="Y9" s="350">
        <v>5.1884749173394162</v>
      </c>
      <c r="Z9" s="321" t="s">
        <v>290</v>
      </c>
      <c r="AA9" s="704" t="s">
        <v>495</v>
      </c>
    </row>
    <row r="10" spans="2:28" s="284" customFormat="1" ht="15" hidden="1" x14ac:dyDescent="0.2">
      <c r="B10" s="322" t="s">
        <v>139</v>
      </c>
      <c r="C10" s="323"/>
      <c r="D10" s="331"/>
      <c r="E10" s="331"/>
      <c r="F10" s="331"/>
      <c r="G10" s="331"/>
      <c r="H10" s="332"/>
      <c r="I10" s="333"/>
      <c r="J10" s="333"/>
      <c r="K10" s="804"/>
      <c r="L10" s="326"/>
      <c r="M10" s="804"/>
      <c r="N10" s="804"/>
      <c r="O10" s="804"/>
      <c r="P10" s="335"/>
      <c r="Q10" s="336"/>
      <c r="R10" s="804"/>
      <c r="S10" s="804"/>
      <c r="T10" s="804"/>
      <c r="U10" s="804"/>
      <c r="V10" s="804">
        <v>0</v>
      </c>
      <c r="W10" s="804">
        <v>0</v>
      </c>
      <c r="X10" s="335" t="s">
        <v>3</v>
      </c>
      <c r="Y10" s="336" t="s">
        <v>3</v>
      </c>
      <c r="Z10" s="393" t="e">
        <v>#DIV/0!</v>
      </c>
      <c r="AA10" s="797"/>
    </row>
    <row r="11" spans="2:28" s="2060" customFormat="1" ht="15" x14ac:dyDescent="0.2">
      <c r="B11" s="2202" t="s">
        <v>140</v>
      </c>
      <c r="C11" s="2051">
        <v>3720221</v>
      </c>
      <c r="D11" s="2052">
        <v>1545794.1242844565</v>
      </c>
      <c r="E11" s="2052">
        <v>5266015.1242844565</v>
      </c>
      <c r="F11" s="2052">
        <v>4823028.7074031588</v>
      </c>
      <c r="G11" s="2052">
        <v>4825080.4154424109</v>
      </c>
      <c r="H11" s="2053">
        <v>0.21455640983334506</v>
      </c>
      <c r="I11" s="2054">
        <v>1.2964360739330161</v>
      </c>
      <c r="J11" s="2054">
        <v>0.91626786128876536</v>
      </c>
      <c r="K11" s="2055">
        <v>5002.6183874999997</v>
      </c>
      <c r="L11" s="2056" t="s">
        <v>241</v>
      </c>
      <c r="M11" s="2055">
        <v>445453.24004708062</v>
      </c>
      <c r="N11" s="2055">
        <v>7914847.0218992531</v>
      </c>
      <c r="O11" s="2055">
        <v>7708.6677670601957</v>
      </c>
      <c r="P11" s="2057">
        <v>8.3515410048578929</v>
      </c>
      <c r="Q11" s="2058">
        <v>0.47003068912218759</v>
      </c>
      <c r="R11" s="2055">
        <v>0</v>
      </c>
      <c r="S11" s="2055">
        <v>0</v>
      </c>
      <c r="T11" s="2055">
        <v>0</v>
      </c>
      <c r="U11" s="2055">
        <v>0</v>
      </c>
      <c r="V11" s="2055">
        <v>45837.138400844597</v>
      </c>
      <c r="W11" s="2055">
        <v>814437.75855343312</v>
      </c>
      <c r="X11" s="2057">
        <v>81.161720163827923</v>
      </c>
      <c r="Y11" s="2058">
        <v>4.5678395444333102</v>
      </c>
      <c r="Z11" s="2072"/>
      <c r="AA11" s="2203">
        <v>0.82193366813689805</v>
      </c>
      <c r="AB11" s="2072"/>
    </row>
    <row r="12" spans="2:28" s="2060" customFormat="1" ht="15.75" thickBot="1" x14ac:dyDescent="0.25">
      <c r="B12" s="2061" t="s">
        <v>141</v>
      </c>
      <c r="C12" s="2051">
        <v>2199538.48104895</v>
      </c>
      <c r="D12" s="2052">
        <v>902362.95918980846</v>
      </c>
      <c r="E12" s="2052">
        <v>3101901.4402387585</v>
      </c>
      <c r="F12" s="2052">
        <v>2786972.2080882723</v>
      </c>
      <c r="G12" s="2052">
        <v>2788450.2522147517</v>
      </c>
      <c r="H12" s="2053">
        <v>0.14960534542205117</v>
      </c>
      <c r="I12" s="2054">
        <v>1.2670713570599492</v>
      </c>
      <c r="J12" s="2054">
        <v>0.8989486951590957</v>
      </c>
      <c r="K12" s="2055">
        <v>3282.5868870967747</v>
      </c>
      <c r="L12" s="2056" t="s">
        <v>241</v>
      </c>
      <c r="M12" s="2055">
        <v>258665.00360203479</v>
      </c>
      <c r="N12" s="2055">
        <v>4490731.9155869149</v>
      </c>
      <c r="O12" s="2055">
        <v>4865.649317242176</v>
      </c>
      <c r="P12" s="2057">
        <v>8.5034250881229276</v>
      </c>
      <c r="Q12" s="2058">
        <v>0.48979509852604547</v>
      </c>
      <c r="R12" s="2055">
        <v>0</v>
      </c>
      <c r="S12" s="2055">
        <v>0</v>
      </c>
      <c r="T12" s="2055"/>
      <c r="U12" s="2055"/>
      <c r="V12" s="2055">
        <v>26616.62887064938</v>
      </c>
      <c r="W12" s="2055">
        <v>462096.31411389355</v>
      </c>
      <c r="X12" s="2057">
        <v>82.637755958434667</v>
      </c>
      <c r="Y12" s="2058">
        <v>4.7599134939363017</v>
      </c>
      <c r="Z12" s="2072"/>
      <c r="AA12" s="2203">
        <v>0.79834248086291271</v>
      </c>
      <c r="AB12" s="2072"/>
    </row>
    <row r="13" spans="2:28" ht="17.25" customHeight="1" thickBot="1" x14ac:dyDescent="0.3">
      <c r="B13" s="342" t="s">
        <v>146</v>
      </c>
      <c r="C13" s="343">
        <v>5919759.48104895</v>
      </c>
      <c r="D13" s="343">
        <v>2448157.0834742649</v>
      </c>
      <c r="E13" s="343">
        <v>8367916.5645232145</v>
      </c>
      <c r="F13" s="343">
        <v>7610000.915491431</v>
      </c>
      <c r="G13" s="343">
        <v>7613530.667657163</v>
      </c>
      <c r="H13" s="344">
        <v>0.1847534604281727</v>
      </c>
      <c r="I13" s="345">
        <v>1.2855253561996034</v>
      </c>
      <c r="J13" s="345">
        <v>0.90984782280641263</v>
      </c>
      <c r="K13" s="346">
        <v>8285.205274596774</v>
      </c>
      <c r="L13" s="347" t="s">
        <v>241</v>
      </c>
      <c r="M13" s="348">
        <v>704118.24364911544</v>
      </c>
      <c r="N13" s="348">
        <v>12405578.937486168</v>
      </c>
      <c r="O13" s="348">
        <v>12574.317084302373</v>
      </c>
      <c r="P13" s="349">
        <v>8.4073371687823428</v>
      </c>
      <c r="Q13" s="363">
        <v>0.47718526566794095</v>
      </c>
      <c r="R13" s="348">
        <v>0</v>
      </c>
      <c r="S13" s="348">
        <v>0</v>
      </c>
      <c r="T13" s="348">
        <v>0</v>
      </c>
      <c r="U13" s="348">
        <v>0</v>
      </c>
      <c r="V13" s="346">
        <v>72453.767271493969</v>
      </c>
      <c r="W13" s="346">
        <v>1276534.0726673265</v>
      </c>
      <c r="X13" s="349">
        <v>81.70395693666029</v>
      </c>
      <c r="Y13" s="363">
        <v>4.6373689569284844</v>
      </c>
    </row>
    <row r="14" spans="2:28" s="284" customFormat="1" ht="15.75" hidden="1" customHeight="1" x14ac:dyDescent="0.2">
      <c r="B14" s="359" t="s">
        <v>169</v>
      </c>
      <c r="C14" s="2145"/>
      <c r="D14" s="2133"/>
      <c r="E14" s="2133"/>
      <c r="F14" s="2133"/>
      <c r="G14" s="2133"/>
      <c r="H14" s="337"/>
      <c r="I14" s="338"/>
      <c r="J14" s="338"/>
      <c r="K14" s="2119"/>
      <c r="L14" s="2134"/>
      <c r="M14" s="2119"/>
      <c r="N14" s="2119"/>
      <c r="O14" s="2119"/>
      <c r="P14" s="341"/>
      <c r="Q14" s="336"/>
      <c r="R14" s="2119"/>
      <c r="S14" s="2119"/>
      <c r="T14" s="2119"/>
      <c r="U14" s="2119"/>
      <c r="V14" s="2119">
        <v>0</v>
      </c>
      <c r="W14" s="2119">
        <v>0</v>
      </c>
      <c r="X14" s="341" t="s">
        <v>3</v>
      </c>
      <c r="Y14" s="336" t="s">
        <v>3</v>
      </c>
    </row>
    <row r="15" spans="2:28" s="284" customFormat="1" ht="30" x14ac:dyDescent="0.2">
      <c r="B15" s="2073" t="s">
        <v>597</v>
      </c>
      <c r="C15" s="2051">
        <v>1706154.5288167919</v>
      </c>
      <c r="D15" s="2052">
        <v>1911747.4882941267</v>
      </c>
      <c r="E15" s="2052">
        <v>3617902.0171109186</v>
      </c>
      <c r="F15" s="2052">
        <v>2821989.1310324981</v>
      </c>
      <c r="G15" s="2052">
        <v>2821989.1310324981</v>
      </c>
      <c r="H15" s="2053">
        <v>9.8399097882580999E-2</v>
      </c>
      <c r="I15" s="2054">
        <v>1.6540055917382412</v>
      </c>
      <c r="J15" s="2054">
        <v>0.78000706422834576</v>
      </c>
      <c r="K15" s="2055">
        <v>2632.8045688038487</v>
      </c>
      <c r="L15" s="2056" t="s">
        <v>572</v>
      </c>
      <c r="M15" s="2055">
        <v>232788.0680337818</v>
      </c>
      <c r="N15" s="2055">
        <v>4608059.6928202882</v>
      </c>
      <c r="O15" s="2055">
        <v>1664.7294203485665</v>
      </c>
      <c r="P15" s="2057">
        <v>7.3292181305839001</v>
      </c>
      <c r="Q15" s="2058">
        <v>0.37025443300465749</v>
      </c>
      <c r="R15" s="804"/>
      <c r="S15" s="804"/>
      <c r="T15" s="804"/>
      <c r="U15" s="804"/>
      <c r="V15" s="2055">
        <v>23953.892200676146</v>
      </c>
      <c r="W15" s="2055">
        <v>474169.34239120764</v>
      </c>
      <c r="X15" s="2057">
        <v>71.226609626665692</v>
      </c>
      <c r="Y15" s="2058">
        <v>3.5981966278392372</v>
      </c>
    </row>
    <row r="16" spans="2:28" s="284" customFormat="1" ht="30.75" thickBot="1" x14ac:dyDescent="0.25">
      <c r="B16" s="2082" t="s">
        <v>598</v>
      </c>
      <c r="C16" s="2051">
        <v>1876687.9425931061</v>
      </c>
      <c r="D16" s="2052">
        <v>2455825.5411559576</v>
      </c>
      <c r="E16" s="2052">
        <v>4332513.4837490637</v>
      </c>
      <c r="F16" s="2052">
        <v>3936650.0011928496</v>
      </c>
      <c r="G16" s="2052">
        <v>3936650.0011928491</v>
      </c>
      <c r="H16" s="2053">
        <v>0.12764611772881818</v>
      </c>
      <c r="I16" s="2054">
        <v>2.0976582796996071</v>
      </c>
      <c r="J16" s="2054">
        <v>0.90862960172170981</v>
      </c>
      <c r="K16" s="2055">
        <v>3181.7944171766585</v>
      </c>
      <c r="L16" s="2056" t="s">
        <v>572</v>
      </c>
      <c r="M16" s="2055">
        <v>258085.87653603777</v>
      </c>
      <c r="N16" s="2055">
        <v>5111071.0104212034</v>
      </c>
      <c r="O16" s="2055">
        <v>2949.8104892542678</v>
      </c>
      <c r="P16" s="2057">
        <v>7.2715638987360673</v>
      </c>
      <c r="Q16" s="2058">
        <v>0.36718095654837091</v>
      </c>
      <c r="R16" s="804"/>
      <c r="S16" s="804"/>
      <c r="T16" s="804"/>
      <c r="U16" s="804"/>
      <c r="V16" s="2055">
        <v>26557.03669555829</v>
      </c>
      <c r="W16" s="2055">
        <v>525929.20697234187</v>
      </c>
      <c r="X16" s="2057">
        <v>70.666315828338838</v>
      </c>
      <c r="Y16" s="2058">
        <v>3.5683280519763936</v>
      </c>
    </row>
    <row r="17" spans="2:26" s="284" customFormat="1" ht="15.75" customHeight="1" thickBot="1" x14ac:dyDescent="0.3">
      <c r="B17" s="1928" t="s">
        <v>599</v>
      </c>
      <c r="C17" s="343">
        <v>3582842.4714098983</v>
      </c>
      <c r="D17" s="343">
        <v>4367573.0294500841</v>
      </c>
      <c r="E17" s="343">
        <v>7950415.5008599823</v>
      </c>
      <c r="F17" s="343">
        <v>6758639.1322253477</v>
      </c>
      <c r="G17" s="343">
        <v>6758639.1322253477</v>
      </c>
      <c r="H17" s="344">
        <v>0.11181916205904913</v>
      </c>
      <c r="I17" s="345">
        <v>1.8863902575001377</v>
      </c>
      <c r="J17" s="345">
        <v>0.85009885728541834</v>
      </c>
      <c r="K17" s="346">
        <v>5814.5989859805068</v>
      </c>
      <c r="L17" s="347" t="s">
        <v>572</v>
      </c>
      <c r="M17" s="348">
        <v>490873.94456981961</v>
      </c>
      <c r="N17" s="348">
        <v>9719130.7032414917</v>
      </c>
      <c r="O17" s="348">
        <v>4614.5399096028341</v>
      </c>
      <c r="P17" s="349">
        <v>7.2989053728442324</v>
      </c>
      <c r="Q17" s="363">
        <v>0.36863816125190713</v>
      </c>
      <c r="R17" s="348">
        <v>0</v>
      </c>
      <c r="S17" s="348">
        <v>0</v>
      </c>
      <c r="T17" s="348">
        <v>0</v>
      </c>
      <c r="U17" s="348">
        <v>0</v>
      </c>
      <c r="V17" s="346">
        <v>50510.928896234436</v>
      </c>
      <c r="W17" s="346">
        <v>1000098.5493635494</v>
      </c>
      <c r="X17" s="349">
        <v>70.932025003345316</v>
      </c>
      <c r="Y17" s="363">
        <v>3.5824894193576977</v>
      </c>
    </row>
    <row r="18" spans="2:26" s="284" customFormat="1" ht="15.75" thickBot="1" x14ac:dyDescent="0.25">
      <c r="B18" s="2290" t="s">
        <v>609</v>
      </c>
      <c r="C18" s="2291">
        <v>241493</v>
      </c>
      <c r="D18" s="2281">
        <v>-241493</v>
      </c>
      <c r="E18" s="2281">
        <v>0</v>
      </c>
      <c r="F18" s="2281">
        <v>102574.98682134466</v>
      </c>
      <c r="G18" s="2281">
        <v>348057.07126143179</v>
      </c>
      <c r="H18" s="2282">
        <v>1.3927632546529897E-2</v>
      </c>
      <c r="I18" s="2283">
        <v>0.42475345795258934</v>
      </c>
      <c r="J18" s="2283"/>
      <c r="K18" s="2284">
        <v>36250</v>
      </c>
      <c r="L18" s="2285" t="s">
        <v>242</v>
      </c>
      <c r="M18" s="2285">
        <v>123250</v>
      </c>
      <c r="N18" s="2285">
        <v>456025</v>
      </c>
      <c r="O18" s="2285">
        <v>0</v>
      </c>
      <c r="P18" s="2286">
        <v>1.9593752535496958</v>
      </c>
      <c r="Q18" s="2287">
        <v>0.52956087933775564</v>
      </c>
      <c r="R18" s="2285">
        <v>0</v>
      </c>
      <c r="S18" s="2285">
        <v>0</v>
      </c>
      <c r="T18" s="2285">
        <v>0</v>
      </c>
      <c r="U18" s="2285">
        <v>0</v>
      </c>
      <c r="V18" s="2284">
        <v>12682.424999999999</v>
      </c>
      <c r="W18" s="2284">
        <v>46924.972500000003</v>
      </c>
      <c r="X18" s="2288">
        <v>19.041547653544178</v>
      </c>
      <c r="Y18" s="2289">
        <v>0</v>
      </c>
    </row>
    <row r="19" spans="2:26" s="2060" customFormat="1" ht="15.75" thickBot="1" x14ac:dyDescent="0.25">
      <c r="B19" s="2176" t="s">
        <v>530</v>
      </c>
      <c r="C19" s="2204">
        <v>241494</v>
      </c>
      <c r="D19" s="2177">
        <v>-241494</v>
      </c>
      <c r="E19" s="2177">
        <v>0</v>
      </c>
      <c r="F19" s="2177">
        <v>75143.531090497141</v>
      </c>
      <c r="G19" s="2177">
        <v>245251.2335307165</v>
      </c>
      <c r="H19" s="2178">
        <v>1.6425624556531133E-2</v>
      </c>
      <c r="I19" s="2190">
        <v>0.3111610685586273</v>
      </c>
      <c r="J19" s="2190"/>
      <c r="K19" s="2184">
        <v>36250</v>
      </c>
      <c r="L19" s="2180" t="s">
        <v>242</v>
      </c>
      <c r="M19" s="2180">
        <v>123250</v>
      </c>
      <c r="N19" s="2180">
        <v>246500</v>
      </c>
      <c r="O19" s="2180">
        <v>0</v>
      </c>
      <c r="P19" s="2182">
        <v>1.9593833671399594</v>
      </c>
      <c r="Q19" s="2183">
        <v>0.97969168356997971</v>
      </c>
      <c r="R19" s="2180">
        <v>0</v>
      </c>
      <c r="S19" s="2180">
        <v>0</v>
      </c>
      <c r="T19" s="2180">
        <v>0</v>
      </c>
      <c r="U19" s="2180">
        <v>0</v>
      </c>
      <c r="V19" s="2184">
        <v>12682.424999999999</v>
      </c>
      <c r="W19" s="2184">
        <v>25364.85</v>
      </c>
      <c r="X19" s="2191">
        <v>19.041626502817877</v>
      </c>
      <c r="Y19" s="2192">
        <v>0</v>
      </c>
    </row>
    <row r="20" spans="2:26" s="284" customFormat="1" ht="16.5" thickBot="1" x14ac:dyDescent="0.3">
      <c r="B20" s="1928" t="s">
        <v>610</v>
      </c>
      <c r="C20" s="343">
        <v>482987</v>
      </c>
      <c r="D20" s="343">
        <v>-482987</v>
      </c>
      <c r="E20" s="343">
        <v>0</v>
      </c>
      <c r="F20" s="343">
        <v>177718.5179118418</v>
      </c>
      <c r="G20" s="343">
        <v>593308.30479214829</v>
      </c>
      <c r="H20" s="344">
        <v>1.507384208386962E-2</v>
      </c>
      <c r="I20" s="345">
        <v>0.36795714566197807</v>
      </c>
      <c r="J20" s="345"/>
      <c r="K20" s="346">
        <v>72500</v>
      </c>
      <c r="L20" s="347"/>
      <c r="M20" s="348">
        <v>246500</v>
      </c>
      <c r="N20" s="348">
        <v>702525</v>
      </c>
      <c r="O20" s="348">
        <v>0</v>
      </c>
      <c r="P20" s="349">
        <v>1.9593793103448276</v>
      </c>
      <c r="Q20" s="363">
        <v>0.68750151240169388</v>
      </c>
      <c r="R20" s="348">
        <v>0</v>
      </c>
      <c r="S20" s="348">
        <v>0</v>
      </c>
      <c r="T20" s="348">
        <v>0</v>
      </c>
      <c r="U20" s="348">
        <v>0</v>
      </c>
      <c r="V20" s="346">
        <v>25364.85</v>
      </c>
      <c r="W20" s="346">
        <v>72289.822499999995</v>
      </c>
      <c r="X20" s="349">
        <v>19.041587078181028</v>
      </c>
      <c r="Y20" s="363">
        <v>6.6812586239231679</v>
      </c>
    </row>
    <row r="21" spans="2:26" s="2060" customFormat="1" ht="15.75" customHeight="1" x14ac:dyDescent="0.2">
      <c r="B21" s="2071" t="s">
        <v>170</v>
      </c>
      <c r="C21" s="2051">
        <v>598442.975650387</v>
      </c>
      <c r="D21" s="2051">
        <v>547968.024349613</v>
      </c>
      <c r="E21" s="2051">
        <v>1146411</v>
      </c>
      <c r="F21" s="2051">
        <v>1436291.0827832532</v>
      </c>
      <c r="G21" s="2051">
        <v>1436291.0827832532</v>
      </c>
      <c r="H21" s="2185">
        <v>3.4514018480496449E-2</v>
      </c>
      <c r="I21" s="2186">
        <v>2.4000466898659711</v>
      </c>
      <c r="J21" s="2186">
        <v>1.2528587764625891</v>
      </c>
      <c r="K21" s="2187">
        <v>358.28171339483828</v>
      </c>
      <c r="L21" s="2056" t="s">
        <v>241</v>
      </c>
      <c r="M21" s="2187">
        <v>98863.324589830503</v>
      </c>
      <c r="N21" s="2187">
        <v>2287489.9902028642</v>
      </c>
      <c r="O21" s="2187">
        <v>894.81195086255605</v>
      </c>
      <c r="P21" s="2188">
        <v>6.0532353947557347</v>
      </c>
      <c r="Q21" s="2189">
        <v>0.26161556037992306</v>
      </c>
      <c r="R21" s="2187"/>
      <c r="S21" s="2187"/>
      <c r="T21" s="2187"/>
      <c r="U21" s="2187"/>
      <c r="V21" s="2187">
        <v>10173.036100293559</v>
      </c>
      <c r="W21" s="2187">
        <v>235382.71999187474</v>
      </c>
      <c r="X21" s="2188">
        <v>58.826388675954661</v>
      </c>
      <c r="Y21" s="2189">
        <v>2.5424252709419148</v>
      </c>
    </row>
    <row r="22" spans="2:26" s="2060" customFormat="1" ht="15.75" customHeight="1" thickBot="1" x14ac:dyDescent="0.25">
      <c r="B22" s="2061" t="s">
        <v>171</v>
      </c>
      <c r="C22" s="2051">
        <v>750790</v>
      </c>
      <c r="D22" s="2052">
        <v>708800</v>
      </c>
      <c r="E22" s="2051">
        <v>1459590</v>
      </c>
      <c r="F22" s="2051">
        <v>1118509.5433908661</v>
      </c>
      <c r="G22" s="2051">
        <v>1118509.5433908661</v>
      </c>
      <c r="H22" s="2053">
        <v>5.1066256970351276E-2</v>
      </c>
      <c r="I22" s="2054">
        <v>1.4897768262641566</v>
      </c>
      <c r="J22" s="2054">
        <v>0.766317625765363</v>
      </c>
      <c r="K22" s="2187">
        <v>281.16520937325191</v>
      </c>
      <c r="L22" s="2056" t="s">
        <v>241</v>
      </c>
      <c r="M22" s="2187">
        <v>76888.887334292245</v>
      </c>
      <c r="N22" s="2187">
        <v>1823190.5705633524</v>
      </c>
      <c r="O22" s="2187">
        <v>739.73673301093288</v>
      </c>
      <c r="P22" s="2057">
        <v>9.7646100240177311</v>
      </c>
      <c r="Q22" s="2058">
        <v>0.41180006748719167</v>
      </c>
      <c r="R22" s="2055"/>
      <c r="S22" s="2055"/>
      <c r="T22" s="2055"/>
      <c r="U22" s="2055"/>
      <c r="V22" s="2055">
        <v>7911.8665066986723</v>
      </c>
      <c r="W22" s="2055">
        <v>187606.30971096896</v>
      </c>
      <c r="X22" s="2057">
        <v>94.894169329618379</v>
      </c>
      <c r="Y22" s="2058">
        <v>4.0019442904488987</v>
      </c>
    </row>
    <row r="23" spans="2:26" ht="17.25" customHeight="1" thickBot="1" x14ac:dyDescent="0.3">
      <c r="B23" s="342" t="s">
        <v>204</v>
      </c>
      <c r="C23" s="343">
        <v>1349232.9756503869</v>
      </c>
      <c r="D23" s="343">
        <v>1256768.0243496131</v>
      </c>
      <c r="E23" s="343">
        <v>2606001</v>
      </c>
      <c r="F23" s="343">
        <v>2554800.6261741193</v>
      </c>
      <c r="G23" s="343">
        <v>2554800.6261741193</v>
      </c>
      <c r="H23" s="344">
        <v>4.2109052229777275E-2</v>
      </c>
      <c r="I23" s="345">
        <v>1.8935207427335508</v>
      </c>
      <c r="J23" s="345">
        <v>0.98035289555687788</v>
      </c>
      <c r="K23" s="346">
        <v>639.44692276809019</v>
      </c>
      <c r="L23" s="347" t="s">
        <v>241</v>
      </c>
      <c r="M23" s="348">
        <v>175752.21192412276</v>
      </c>
      <c r="N23" s="348">
        <v>4110680.5607662164</v>
      </c>
      <c r="O23" s="348">
        <v>1634.5486838734889</v>
      </c>
      <c r="P23" s="349">
        <v>7.6769046652618469</v>
      </c>
      <c r="Q23" s="363">
        <v>0.32822617951098942</v>
      </c>
      <c r="R23" s="2067">
        <v>0</v>
      </c>
      <c r="S23" s="2067">
        <v>0</v>
      </c>
      <c r="T23" s="2067">
        <v>0</v>
      </c>
      <c r="U23" s="2067">
        <v>0</v>
      </c>
      <c r="V23" s="346">
        <v>18084.902606992233</v>
      </c>
      <c r="W23" s="346">
        <v>422989.02970284369</v>
      </c>
      <c r="X23" s="2068">
        <v>74.605487514692385</v>
      </c>
      <c r="Y23" s="2069">
        <v>3.1897587901942606</v>
      </c>
    </row>
    <row r="24" spans="2:26" s="284" customFormat="1" ht="15.75" hidden="1" customHeight="1" x14ac:dyDescent="0.2">
      <c r="B24" s="322" t="s">
        <v>142</v>
      </c>
      <c r="C24" s="323"/>
      <c r="D24" s="331"/>
      <c r="E24" s="331"/>
      <c r="F24" s="331"/>
      <c r="G24" s="331"/>
      <c r="H24" s="332"/>
      <c r="I24" s="333"/>
      <c r="J24" s="333"/>
      <c r="K24" s="804"/>
      <c r="L24" s="326"/>
      <c r="M24" s="804"/>
      <c r="N24" s="804"/>
      <c r="O24" s="804"/>
      <c r="P24" s="335"/>
      <c r="Q24" s="336"/>
      <c r="R24" s="2055"/>
      <c r="S24" s="2055"/>
      <c r="T24" s="2055"/>
      <c r="U24" s="2055"/>
      <c r="V24" s="804">
        <v>0</v>
      </c>
      <c r="W24" s="804">
        <v>0</v>
      </c>
      <c r="X24" s="2078" t="s">
        <v>3</v>
      </c>
      <c r="Y24" s="2079" t="s">
        <v>3</v>
      </c>
    </row>
    <row r="25" spans="2:26" s="2060" customFormat="1" ht="15.75" hidden="1" customHeight="1" x14ac:dyDescent="0.2">
      <c r="B25" s="2202" t="s">
        <v>143</v>
      </c>
      <c r="C25" s="2051"/>
      <c r="D25" s="2052"/>
      <c r="E25" s="2052"/>
      <c r="F25" s="2052"/>
      <c r="G25" s="2052"/>
      <c r="H25" s="2053">
        <v>0</v>
      </c>
      <c r="I25" s="2054" t="e">
        <v>#DIV/0!</v>
      </c>
      <c r="J25" s="2054" t="e">
        <v>#DIV/0!</v>
      </c>
      <c r="K25" s="2055"/>
      <c r="L25" s="2056" t="s">
        <v>242</v>
      </c>
      <c r="M25" s="2055"/>
      <c r="N25" s="2055"/>
      <c r="O25" s="2055"/>
      <c r="P25" s="2057" t="e">
        <v>#DIV/0!</v>
      </c>
      <c r="Q25" s="2058" t="e">
        <v>#DIV/0!</v>
      </c>
      <c r="R25" s="2077"/>
      <c r="S25" s="2077"/>
      <c r="T25" s="2077"/>
      <c r="U25" s="2077"/>
      <c r="V25" s="2055">
        <v>0</v>
      </c>
      <c r="W25" s="2055">
        <v>0</v>
      </c>
      <c r="X25" s="2078" t="e">
        <v>#DIV/0!</v>
      </c>
      <c r="Y25" s="2079" t="e">
        <v>#DIV/0!</v>
      </c>
    </row>
    <row r="26" spans="2:26" s="2060" customFormat="1" ht="15.75" hidden="1" customHeight="1" thickBot="1" x14ac:dyDescent="0.25">
      <c r="B26" s="2061" t="s">
        <v>144</v>
      </c>
      <c r="C26" s="2051">
        <v>0</v>
      </c>
      <c r="D26" s="2052">
        <v>0</v>
      </c>
      <c r="E26" s="2052"/>
      <c r="F26" s="2052"/>
      <c r="G26" s="2052"/>
      <c r="H26" s="2053">
        <v>0</v>
      </c>
      <c r="I26" s="2054" t="e">
        <v>#DIV/0!</v>
      </c>
      <c r="J26" s="2054" t="e">
        <v>#DIV/0!</v>
      </c>
      <c r="K26" s="2055"/>
      <c r="L26" s="2056" t="s">
        <v>242</v>
      </c>
      <c r="M26" s="2055"/>
      <c r="N26" s="2055"/>
      <c r="O26" s="2055"/>
      <c r="P26" s="2057" t="e">
        <v>#DIV/0!</v>
      </c>
      <c r="Q26" s="2058" t="e">
        <v>#DIV/0!</v>
      </c>
      <c r="R26" s="2077"/>
      <c r="S26" s="2077"/>
      <c r="T26" s="2077"/>
      <c r="U26" s="2077"/>
      <c r="V26" s="2055">
        <v>0</v>
      </c>
      <c r="W26" s="2055">
        <v>0</v>
      </c>
      <c r="X26" s="2078" t="e">
        <v>#DIV/0!</v>
      </c>
      <c r="Y26" s="2079" t="e">
        <v>#DIV/0!</v>
      </c>
    </row>
    <row r="27" spans="2:26" ht="17.25" hidden="1" customHeight="1" thickBot="1" x14ac:dyDescent="0.3">
      <c r="B27" s="342" t="s">
        <v>145</v>
      </c>
      <c r="C27" s="684">
        <v>0</v>
      </c>
      <c r="D27" s="618">
        <v>0</v>
      </c>
      <c r="E27" s="343">
        <v>0</v>
      </c>
      <c r="F27" s="343">
        <v>0</v>
      </c>
      <c r="G27" s="343">
        <v>0</v>
      </c>
      <c r="H27" s="344">
        <v>0</v>
      </c>
      <c r="I27" s="345" t="e">
        <v>#DIV/0!</v>
      </c>
      <c r="J27" s="345" t="e">
        <v>#DIV/0!</v>
      </c>
      <c r="K27" s="346">
        <v>0</v>
      </c>
      <c r="L27" s="619" t="s">
        <v>242</v>
      </c>
      <c r="M27" s="348">
        <v>0</v>
      </c>
      <c r="N27" s="348">
        <v>0</v>
      </c>
      <c r="O27" s="348">
        <v>0</v>
      </c>
      <c r="P27" s="349" t="e">
        <v>#DIV/0!</v>
      </c>
      <c r="Q27" s="363" t="e">
        <v>#DIV/0!</v>
      </c>
      <c r="R27" s="348">
        <v>0</v>
      </c>
      <c r="S27" s="348">
        <v>0</v>
      </c>
      <c r="T27" s="348">
        <v>0</v>
      </c>
      <c r="U27" s="348">
        <v>0</v>
      </c>
      <c r="V27" s="346">
        <v>0</v>
      </c>
      <c r="W27" s="346">
        <v>0</v>
      </c>
      <c r="X27" s="349" t="e">
        <v>#DIV/0!</v>
      </c>
      <c r="Y27" s="363" t="e">
        <v>#DIV/0!</v>
      </c>
    </row>
    <row r="28" spans="2:26" ht="16.5" thickBot="1" x14ac:dyDescent="0.3">
      <c r="B28" s="364" t="s">
        <v>88</v>
      </c>
      <c r="C28" s="365">
        <v>18926102.678023219</v>
      </c>
      <c r="D28" s="365">
        <v>7589511.1372739617</v>
      </c>
      <c r="E28" s="365">
        <v>26515613.815297179</v>
      </c>
      <c r="F28" s="365">
        <v>25551074.722263262</v>
      </c>
      <c r="G28" s="365">
        <v>26475681.817615621</v>
      </c>
      <c r="H28" s="366">
        <v>0.59067652552061223</v>
      </c>
      <c r="I28" s="317">
        <v>1.3500441774487932</v>
      </c>
      <c r="J28" s="317">
        <v>0.99849401948754735</v>
      </c>
      <c r="K28" s="805">
        <v>94084.517122048259</v>
      </c>
      <c r="L28" s="941" t="s">
        <v>462</v>
      </c>
      <c r="M28" s="348">
        <v>2271997.394689355</v>
      </c>
      <c r="N28" s="348">
        <v>41156617.357550383</v>
      </c>
      <c r="O28" s="348">
        <v>26954.083610586506</v>
      </c>
      <c r="P28" s="367">
        <v>8.3301603788198619</v>
      </c>
      <c r="Q28" s="367">
        <v>0.4598556415266507</v>
      </c>
      <c r="R28" s="348">
        <v>0</v>
      </c>
      <c r="S28" s="348">
        <v>0</v>
      </c>
      <c r="T28" s="348">
        <v>0</v>
      </c>
      <c r="U28" s="348">
        <v>0</v>
      </c>
      <c r="V28" s="348">
        <v>233788.53191353459</v>
      </c>
      <c r="W28" s="348">
        <v>4235015.9260919336</v>
      </c>
      <c r="X28" s="367">
        <v>80.953939541495274</v>
      </c>
      <c r="Y28" s="367">
        <v>4.46895667178475</v>
      </c>
    </row>
    <row r="29" spans="2:26" ht="15.75" customHeight="1" x14ac:dyDescent="0.25">
      <c r="B29" s="368"/>
      <c r="C29" s="369"/>
      <c r="D29" s="369"/>
      <c r="E29" s="369"/>
      <c r="F29" s="369"/>
      <c r="G29" s="369"/>
      <c r="H29" s="370"/>
      <c r="I29" s="371"/>
      <c r="J29" s="371"/>
      <c r="K29" s="372"/>
      <c r="L29" s="373"/>
      <c r="M29" s="374"/>
      <c r="N29" s="374"/>
      <c r="O29" s="374"/>
      <c r="P29" s="375"/>
      <c r="Q29" s="376"/>
      <c r="R29" s="373"/>
      <c r="S29" s="373"/>
      <c r="T29" s="373"/>
      <c r="U29" s="373"/>
      <c r="V29" s="373"/>
      <c r="W29" s="373"/>
      <c r="X29" s="375"/>
      <c r="Y29" s="375"/>
      <c r="Z29" s="2131"/>
    </row>
    <row r="30" spans="2:26"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row>
    <row r="31" spans="2:26"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2146" t="s">
        <v>3</v>
      </c>
      <c r="W31" s="2146" t="s">
        <v>3</v>
      </c>
      <c r="X31" s="341" t="s">
        <v>3</v>
      </c>
      <c r="Y31" s="336" t="s">
        <v>3</v>
      </c>
    </row>
    <row r="32" spans="2:26" s="284" customFormat="1" ht="15.75" thickBot="1" x14ac:dyDescent="0.25">
      <c r="B32" s="399" t="s">
        <v>125</v>
      </c>
      <c r="C32" s="351">
        <v>2519940.0638306299</v>
      </c>
      <c r="D32" s="1108">
        <v>4767760.3333333312</v>
      </c>
      <c r="E32" s="351">
        <v>7287700.3971639611</v>
      </c>
      <c r="F32" s="1108">
        <v>4841668.8219372351</v>
      </c>
      <c r="G32" s="351">
        <v>4841668.8219372351</v>
      </c>
      <c r="H32" s="401">
        <v>0.14533257381502615</v>
      </c>
      <c r="I32" s="2137">
        <v>1.9213428491538334</v>
      </c>
      <c r="J32" s="2137">
        <v>0.66436167214302477</v>
      </c>
      <c r="K32" s="2121">
        <v>238.19259966462278</v>
      </c>
      <c r="L32" s="354" t="s">
        <v>244</v>
      </c>
      <c r="M32" s="2121">
        <v>366256.2245105828</v>
      </c>
      <c r="N32" s="2121">
        <v>5900322.8753012968</v>
      </c>
      <c r="O32" s="2121">
        <v>4080.5578344889673</v>
      </c>
      <c r="P32" s="2120">
        <v>6.8802654950040782</v>
      </c>
      <c r="Q32" s="2138">
        <v>0.42708511332135374</v>
      </c>
      <c r="R32" s="2121"/>
      <c r="S32" s="2121"/>
      <c r="T32" s="2121"/>
      <c r="U32" s="2121"/>
      <c r="V32" s="2121">
        <v>37687.765502138973</v>
      </c>
      <c r="W32" s="2121">
        <v>607143.22386850347</v>
      </c>
      <c r="X32" s="2120">
        <v>66.863610252712135</v>
      </c>
      <c r="Y32" s="2138">
        <v>4.1504870099256923</v>
      </c>
    </row>
    <row r="33" spans="2:29" s="284" customFormat="1" ht="15.75" thickBot="1" x14ac:dyDescent="0.25">
      <c r="B33" s="383" t="s">
        <v>126</v>
      </c>
      <c r="C33" s="384">
        <v>2071891.9998271302</v>
      </c>
      <c r="D33" s="1270">
        <v>4478348.0000000056</v>
      </c>
      <c r="E33" s="384">
        <v>6550239.9998271354</v>
      </c>
      <c r="F33" s="1270">
        <v>3912951.5180275263</v>
      </c>
      <c r="G33" s="384">
        <v>3912951.5180275259</v>
      </c>
      <c r="H33" s="385">
        <v>0.14092325321060115</v>
      </c>
      <c r="I33" s="386">
        <v>1.8885885549797028</v>
      </c>
      <c r="J33" s="386">
        <v>0.59737528978034249</v>
      </c>
      <c r="K33" s="2121">
        <v>167.57607718988064</v>
      </c>
      <c r="L33" s="2150" t="s">
        <v>244</v>
      </c>
      <c r="M33" s="2121">
        <v>296001.83374630124</v>
      </c>
      <c r="N33" s="2121">
        <v>4768537.0893511409</v>
      </c>
      <c r="O33" s="2121">
        <v>3825.4886176022856</v>
      </c>
      <c r="P33" s="2128">
        <v>6.9995917714581388</v>
      </c>
      <c r="Q33" s="2143">
        <v>0.43449216415952308</v>
      </c>
      <c r="R33" s="2130"/>
      <c r="S33" s="2130"/>
      <c r="T33" s="2130"/>
      <c r="U33" s="2130"/>
      <c r="V33" s="2130">
        <v>30458.588692494395</v>
      </c>
      <c r="W33" s="2130">
        <v>490682.46649423242</v>
      </c>
      <c r="X33" s="2128">
        <v>68.023243648767149</v>
      </c>
      <c r="Y33" s="2143">
        <v>4.2224700112684452</v>
      </c>
    </row>
    <row r="34" spans="2:29" ht="17.25" customHeight="1" thickBot="1" x14ac:dyDescent="0.3">
      <c r="B34" s="388" t="s">
        <v>137</v>
      </c>
      <c r="C34" s="389">
        <v>4591832.0636577606</v>
      </c>
      <c r="D34" s="389">
        <v>9246108.3333333358</v>
      </c>
      <c r="E34" s="389">
        <v>13837940.396991096</v>
      </c>
      <c r="F34" s="389">
        <v>8754620.3399647623</v>
      </c>
      <c r="G34" s="389">
        <v>8754620.3399647605</v>
      </c>
      <c r="H34" s="390">
        <v>0.14330934663505693</v>
      </c>
      <c r="I34" s="391">
        <v>1.906563702373516</v>
      </c>
      <c r="J34" s="391">
        <v>0.63265342159360316</v>
      </c>
      <c r="K34" s="392">
        <v>405.76867685450338</v>
      </c>
      <c r="L34" s="389" t="s">
        <v>244</v>
      </c>
      <c r="M34" s="2147">
        <v>662258.05825688411</v>
      </c>
      <c r="N34" s="2147">
        <v>10668859.964652438</v>
      </c>
      <c r="O34" s="2147">
        <v>7906.0464520912528</v>
      </c>
      <c r="P34" s="2148">
        <v>6.9335993823069932</v>
      </c>
      <c r="Q34" s="2149">
        <v>0.43039575726658719</v>
      </c>
      <c r="R34" s="2147">
        <v>0</v>
      </c>
      <c r="S34" s="2147">
        <v>0</v>
      </c>
      <c r="T34" s="2147">
        <v>0</v>
      </c>
      <c r="U34" s="2147">
        <v>0</v>
      </c>
      <c r="V34" s="392">
        <v>68146.354194633372</v>
      </c>
      <c r="W34" s="392">
        <v>1097825.6903627359</v>
      </c>
      <c r="X34" s="2148">
        <v>67.381918195403244</v>
      </c>
      <c r="Y34" s="2149">
        <v>4.1826604204721782</v>
      </c>
    </row>
    <row r="35" spans="2:29" ht="15.75" customHeight="1" thickBot="1" x14ac:dyDescent="0.3">
      <c r="B35" s="2160" t="s">
        <v>132</v>
      </c>
      <c r="C35" s="2161"/>
      <c r="D35" s="2161"/>
      <c r="E35" s="2161"/>
      <c r="F35" s="2161"/>
      <c r="G35" s="2161"/>
      <c r="H35" s="2161"/>
      <c r="I35" s="2161"/>
      <c r="J35" s="2161"/>
      <c r="K35" s="2161"/>
      <c r="L35" s="2161"/>
      <c r="M35" s="2161"/>
      <c r="N35" s="2161"/>
      <c r="O35" s="2161"/>
      <c r="P35" s="2161"/>
      <c r="Q35" s="2161"/>
      <c r="R35" s="2161"/>
      <c r="S35" s="2161"/>
      <c r="T35" s="2161"/>
      <c r="U35" s="2161"/>
      <c r="V35" s="2161"/>
      <c r="W35" s="2161"/>
      <c r="X35" s="2161"/>
      <c r="Y35" s="2161"/>
    </row>
    <row r="36" spans="2:29"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2134"/>
      <c r="S36" s="2134"/>
      <c r="T36" s="2134"/>
      <c r="U36" s="2134"/>
      <c r="V36" s="2146" t="s">
        <v>3</v>
      </c>
      <c r="W36" s="2146" t="s">
        <v>3</v>
      </c>
      <c r="X36" s="341" t="s">
        <v>3</v>
      </c>
      <c r="Y36" s="336" t="s">
        <v>3</v>
      </c>
      <c r="AB36" s="306"/>
      <c r="AC36" s="393"/>
    </row>
    <row r="37" spans="2:29" s="284" customFormat="1" ht="15.75" customHeight="1" thickBot="1" x14ac:dyDescent="0.25">
      <c r="B37" s="2135" t="s">
        <v>129</v>
      </c>
      <c r="C37" s="351">
        <v>1334871.0970383401</v>
      </c>
      <c r="D37" s="1108">
        <v>2242049.324464689</v>
      </c>
      <c r="E37" s="351">
        <v>3576920.4215030288</v>
      </c>
      <c r="F37" s="351">
        <v>4039928.368663257</v>
      </c>
      <c r="G37" s="351">
        <v>4039928.368663257</v>
      </c>
      <c r="H37" s="401">
        <v>7.6986058132257465E-2</v>
      </c>
      <c r="I37" s="2137">
        <v>3.0264557960889182</v>
      </c>
      <c r="J37" s="2137">
        <v>1.1294431780972278</v>
      </c>
      <c r="K37" s="2121">
        <v>47.998537888847373</v>
      </c>
      <c r="L37" s="354" t="s">
        <v>244</v>
      </c>
      <c r="M37" s="2121">
        <v>384690.36194419389</v>
      </c>
      <c r="N37" s="2121">
        <v>4231241.9705611533</v>
      </c>
      <c r="O37" s="2121">
        <v>2821.7027613779837</v>
      </c>
      <c r="P37" s="2120">
        <v>3.4699884090987094</v>
      </c>
      <c r="Q37" s="2138">
        <v>0.315479735341467</v>
      </c>
      <c r="R37" s="2121"/>
      <c r="S37" s="2121"/>
      <c r="T37" s="2121"/>
      <c r="U37" s="2121"/>
      <c r="V37" s="2121">
        <v>39584.638244057547</v>
      </c>
      <c r="W37" s="2121">
        <v>435394.79877074267</v>
      </c>
      <c r="X37" s="2120">
        <v>33.721947610288723</v>
      </c>
      <c r="Y37" s="2138">
        <v>3.0658866408305836</v>
      </c>
      <c r="Z37" s="295"/>
    </row>
    <row r="38" spans="2:29" s="284" customFormat="1" ht="15.75" customHeight="1" thickBot="1" x14ac:dyDescent="0.25">
      <c r="B38" s="2151" t="s">
        <v>130</v>
      </c>
      <c r="C38" s="2152">
        <v>1048766.7180974099</v>
      </c>
      <c r="D38" s="1270">
        <v>1801214.0045860542</v>
      </c>
      <c r="E38" s="351">
        <v>2849980.7226834642</v>
      </c>
      <c r="F38" s="351">
        <v>3246314.1345959543</v>
      </c>
      <c r="G38" s="351">
        <v>3246314.1345959539</v>
      </c>
      <c r="H38" s="385">
        <v>7.133364952691737E-2</v>
      </c>
      <c r="I38" s="386">
        <v>3.0953634193170831</v>
      </c>
      <c r="J38" s="386">
        <v>1.1390652956906013</v>
      </c>
      <c r="K38" s="2121">
        <v>38.569577915576325</v>
      </c>
      <c r="L38" s="2150" t="s">
        <v>244</v>
      </c>
      <c r="M38" s="2121">
        <v>309120.76786041755</v>
      </c>
      <c r="N38" s="2121">
        <v>3400045.5855788593</v>
      </c>
      <c r="O38" s="2121">
        <v>2267.4010037579869</v>
      </c>
      <c r="P38" s="2128">
        <v>3.3927410486084746</v>
      </c>
      <c r="Q38" s="2143">
        <v>0.30845666380054049</v>
      </c>
      <c r="R38" s="2130"/>
      <c r="S38" s="2130"/>
      <c r="T38" s="2130"/>
      <c r="U38" s="2130"/>
      <c r="V38" s="2130">
        <v>31808.527012836963</v>
      </c>
      <c r="W38" s="2130">
        <v>349864.69075606467</v>
      </c>
      <c r="X38" s="2128">
        <v>32.971244398527453</v>
      </c>
      <c r="Y38" s="2143">
        <v>2.9976352167205094</v>
      </c>
      <c r="Z38" s="295"/>
    </row>
    <row r="39" spans="2:29" ht="18" customHeight="1" thickBot="1" x14ac:dyDescent="0.3">
      <c r="B39" s="1928" t="s">
        <v>617</v>
      </c>
      <c r="C39" s="343">
        <v>2383637.81513575</v>
      </c>
      <c r="D39" s="343">
        <v>4043263.329050743</v>
      </c>
      <c r="E39" s="343">
        <v>6426901.144186493</v>
      </c>
      <c r="F39" s="343">
        <v>7286242.5032592118</v>
      </c>
      <c r="G39" s="343">
        <v>7286242.5032592108</v>
      </c>
      <c r="H39" s="344">
        <v>7.4392437085255503E-2</v>
      </c>
      <c r="I39" s="345">
        <v>3.0567741697134698</v>
      </c>
      <c r="J39" s="345">
        <v>1.1337100633405637</v>
      </c>
      <c r="K39" s="346">
        <v>86.568115804423698</v>
      </c>
      <c r="L39" s="343" t="s">
        <v>244</v>
      </c>
      <c r="M39" s="348">
        <v>693811.12980461144</v>
      </c>
      <c r="N39" s="348">
        <v>7631287.556140013</v>
      </c>
      <c r="O39" s="348">
        <v>5089.1037651359711</v>
      </c>
      <c r="P39" s="349">
        <v>3.4355716026161489</v>
      </c>
      <c r="Q39" s="363">
        <v>0.31235067445701387</v>
      </c>
      <c r="R39" s="348">
        <v>0</v>
      </c>
      <c r="S39" s="348">
        <v>0</v>
      </c>
      <c r="T39" s="348">
        <v>0</v>
      </c>
      <c r="U39" s="348">
        <v>0</v>
      </c>
      <c r="V39" s="346">
        <v>71393.165256894514</v>
      </c>
      <c r="W39" s="346">
        <v>785259.48952680733</v>
      </c>
      <c r="X39" s="349">
        <v>33.387479131352279</v>
      </c>
      <c r="Y39" s="363">
        <v>3.0354778858796294</v>
      </c>
    </row>
    <row r="40" spans="2:29" s="284" customFormat="1" ht="15.75" hidden="1" customHeight="1" x14ac:dyDescent="0.2">
      <c r="B40" s="322" t="s">
        <v>133</v>
      </c>
      <c r="C40" s="323"/>
      <c r="D40" s="331"/>
      <c r="E40" s="331"/>
      <c r="F40" s="331"/>
      <c r="G40" s="331"/>
      <c r="H40" s="332"/>
      <c r="I40" s="333"/>
      <c r="J40" s="333"/>
      <c r="K40" s="804"/>
      <c r="L40" s="326"/>
      <c r="M40" s="804"/>
      <c r="N40" s="804"/>
      <c r="O40" s="804"/>
      <c r="P40" s="335"/>
      <c r="Q40" s="336"/>
      <c r="R40" s="326"/>
      <c r="S40" s="326"/>
      <c r="T40" s="326"/>
      <c r="U40" s="326"/>
      <c r="V40" s="804">
        <v>0</v>
      </c>
      <c r="W40" s="804">
        <v>0</v>
      </c>
      <c r="X40" s="335" t="s">
        <v>3</v>
      </c>
      <c r="Y40" s="336" t="s">
        <v>3</v>
      </c>
    </row>
    <row r="41" spans="2:29" s="284" customFormat="1" ht="15.75" customHeight="1" x14ac:dyDescent="0.2">
      <c r="B41" s="615" t="s">
        <v>582</v>
      </c>
      <c r="C41" s="323">
        <v>746206.24457467219</v>
      </c>
      <c r="D41" s="874">
        <v>886712.81689921382</v>
      </c>
      <c r="E41" s="331">
        <v>1632919.061473886</v>
      </c>
      <c r="F41" s="331">
        <v>3127297.2127635758</v>
      </c>
      <c r="G41" s="331">
        <v>3127297.2127635758</v>
      </c>
      <c r="H41" s="332">
        <v>4.3035973623923064E-2</v>
      </c>
      <c r="I41" s="333">
        <v>4.1909287619887108</v>
      </c>
      <c r="J41" s="333">
        <v>1.9151575154869291</v>
      </c>
      <c r="K41" s="804">
        <v>92.535651083040023</v>
      </c>
      <c r="L41" s="804" t="s">
        <v>244</v>
      </c>
      <c r="M41" s="804">
        <v>439885.09964511014</v>
      </c>
      <c r="N41" s="804">
        <v>2250943.2628663308</v>
      </c>
      <c r="O41" s="804">
        <v>3140.150530424989</v>
      </c>
      <c r="P41" s="335">
        <v>1.6963662674109565</v>
      </c>
      <c r="Q41" s="336">
        <v>0.3315082422932597</v>
      </c>
      <c r="R41" s="804"/>
      <c r="S41" s="804"/>
      <c r="T41" s="804"/>
      <c r="U41" s="804"/>
      <c r="V41" s="804">
        <v>45264.176753481835</v>
      </c>
      <c r="W41" s="804">
        <v>231622.06174894545</v>
      </c>
      <c r="X41" s="335">
        <v>16.485580830038451</v>
      </c>
      <c r="Y41" s="336">
        <v>3.2216544440550021</v>
      </c>
    </row>
    <row r="42" spans="2:29" s="284" customFormat="1" ht="16.5" customHeight="1" thickBot="1" x14ac:dyDescent="0.25">
      <c r="B42" s="1937" t="s">
        <v>583</v>
      </c>
      <c r="C42" s="323">
        <v>406556.96515031101</v>
      </c>
      <c r="D42" s="874">
        <v>532401.49443690816</v>
      </c>
      <c r="E42" s="331">
        <v>938958.45958721917</v>
      </c>
      <c r="F42" s="331">
        <v>1769909.2062053443</v>
      </c>
      <c r="G42" s="331">
        <v>1769909.2062053443</v>
      </c>
      <c r="H42" s="332">
        <v>2.7652662469468067E-2</v>
      </c>
      <c r="I42" s="333">
        <v>4.3534101194182684</v>
      </c>
      <c r="J42" s="333">
        <v>1.8849707227553221</v>
      </c>
      <c r="K42" s="804">
        <v>55.722443005763381</v>
      </c>
      <c r="L42" s="804" t="s">
        <v>244</v>
      </c>
      <c r="M42" s="804">
        <v>248955.13108152238</v>
      </c>
      <c r="N42" s="804">
        <v>1273932.3871530606</v>
      </c>
      <c r="O42" s="804">
        <v>1885.4140859284967</v>
      </c>
      <c r="P42" s="335">
        <v>1.6330531665851893</v>
      </c>
      <c r="Q42" s="336">
        <v>0.31913543391331012</v>
      </c>
      <c r="R42" s="804"/>
      <c r="S42" s="804"/>
      <c r="T42" s="804"/>
      <c r="U42" s="804"/>
      <c r="V42" s="804">
        <v>25617.482988288655</v>
      </c>
      <c r="W42" s="804">
        <v>131087.64263804993</v>
      </c>
      <c r="X42" s="335">
        <v>15.870293164093189</v>
      </c>
      <c r="Y42" s="336">
        <v>3.1014133519272122</v>
      </c>
    </row>
    <row r="43" spans="2:29" ht="19.5" customHeight="1" thickBot="1" x14ac:dyDescent="0.3">
      <c r="B43" s="342" t="s">
        <v>136</v>
      </c>
      <c r="C43" s="343">
        <v>1152763.2097249832</v>
      </c>
      <c r="D43" s="343">
        <v>1419114.311336122</v>
      </c>
      <c r="E43" s="343">
        <v>2571877.5210611052</v>
      </c>
      <c r="F43" s="343">
        <v>4897206.4189689197</v>
      </c>
      <c r="G43" s="343">
        <v>4897206.4189689197</v>
      </c>
      <c r="H43" s="344">
        <v>3.5977304945038008E-2</v>
      </c>
      <c r="I43" s="345">
        <v>4.2482327486294906</v>
      </c>
      <c r="J43" s="345">
        <v>1.904136716801518</v>
      </c>
      <c r="K43" s="346">
        <v>148.2580940888034</v>
      </c>
      <c r="L43" s="343" t="s">
        <v>244</v>
      </c>
      <c r="M43" s="348">
        <v>688840.23072663252</v>
      </c>
      <c r="N43" s="348">
        <v>3524875.6500193914</v>
      </c>
      <c r="O43" s="348">
        <v>5025.5646163534857</v>
      </c>
      <c r="P43" s="349">
        <v>1.6734841524993034</v>
      </c>
      <c r="Q43" s="363">
        <v>0.32703656077020521</v>
      </c>
      <c r="R43" s="348">
        <v>0</v>
      </c>
      <c r="S43" s="348">
        <v>0</v>
      </c>
      <c r="T43" s="348"/>
      <c r="U43" s="348"/>
      <c r="V43" s="346">
        <v>70881.659741770491</v>
      </c>
      <c r="W43" s="346">
        <v>362709.70438699535</v>
      </c>
      <c r="X43" s="349">
        <v>16.263208479099156</v>
      </c>
      <c r="Y43" s="363">
        <v>3.1781978694869313</v>
      </c>
    </row>
    <row r="44" spans="2:29" ht="15.75" hidden="1" customHeight="1" x14ac:dyDescent="0.2">
      <c r="B44" s="322" t="s">
        <v>251</v>
      </c>
      <c r="C44" s="323"/>
      <c r="D44" s="331"/>
      <c r="E44" s="331"/>
      <c r="F44" s="331"/>
      <c r="G44" s="331"/>
      <c r="H44" s="332"/>
      <c r="I44" s="333"/>
      <c r="J44" s="333"/>
      <c r="K44" s="804"/>
      <c r="L44" s="326"/>
      <c r="M44" s="804"/>
      <c r="N44" s="804"/>
      <c r="O44" s="804"/>
      <c r="P44" s="335"/>
      <c r="Q44" s="336"/>
      <c r="R44" s="326"/>
      <c r="S44" s="326"/>
      <c r="T44" s="326"/>
      <c r="U44" s="326"/>
      <c r="V44" s="804">
        <v>0</v>
      </c>
      <c r="W44" s="804">
        <v>0</v>
      </c>
      <c r="X44" s="335" t="s">
        <v>3</v>
      </c>
      <c r="Y44" s="336" t="s">
        <v>3</v>
      </c>
    </row>
    <row r="45" spans="2:29" ht="15.75" customHeight="1" x14ac:dyDescent="0.2">
      <c r="B45" s="330" t="s">
        <v>252</v>
      </c>
      <c r="C45" s="323">
        <v>254270.84157258499</v>
      </c>
      <c r="D45" s="874">
        <v>794711.22314320831</v>
      </c>
      <c r="E45" s="331">
        <v>1048982.0647157934</v>
      </c>
      <c r="F45" s="331">
        <v>642112.11304251454</v>
      </c>
      <c r="G45" s="331">
        <v>642112.11304251454</v>
      </c>
      <c r="H45" s="332">
        <v>1.4664569361099005E-2</v>
      </c>
      <c r="I45" s="333">
        <v>2.5253076958067764</v>
      </c>
      <c r="J45" s="333">
        <v>0.61212878145489136</v>
      </c>
      <c r="K45" s="804">
        <v>64.521748345408383</v>
      </c>
      <c r="L45" s="804" t="s">
        <v>244</v>
      </c>
      <c r="M45" s="804">
        <v>55114.102743642012</v>
      </c>
      <c r="N45" s="804">
        <v>815365.71720952215</v>
      </c>
      <c r="O45" s="804">
        <v>519.70665912642357</v>
      </c>
      <c r="P45" s="335">
        <v>4.6135349922197149</v>
      </c>
      <c r="Q45" s="336">
        <v>0.31184882587753654</v>
      </c>
      <c r="R45" s="804"/>
      <c r="S45" s="804"/>
      <c r="T45" s="804"/>
      <c r="U45" s="804"/>
      <c r="V45" s="804">
        <v>5671.2411723207624</v>
      </c>
      <c r="W45" s="804">
        <v>83901.132300859827</v>
      </c>
      <c r="X45" s="335">
        <v>44.835131119725119</v>
      </c>
      <c r="Y45" s="336">
        <v>3.030600834572756</v>
      </c>
    </row>
    <row r="46" spans="2:29" ht="15.75" customHeight="1" thickBot="1" x14ac:dyDescent="0.25">
      <c r="B46" s="359" t="s">
        <v>253</v>
      </c>
      <c r="C46" s="323">
        <v>295186.14336910471</v>
      </c>
      <c r="D46" s="874">
        <v>975675.83236833895</v>
      </c>
      <c r="E46" s="331">
        <v>1270861.9757374437</v>
      </c>
      <c r="F46" s="331">
        <v>804185.39610579261</v>
      </c>
      <c r="G46" s="331">
        <v>804185.39610579261</v>
      </c>
      <c r="H46" s="332">
        <v>2.0077586876987779E-2</v>
      </c>
      <c r="I46" s="333">
        <v>2.7243331510321891</v>
      </c>
      <c r="J46" s="333">
        <v>0.63278736122319468</v>
      </c>
      <c r="K46" s="804">
        <v>80.76186902420848</v>
      </c>
      <c r="L46" s="804" t="s">
        <v>244</v>
      </c>
      <c r="M46" s="804">
        <v>69234.536927713416</v>
      </c>
      <c r="N46" s="804">
        <v>977631.5928515112</v>
      </c>
      <c r="O46" s="804">
        <v>589.64801692021911</v>
      </c>
      <c r="P46" s="335">
        <v>4.2635678155441914</v>
      </c>
      <c r="Q46" s="336">
        <v>0.30194006160144565</v>
      </c>
      <c r="R46" s="804"/>
      <c r="S46" s="804"/>
      <c r="T46" s="804"/>
      <c r="U46" s="804"/>
      <c r="V46" s="804">
        <v>7124.233849861711</v>
      </c>
      <c r="W46" s="804">
        <v>100598.2909044205</v>
      </c>
      <c r="X46" s="335">
        <v>41.43408955825258</v>
      </c>
      <c r="Y46" s="336">
        <v>2.9343057492851861</v>
      </c>
    </row>
    <row r="47" spans="2:29" ht="19.5" customHeight="1" thickBot="1" x14ac:dyDescent="0.3">
      <c r="B47" s="342" t="s">
        <v>302</v>
      </c>
      <c r="C47" s="343">
        <v>549456.98494168976</v>
      </c>
      <c r="D47" s="343">
        <v>1770387.0555115473</v>
      </c>
      <c r="E47" s="343">
        <v>2319844.040453237</v>
      </c>
      <c r="F47" s="343">
        <v>1446297.5091483071</v>
      </c>
      <c r="G47" s="343">
        <v>1446297.5091483071</v>
      </c>
      <c r="H47" s="344">
        <v>1.7148345240948843E-2</v>
      </c>
      <c r="I47" s="345">
        <v>2.6322306364014887</v>
      </c>
      <c r="J47" s="345">
        <v>0.62344600926954485</v>
      </c>
      <c r="K47" s="346">
        <v>145.28361736961688</v>
      </c>
      <c r="L47" s="343" t="s">
        <v>244</v>
      </c>
      <c r="M47" s="348">
        <v>124348.63967135543</v>
      </c>
      <c r="N47" s="348">
        <v>1792997.3100610333</v>
      </c>
      <c r="O47" s="348">
        <v>1109.3546760466427</v>
      </c>
      <c r="P47" s="349">
        <v>4.4186811081638311</v>
      </c>
      <c r="Q47" s="363">
        <v>0.30644607320854617</v>
      </c>
      <c r="R47" s="348">
        <v>0</v>
      </c>
      <c r="S47" s="348">
        <v>0</v>
      </c>
      <c r="T47" s="348">
        <v>0</v>
      </c>
      <c r="U47" s="348">
        <v>0</v>
      </c>
      <c r="V47" s="346">
        <v>12795.475022182474</v>
      </c>
      <c r="W47" s="346">
        <v>184499.42320528033</v>
      </c>
      <c r="X47" s="349">
        <v>42.941507367967262</v>
      </c>
      <c r="Y47" s="363">
        <v>2.9780959495485537</v>
      </c>
    </row>
    <row r="48" spans="2:29" ht="15.75" customHeight="1" thickBot="1" x14ac:dyDescent="0.3">
      <c r="B48" s="364" t="s">
        <v>127</v>
      </c>
      <c r="C48" s="365">
        <v>8677690.073460184</v>
      </c>
      <c r="D48" s="365">
        <v>16478873.029231748</v>
      </c>
      <c r="E48" s="365">
        <v>25156563.102691934</v>
      </c>
      <c r="F48" s="365">
        <v>22384366.771341201</v>
      </c>
      <c r="G48" s="365">
        <v>22384366.771341197</v>
      </c>
      <c r="H48" s="366">
        <v>0.27082743390629932</v>
      </c>
      <c r="I48" s="317">
        <v>2.5795305642225537</v>
      </c>
      <c r="J48" s="317">
        <v>0.88980226273222152</v>
      </c>
      <c r="K48" s="346">
        <v>785.87850411734735</v>
      </c>
      <c r="L48" s="612" t="s">
        <v>244</v>
      </c>
      <c r="M48" s="394">
        <v>2169258.0584594836</v>
      </c>
      <c r="N48" s="395">
        <v>23618020.480872877</v>
      </c>
      <c r="O48" s="395">
        <v>19130.069509627352</v>
      </c>
      <c r="P48" s="367">
        <v>4.0003032555853295</v>
      </c>
      <c r="Q48" s="367">
        <v>0.36741817886422096</v>
      </c>
      <c r="R48" s="394">
        <v>0</v>
      </c>
      <c r="S48" s="395">
        <v>0</v>
      </c>
      <c r="T48" s="394"/>
      <c r="U48" s="395"/>
      <c r="V48" s="394"/>
      <c r="W48" s="395"/>
      <c r="X48" s="367"/>
      <c r="Y48" s="367"/>
    </row>
    <row r="49" spans="2:26" s="284" customFormat="1" ht="15" x14ac:dyDescent="0.2">
      <c r="B49" s="396"/>
      <c r="C49" s="397"/>
      <c r="D49" s="397"/>
      <c r="E49" s="397"/>
      <c r="F49" s="397"/>
      <c r="G49" s="397"/>
      <c r="H49" s="397"/>
      <c r="I49" s="397"/>
      <c r="J49" s="397"/>
      <c r="K49" s="806"/>
      <c r="L49" s="397"/>
      <c r="M49" s="397"/>
      <c r="N49" s="397"/>
      <c r="O49" s="397"/>
      <c r="P49" s="397"/>
      <c r="Q49" s="398"/>
      <c r="R49" s="397"/>
      <c r="S49" s="397"/>
      <c r="T49" s="397"/>
      <c r="U49" s="397"/>
      <c r="V49" s="397"/>
      <c r="W49" s="397"/>
      <c r="X49" s="397"/>
      <c r="Y49" s="397"/>
      <c r="Z49" s="285"/>
    </row>
    <row r="50" spans="2:26"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row>
    <row r="51" spans="2:26" s="704" customFormat="1" ht="15.75" hidden="1" customHeight="1" thickBot="1" x14ac:dyDescent="0.25">
      <c r="B51" s="1107" t="s">
        <v>172</v>
      </c>
      <c r="C51" s="1108"/>
      <c r="D51" s="1109"/>
      <c r="E51" s="1108"/>
      <c r="F51" s="1109"/>
      <c r="G51" s="1109"/>
      <c r="H51" s="1110"/>
      <c r="I51" s="1111"/>
      <c r="J51" s="1111"/>
      <c r="K51" s="1112"/>
      <c r="L51" s="1111"/>
      <c r="M51" s="1111"/>
      <c r="N51" s="1111"/>
      <c r="O51" s="1111"/>
      <c r="P51" s="1111"/>
      <c r="Q51" s="1113"/>
      <c r="R51" s="1111"/>
      <c r="S51" s="1111"/>
      <c r="T51" s="1111"/>
      <c r="U51" s="1111"/>
      <c r="V51" s="1111"/>
      <c r="W51" s="1111"/>
      <c r="X51" s="1111"/>
      <c r="Y51" s="1113"/>
    </row>
    <row r="52" spans="2:26" s="704" customFormat="1" ht="15.75" customHeight="1" thickBot="1" x14ac:dyDescent="0.25">
      <c r="B52" s="979" t="s">
        <v>556</v>
      </c>
      <c r="C52" s="874">
        <v>311292</v>
      </c>
      <c r="D52" s="1114"/>
      <c r="E52" s="874"/>
      <c r="F52" s="1114"/>
      <c r="G52" s="1114"/>
      <c r="H52" s="1115"/>
      <c r="I52" s="1268"/>
      <c r="J52" s="1268"/>
      <c r="K52" s="900"/>
      <c r="L52" s="1268"/>
      <c r="M52" s="1268"/>
      <c r="N52" s="1268"/>
      <c r="O52" s="1268"/>
      <c r="P52" s="1268"/>
      <c r="Q52" s="1269"/>
      <c r="R52" s="1111"/>
      <c r="S52" s="1111"/>
      <c r="T52" s="1111"/>
      <c r="U52" s="1111"/>
      <c r="V52" s="1111"/>
      <c r="W52" s="1111"/>
      <c r="X52" s="1111"/>
      <c r="Y52" s="1113"/>
    </row>
    <row r="53" spans="2:26" s="704" customFormat="1" ht="15.75" customHeight="1" thickBot="1" x14ac:dyDescent="0.25">
      <c r="B53" s="1260" t="s">
        <v>557</v>
      </c>
      <c r="C53" s="1270">
        <v>311292</v>
      </c>
      <c r="D53" s="1132"/>
      <c r="E53" s="1270"/>
      <c r="F53" s="1132"/>
      <c r="G53" s="1132"/>
      <c r="H53" s="1276"/>
      <c r="I53" s="1271"/>
      <c r="J53" s="1271"/>
      <c r="K53" s="1272"/>
      <c r="L53" s="1271"/>
      <c r="M53" s="1271"/>
      <c r="N53" s="1271"/>
      <c r="O53" s="1271"/>
      <c r="P53" s="1271"/>
      <c r="Q53" s="1273"/>
      <c r="R53" s="1111"/>
      <c r="S53" s="1111"/>
      <c r="T53" s="1111"/>
      <c r="U53" s="1111"/>
      <c r="V53" s="1111"/>
      <c r="W53" s="1111"/>
      <c r="X53" s="1111"/>
      <c r="Y53" s="1113"/>
    </row>
    <row r="54" spans="2:26" s="704" customFormat="1" ht="16.5" customHeight="1" thickBot="1" x14ac:dyDescent="0.3">
      <c r="B54" s="2296" t="s">
        <v>630</v>
      </c>
      <c r="C54" s="1275">
        <v>622584</v>
      </c>
      <c r="D54" s="1247"/>
      <c r="E54" s="1248"/>
      <c r="F54" s="1249"/>
      <c r="G54" s="1249"/>
      <c r="H54" s="1250"/>
      <c r="I54" s="1249"/>
      <c r="J54" s="1249"/>
      <c r="K54" s="1251"/>
      <c r="L54" s="1249"/>
      <c r="M54" s="1249"/>
      <c r="N54" s="1249"/>
      <c r="O54" s="1249"/>
      <c r="P54" s="1249"/>
      <c r="Q54" s="1252"/>
      <c r="R54" s="1121"/>
      <c r="S54" s="1121"/>
      <c r="T54" s="1121"/>
      <c r="U54" s="1121"/>
      <c r="V54" s="1121"/>
      <c r="W54" s="1121"/>
      <c r="X54" s="1121"/>
      <c r="Y54" s="1123"/>
    </row>
    <row r="55" spans="2:26" s="704" customFormat="1" ht="15.75" hidden="1" customHeight="1" thickBot="1" x14ac:dyDescent="0.25">
      <c r="B55" s="1128" t="s">
        <v>237</v>
      </c>
      <c r="C55" s="1108"/>
      <c r="D55" s="1109"/>
      <c r="E55" s="1108"/>
      <c r="F55" s="1109"/>
      <c r="G55" s="1109"/>
      <c r="H55" s="1110"/>
      <c r="I55" s="1111"/>
      <c r="J55" s="1111"/>
      <c r="K55" s="1112"/>
      <c r="L55" s="1111"/>
      <c r="M55" s="1111"/>
      <c r="N55" s="1111"/>
      <c r="O55" s="1111"/>
      <c r="P55" s="1111"/>
      <c r="Q55" s="1113"/>
      <c r="R55" s="1256"/>
      <c r="S55" s="1256"/>
      <c r="T55" s="1256"/>
      <c r="U55" s="1256"/>
      <c r="V55" s="1256"/>
      <c r="W55" s="1256"/>
      <c r="X55" s="1256"/>
      <c r="Y55" s="1258"/>
    </row>
    <row r="56" spans="2:26" s="704" customFormat="1" ht="15.75" customHeight="1" thickBot="1" x14ac:dyDescent="0.25">
      <c r="B56" s="979" t="s">
        <v>593</v>
      </c>
      <c r="C56" s="1277">
        <v>1964286</v>
      </c>
      <c r="D56" s="1114"/>
      <c r="E56" s="874"/>
      <c r="F56" s="1114"/>
      <c r="G56" s="1114"/>
      <c r="H56" s="1115"/>
      <c r="I56" s="1268"/>
      <c r="J56" s="1268"/>
      <c r="K56" s="900"/>
      <c r="L56" s="1268"/>
      <c r="M56" s="1268"/>
      <c r="N56" s="1268"/>
      <c r="O56" s="1268"/>
      <c r="P56" s="1268"/>
      <c r="Q56" s="1269"/>
      <c r="R56" s="1130"/>
      <c r="S56" s="1130"/>
      <c r="T56" s="1130"/>
      <c r="U56" s="1130"/>
      <c r="V56" s="1130"/>
      <c r="W56" s="1130"/>
      <c r="X56" s="1130"/>
      <c r="Y56" s="1131"/>
    </row>
    <row r="57" spans="2:26" s="704" customFormat="1" ht="15.75" customHeight="1" thickBot="1" x14ac:dyDescent="0.25">
      <c r="B57" s="1260" t="s">
        <v>594</v>
      </c>
      <c r="C57" s="1278">
        <v>1850737</v>
      </c>
      <c r="D57" s="1132"/>
      <c r="E57" s="1270"/>
      <c r="F57" s="1132"/>
      <c r="G57" s="1132"/>
      <c r="H57" s="1276"/>
      <c r="I57" s="1271"/>
      <c r="J57" s="1271"/>
      <c r="K57" s="1272"/>
      <c r="L57" s="1271"/>
      <c r="M57" s="1271"/>
      <c r="N57" s="1271"/>
      <c r="O57" s="1271"/>
      <c r="P57" s="1271"/>
      <c r="Q57" s="1273"/>
      <c r="R57" s="1111"/>
      <c r="S57" s="1111"/>
      <c r="T57" s="1111"/>
      <c r="U57" s="1111"/>
      <c r="V57" s="1111"/>
      <c r="W57" s="1111"/>
      <c r="X57" s="1111"/>
      <c r="Y57" s="1113"/>
    </row>
    <row r="58" spans="2:26" s="704" customFormat="1" ht="15.75" customHeight="1" thickBot="1" x14ac:dyDescent="0.3">
      <c r="B58" s="2296" t="s">
        <v>630</v>
      </c>
      <c r="C58" s="1263">
        <v>3815023</v>
      </c>
      <c r="D58" s="1264"/>
      <c r="E58" s="1265"/>
      <c r="F58" s="1264"/>
      <c r="G58" s="1264"/>
      <c r="H58" s="1266"/>
      <c r="I58" s="1264"/>
      <c r="J58" s="1264"/>
      <c r="K58" s="1274"/>
      <c r="L58" s="1264"/>
      <c r="M58" s="1264"/>
      <c r="N58" s="1264"/>
      <c r="O58" s="1264"/>
      <c r="P58" s="1264"/>
      <c r="Q58" s="1267"/>
      <c r="R58" s="1134"/>
      <c r="S58" s="1134"/>
      <c r="T58" s="1134"/>
      <c r="U58" s="1134"/>
      <c r="V58" s="1134"/>
      <c r="W58" s="1134"/>
      <c r="X58" s="1134"/>
      <c r="Y58" s="1127"/>
    </row>
    <row r="59" spans="2:26" s="704" customFormat="1" ht="15.75" customHeight="1" thickBot="1" x14ac:dyDescent="0.3">
      <c r="B59" s="1136" t="s">
        <v>90</v>
      </c>
      <c r="C59" s="1137">
        <v>4437607</v>
      </c>
      <c r="D59" s="1137"/>
      <c r="E59" s="1137"/>
      <c r="F59" s="1137"/>
      <c r="G59" s="1137"/>
      <c r="H59" s="1138"/>
      <c r="I59" s="1139"/>
      <c r="J59" s="1139"/>
      <c r="K59" s="1140"/>
      <c r="L59" s="1141"/>
      <c r="M59" s="1142"/>
      <c r="N59" s="1142"/>
      <c r="O59" s="1142"/>
      <c r="P59" s="1143"/>
      <c r="Q59" s="1144"/>
      <c r="R59" s="1141"/>
      <c r="S59" s="1141"/>
      <c r="T59" s="1141"/>
      <c r="U59" s="1141"/>
      <c r="V59" s="1141"/>
      <c r="W59" s="1141"/>
      <c r="X59" s="1143"/>
      <c r="Y59" s="1144"/>
    </row>
    <row r="60" spans="2:26" s="284" customFormat="1" ht="15.75" thickBot="1" x14ac:dyDescent="0.25">
      <c r="B60" s="396"/>
      <c r="C60" s="397"/>
      <c r="D60" s="397"/>
      <c r="E60" s="397"/>
      <c r="F60" s="397"/>
      <c r="G60" s="397"/>
      <c r="H60" s="397"/>
      <c r="I60" s="397"/>
      <c r="J60" s="397"/>
      <c r="K60" s="806"/>
      <c r="L60" s="397"/>
      <c r="M60" s="397"/>
      <c r="N60" s="397"/>
      <c r="O60" s="397"/>
      <c r="P60" s="397"/>
      <c r="Q60" s="398"/>
      <c r="R60" s="397"/>
      <c r="S60" s="397"/>
      <c r="T60" s="397"/>
      <c r="U60" s="397"/>
      <c r="V60" s="397"/>
      <c r="W60" s="397"/>
      <c r="X60" s="397"/>
      <c r="Y60" s="398"/>
    </row>
    <row r="61" spans="2:26" s="284" customFormat="1" ht="16.5" thickBot="1" x14ac:dyDescent="0.3">
      <c r="B61" s="419" t="s">
        <v>28</v>
      </c>
      <c r="C61" s="396"/>
      <c r="D61" s="397"/>
      <c r="E61" s="397"/>
      <c r="F61" s="397"/>
      <c r="G61" s="397"/>
      <c r="H61" s="420"/>
      <c r="I61" s="397"/>
      <c r="J61" s="397"/>
      <c r="K61" s="806"/>
      <c r="L61" s="397"/>
      <c r="M61" s="397"/>
      <c r="N61" s="397"/>
      <c r="O61" s="397"/>
      <c r="P61" s="420"/>
      <c r="Q61" s="421"/>
      <c r="R61" s="397"/>
      <c r="S61" s="397"/>
      <c r="T61" s="397"/>
      <c r="U61" s="397"/>
      <c r="V61" s="397"/>
      <c r="W61" s="397"/>
      <c r="X61" s="420"/>
      <c r="Y61" s="421"/>
    </row>
    <row r="62" spans="2:26" s="284" customFormat="1" ht="16.5" hidden="1" thickBot="1" x14ac:dyDescent="0.3">
      <c r="B62" s="2113" t="s">
        <v>91</v>
      </c>
      <c r="C62" s="2114">
        <v>0</v>
      </c>
      <c r="D62" s="2115">
        <v>0</v>
      </c>
      <c r="E62" s="2115">
        <v>0</v>
      </c>
      <c r="F62" s="2115">
        <v>0</v>
      </c>
      <c r="G62" s="2115">
        <v>0</v>
      </c>
      <c r="H62" s="498" t="e">
        <v>#DIV/0!</v>
      </c>
      <c r="I62" s="2116"/>
      <c r="J62" s="2117"/>
      <c r="K62" s="903"/>
      <c r="L62" s="2117"/>
      <c r="M62" s="355">
        <v>0</v>
      </c>
      <c r="N62" s="355">
        <v>0</v>
      </c>
      <c r="O62" s="355">
        <v>0</v>
      </c>
      <c r="P62" s="362" t="e">
        <v>#DIV/0!</v>
      </c>
      <c r="Q62" s="329" t="e">
        <v>#DIV/0!</v>
      </c>
      <c r="R62" s="2117"/>
      <c r="S62" s="2117"/>
      <c r="T62" s="2117"/>
      <c r="U62" s="2117"/>
      <c r="V62" s="2119">
        <v>0</v>
      </c>
      <c r="W62" s="2119">
        <v>0</v>
      </c>
      <c r="X62" s="2118" t="s">
        <v>3</v>
      </c>
      <c r="Y62" s="1997" t="s">
        <v>3</v>
      </c>
    </row>
    <row r="63" spans="2:26" s="284" customFormat="1" ht="15.75" x14ac:dyDescent="0.25">
      <c r="B63" s="422" t="s">
        <v>92</v>
      </c>
      <c r="C63" s="686">
        <v>10208261.504467178</v>
      </c>
      <c r="D63" s="423">
        <v>3764016.6369281961</v>
      </c>
      <c r="E63" s="423">
        <v>13972278.141395375</v>
      </c>
      <c r="F63" s="423">
        <v>13514237.18518102</v>
      </c>
      <c r="G63" s="423">
        <v>14038438.580632109</v>
      </c>
      <c r="H63" s="497">
        <v>0.58874135139778516</v>
      </c>
      <c r="I63" s="400"/>
      <c r="J63" s="400"/>
      <c r="K63" s="353"/>
      <c r="L63" s="400"/>
      <c r="M63" s="424">
        <v>1238298.1615995776</v>
      </c>
      <c r="N63" s="424">
        <v>22538530.459571254</v>
      </c>
      <c r="O63" s="424">
        <v>14461.479822503055</v>
      </c>
      <c r="P63" s="2120">
        <v>8.2437831380453694</v>
      </c>
      <c r="Q63" s="356">
        <v>0.45292489334113262</v>
      </c>
      <c r="R63" s="424">
        <v>0</v>
      </c>
      <c r="S63" s="424">
        <v>0</v>
      </c>
      <c r="T63" s="424">
        <v>0</v>
      </c>
      <c r="U63" s="424">
        <v>0</v>
      </c>
      <c r="V63" s="2121">
        <v>127420.88082859651</v>
      </c>
      <c r="W63" s="2121">
        <v>2319214.7842898821</v>
      </c>
      <c r="X63" s="2120">
        <v>80.114510573813135</v>
      </c>
      <c r="Y63" s="2138">
        <v>4.4016024620129501</v>
      </c>
    </row>
    <row r="64" spans="2:26" s="284" customFormat="1" ht="19.5" customHeight="1" thickBot="1" x14ac:dyDescent="0.3">
      <c r="B64" s="2122" t="s">
        <v>93</v>
      </c>
      <c r="C64" s="2123">
        <v>8717841.1735560372</v>
      </c>
      <c r="D64" s="2123">
        <v>3825494.5003457661</v>
      </c>
      <c r="E64" s="2123">
        <v>12543335.673901804</v>
      </c>
      <c r="F64" s="2123">
        <v>12036837.537082249</v>
      </c>
      <c r="G64" s="2123">
        <v>12437243.236983513</v>
      </c>
      <c r="H64" s="2124">
        <v>0.59295877355255311</v>
      </c>
      <c r="I64" s="2125"/>
      <c r="J64" s="2125"/>
      <c r="K64" s="2126"/>
      <c r="L64" s="2125"/>
      <c r="M64" s="2127">
        <v>1033699.2330897775</v>
      </c>
      <c r="N64" s="2127">
        <v>18618086.897979133</v>
      </c>
      <c r="O64" s="2127">
        <v>12492.603788083452</v>
      </c>
      <c r="P64" s="2128">
        <v>8.4336341698716204</v>
      </c>
      <c r="Q64" s="2129">
        <v>0.46824580964343332</v>
      </c>
      <c r="R64" s="2127">
        <v>0</v>
      </c>
      <c r="S64" s="2127">
        <v>0</v>
      </c>
      <c r="T64" s="2127">
        <v>0</v>
      </c>
      <c r="U64" s="2127">
        <v>0</v>
      </c>
      <c r="V64" s="2130">
        <v>106367.6510849381</v>
      </c>
      <c r="W64" s="2130">
        <v>1915801.1418020527</v>
      </c>
      <c r="X64" s="2128">
        <v>81.959515742192636</v>
      </c>
      <c r="Y64" s="2143">
        <v>4.5504937769041138</v>
      </c>
    </row>
    <row r="65" spans="2:25" ht="16.5" thickBot="1" x14ac:dyDescent="0.3">
      <c r="B65" s="364" t="s">
        <v>94</v>
      </c>
      <c r="C65" s="430">
        <v>18926102.678023215</v>
      </c>
      <c r="D65" s="430">
        <v>7589511.1372739617</v>
      </c>
      <c r="E65" s="430">
        <v>26515613.815297179</v>
      </c>
      <c r="F65" s="430">
        <v>25551074.722263269</v>
      </c>
      <c r="G65" s="365">
        <v>26475681.817615621</v>
      </c>
      <c r="H65" s="496">
        <v>0.59067652552061212</v>
      </c>
      <c r="I65" s="431"/>
      <c r="J65" s="406"/>
      <c r="K65" s="346"/>
      <c r="L65" s="406"/>
      <c r="M65" s="432">
        <v>2271997.394689355</v>
      </c>
      <c r="N65" s="432">
        <v>41156617.357550383</v>
      </c>
      <c r="O65" s="432">
        <v>26954.083610586509</v>
      </c>
      <c r="P65" s="433">
        <v>8.3301603788198619</v>
      </c>
      <c r="Q65" s="363">
        <v>0.45985564152665059</v>
      </c>
      <c r="R65" s="432">
        <v>0</v>
      </c>
      <c r="S65" s="432">
        <v>0</v>
      </c>
      <c r="T65" s="432">
        <v>0</v>
      </c>
      <c r="U65" s="432">
        <v>0</v>
      </c>
      <c r="V65" s="346">
        <v>233788.53191353465</v>
      </c>
      <c r="W65" s="346">
        <v>4235015.9260919346</v>
      </c>
      <c r="X65" s="349">
        <v>80.953939541495245</v>
      </c>
      <c r="Y65" s="363">
        <v>4.4689566717847482</v>
      </c>
    </row>
    <row r="66" spans="2:25" s="284" customFormat="1" ht="16.5" hidden="1" thickBot="1" x14ac:dyDescent="0.3">
      <c r="B66" s="434" t="s">
        <v>95</v>
      </c>
      <c r="C66" s="351">
        <v>0</v>
      </c>
      <c r="D66" s="351">
        <v>0</v>
      </c>
      <c r="E66" s="351">
        <v>0</v>
      </c>
      <c r="F66" s="351">
        <v>0</v>
      </c>
      <c r="G66" s="351">
        <v>0</v>
      </c>
      <c r="H66" s="497" t="e">
        <v>#DIV/0!</v>
      </c>
      <c r="I66" s="400"/>
      <c r="J66" s="400"/>
      <c r="K66" s="353"/>
      <c r="L66" s="400"/>
      <c r="M66" s="424">
        <v>0</v>
      </c>
      <c r="N66" s="424">
        <v>0</v>
      </c>
      <c r="O66" s="424">
        <v>0</v>
      </c>
      <c r="P66" s="435" t="e">
        <v>#DIV/0!</v>
      </c>
      <c r="Q66" s="436" t="e">
        <v>#DIV/0!</v>
      </c>
      <c r="R66" s="400"/>
      <c r="S66" s="400"/>
      <c r="T66" s="400"/>
      <c r="U66" s="400"/>
      <c r="V66" s="804">
        <v>0</v>
      </c>
      <c r="W66" s="804">
        <v>0</v>
      </c>
      <c r="X66" s="2004" t="s">
        <v>3</v>
      </c>
      <c r="Y66" s="2005" t="s">
        <v>3</v>
      </c>
    </row>
    <row r="67" spans="2:25" s="284" customFormat="1" ht="16.5" thickBot="1" x14ac:dyDescent="0.3">
      <c r="B67" s="437" t="s">
        <v>96</v>
      </c>
      <c r="C67" s="351">
        <v>4855288.2470162269</v>
      </c>
      <c r="D67" s="351">
        <v>8691233.6978404429</v>
      </c>
      <c r="E67" s="351">
        <v>13546521.94485667</v>
      </c>
      <c r="F67" s="351">
        <v>12651006.516406583</v>
      </c>
      <c r="G67" s="351">
        <v>12651006.516406583</v>
      </c>
      <c r="H67" s="494">
        <v>0.28001917493230566</v>
      </c>
      <c r="I67" s="402"/>
      <c r="J67" s="402"/>
      <c r="K67" s="811"/>
      <c r="L67" s="402"/>
      <c r="M67" s="340">
        <v>1245945.7888435288</v>
      </c>
      <c r="N67" s="340">
        <v>13197873.825938303</v>
      </c>
      <c r="O67" s="340">
        <v>10562.117785418362</v>
      </c>
      <c r="P67" s="438">
        <v>3.8968695833250049</v>
      </c>
      <c r="Q67" s="439">
        <v>0.36788412368922158</v>
      </c>
      <c r="R67" s="340">
        <v>0</v>
      </c>
      <c r="S67" s="340">
        <v>0</v>
      </c>
      <c r="T67" s="340"/>
      <c r="U67" s="340"/>
      <c r="V67" s="804">
        <v>128207.82167199912</v>
      </c>
      <c r="W67" s="804">
        <v>1358061.2166890514</v>
      </c>
      <c r="X67" s="335">
        <v>37.870452704810546</v>
      </c>
      <c r="Y67" s="336">
        <v>3.5751615518874789</v>
      </c>
    </row>
    <row r="68" spans="2:25" s="284" customFormat="1" ht="16.5" thickBot="1" x14ac:dyDescent="0.3">
      <c r="B68" s="440" t="s">
        <v>97</v>
      </c>
      <c r="C68" s="351">
        <v>3822401.8264439558</v>
      </c>
      <c r="D68" s="351">
        <v>7787639.3313913066</v>
      </c>
      <c r="E68" s="351">
        <v>11610041.157835262</v>
      </c>
      <c r="F68" s="351">
        <v>9733360.2549346164</v>
      </c>
      <c r="G68" s="351">
        <v>9733360.2549346164</v>
      </c>
      <c r="H68" s="495">
        <v>0.25998715208397433</v>
      </c>
      <c r="I68" s="403"/>
      <c r="J68" s="403"/>
      <c r="K68" s="812"/>
      <c r="L68" s="403"/>
      <c r="M68" s="327">
        <v>923312.2696159546</v>
      </c>
      <c r="N68" s="327">
        <v>10420146.654934574</v>
      </c>
      <c r="O68" s="327">
        <v>8567.9517242089878</v>
      </c>
      <c r="P68" s="441">
        <v>4.1398798133960222</v>
      </c>
      <c r="Q68" s="442">
        <v>0.36682802584489688</v>
      </c>
      <c r="R68" s="327">
        <v>0</v>
      </c>
      <c r="S68" s="327">
        <v>0</v>
      </c>
      <c r="T68" s="327"/>
      <c r="U68" s="327"/>
      <c r="V68" s="804">
        <v>95008.832543481738</v>
      </c>
      <c r="W68" s="804">
        <v>1072233.0907927677</v>
      </c>
      <c r="X68" s="335">
        <v>40.232068157395737</v>
      </c>
      <c r="Y68" s="336">
        <v>3.564898210348852</v>
      </c>
    </row>
    <row r="69" spans="2:25" ht="16.5" thickBot="1" x14ac:dyDescent="0.3">
      <c r="B69" s="364" t="s">
        <v>98</v>
      </c>
      <c r="C69" s="430">
        <v>8677690.0734601822</v>
      </c>
      <c r="D69" s="430">
        <v>16478873.029231749</v>
      </c>
      <c r="E69" s="430">
        <v>25156563.102691934</v>
      </c>
      <c r="F69" s="430">
        <v>22384366.771341197</v>
      </c>
      <c r="G69" s="365">
        <v>22384366.771341197</v>
      </c>
      <c r="H69" s="496">
        <v>0.27082743390629926</v>
      </c>
      <c r="I69" s="443"/>
      <c r="J69" s="406"/>
      <c r="K69" s="346"/>
      <c r="L69" s="406"/>
      <c r="M69" s="432">
        <v>2169258.0584594836</v>
      </c>
      <c r="N69" s="432">
        <v>23618020.480872877</v>
      </c>
      <c r="O69" s="432">
        <v>19130.069509627348</v>
      </c>
      <c r="P69" s="444">
        <v>4.0003032555853295</v>
      </c>
      <c r="Q69" s="445">
        <v>0.36741817886422085</v>
      </c>
      <c r="R69" s="432">
        <v>0</v>
      </c>
      <c r="S69" s="432">
        <v>0</v>
      </c>
      <c r="T69" s="432"/>
      <c r="U69" s="432"/>
      <c r="V69" s="346">
        <v>223216.65421548087</v>
      </c>
      <c r="W69" s="346">
        <v>2430294.3074818188</v>
      </c>
      <c r="X69" s="349">
        <v>38.875639024152854</v>
      </c>
      <c r="Y69" s="363">
        <v>3.5706334194773652</v>
      </c>
    </row>
    <row r="70" spans="2:25" s="284" customFormat="1" ht="15.75" hidden="1" x14ac:dyDescent="0.25">
      <c r="B70" s="427" t="s">
        <v>99</v>
      </c>
      <c r="C70" s="323">
        <v>0</v>
      </c>
      <c r="D70" s="323"/>
      <c r="E70" s="323"/>
      <c r="F70" s="323"/>
      <c r="G70" s="323"/>
      <c r="H70" s="493" t="e">
        <v>#DIV/0!</v>
      </c>
      <c r="I70" s="408"/>
      <c r="J70" s="408"/>
      <c r="K70" s="813"/>
      <c r="L70" s="408"/>
      <c r="M70" s="446"/>
      <c r="N70" s="446"/>
      <c r="O70" s="446"/>
      <c r="P70" s="446"/>
      <c r="Q70" s="448"/>
      <c r="R70" s="408"/>
      <c r="S70" s="408"/>
      <c r="T70" s="408"/>
      <c r="U70" s="408"/>
      <c r="V70" s="804">
        <v>0</v>
      </c>
      <c r="W70" s="804">
        <v>0</v>
      </c>
      <c r="X70" s="2018"/>
      <c r="Y70" s="448"/>
    </row>
    <row r="71" spans="2:25" s="284" customFormat="1" ht="15.75" x14ac:dyDescent="0.25">
      <c r="B71" s="449" t="s">
        <v>100</v>
      </c>
      <c r="C71" s="331">
        <v>2275578</v>
      </c>
      <c r="D71" s="323"/>
      <c r="E71" s="323"/>
      <c r="F71" s="323"/>
      <c r="G71" s="323"/>
      <c r="H71" s="494">
        <v>0.13123947366990932</v>
      </c>
      <c r="I71" s="402"/>
      <c r="J71" s="402"/>
      <c r="K71" s="814"/>
      <c r="L71" s="402"/>
      <c r="M71" s="446"/>
      <c r="N71" s="446"/>
      <c r="O71" s="446"/>
      <c r="P71" s="446"/>
      <c r="Q71" s="439"/>
      <c r="R71" s="408"/>
      <c r="S71" s="408"/>
      <c r="T71" s="408"/>
      <c r="U71" s="408"/>
      <c r="V71" s="804">
        <v>0</v>
      </c>
      <c r="W71" s="804">
        <v>0</v>
      </c>
      <c r="X71" s="446"/>
      <c r="Y71" s="439"/>
    </row>
    <row r="72" spans="2:25" s="284" customFormat="1" ht="16.5" thickBot="1" x14ac:dyDescent="0.3">
      <c r="B72" s="427" t="s">
        <v>101</v>
      </c>
      <c r="C72" s="323">
        <v>2162029</v>
      </c>
      <c r="D72" s="323"/>
      <c r="E72" s="323"/>
      <c r="F72" s="323"/>
      <c r="G72" s="323"/>
      <c r="H72" s="498">
        <v>0.14705407436347259</v>
      </c>
      <c r="I72" s="429"/>
      <c r="J72" s="429"/>
      <c r="K72" s="815"/>
      <c r="L72" s="429"/>
      <c r="M72" s="446"/>
      <c r="N72" s="446"/>
      <c r="O72" s="446"/>
      <c r="P72" s="446"/>
      <c r="Q72" s="453"/>
      <c r="R72" s="429"/>
      <c r="S72" s="429"/>
      <c r="T72" s="429"/>
      <c r="U72" s="429"/>
      <c r="V72" s="804">
        <v>0</v>
      </c>
      <c r="W72" s="804">
        <v>0</v>
      </c>
      <c r="X72" s="446"/>
      <c r="Y72" s="453"/>
    </row>
    <row r="73" spans="2:25" s="284" customFormat="1" ht="16.5" thickBot="1" x14ac:dyDescent="0.3">
      <c r="B73" s="364" t="s">
        <v>102</v>
      </c>
      <c r="C73" s="430">
        <v>4437607</v>
      </c>
      <c r="D73" s="430">
        <v>0</v>
      </c>
      <c r="E73" s="430">
        <v>0</v>
      </c>
      <c r="F73" s="430">
        <v>0</v>
      </c>
      <c r="G73" s="365">
        <v>0</v>
      </c>
      <c r="H73" s="496">
        <v>0.13849604057308876</v>
      </c>
      <c r="I73" s="443"/>
      <c r="J73" s="406"/>
      <c r="K73" s="816"/>
      <c r="L73" s="406"/>
      <c r="M73" s="454">
        <v>0</v>
      </c>
      <c r="N73" s="454">
        <v>0</v>
      </c>
      <c r="O73" s="454">
        <v>0</v>
      </c>
      <c r="P73" s="455"/>
      <c r="Q73" s="456"/>
      <c r="R73" s="406"/>
      <c r="S73" s="406"/>
      <c r="T73" s="406"/>
      <c r="U73" s="406"/>
      <c r="V73" s="346">
        <v>0</v>
      </c>
      <c r="W73" s="346">
        <v>0</v>
      </c>
      <c r="X73" s="455"/>
      <c r="Y73" s="456"/>
    </row>
    <row r="74" spans="2:25" s="284" customFormat="1" ht="16.5" hidden="1" thickBot="1" x14ac:dyDescent="0.3">
      <c r="B74" s="364" t="s">
        <v>103</v>
      </c>
      <c r="C74" s="457">
        <v>0</v>
      </c>
      <c r="D74" s="457">
        <v>0</v>
      </c>
      <c r="E74" s="457">
        <v>0</v>
      </c>
      <c r="F74" s="457">
        <v>0</v>
      </c>
      <c r="G74" s="457">
        <v>0</v>
      </c>
      <c r="H74" s="499">
        <v>0</v>
      </c>
      <c r="I74" s="458"/>
      <c r="J74" s="408"/>
      <c r="K74" s="813"/>
      <c r="L74" s="408"/>
      <c r="M74" s="446">
        <v>0</v>
      </c>
      <c r="N74" s="446">
        <v>0</v>
      </c>
      <c r="O74" s="446">
        <v>0</v>
      </c>
      <c r="P74" s="447" t="e">
        <v>#DIV/0!</v>
      </c>
      <c r="Q74" s="448" t="e">
        <v>#DIV/0!</v>
      </c>
      <c r="R74" s="408"/>
      <c r="S74" s="408"/>
      <c r="T74" s="408"/>
      <c r="U74" s="408"/>
      <c r="V74" s="804">
        <v>0</v>
      </c>
      <c r="W74" s="804">
        <v>0</v>
      </c>
      <c r="X74" s="2030"/>
      <c r="Y74" s="2031"/>
    </row>
    <row r="75" spans="2:25" s="284" customFormat="1" ht="16.5" thickBot="1" x14ac:dyDescent="0.3">
      <c r="B75" s="364" t="s">
        <v>104</v>
      </c>
      <c r="C75" s="457">
        <v>17339127.751483403</v>
      </c>
      <c r="D75" s="457">
        <v>12455250.334768638</v>
      </c>
      <c r="E75" s="457">
        <v>27518800.086252045</v>
      </c>
      <c r="F75" s="457">
        <v>26165243.701587602</v>
      </c>
      <c r="G75" s="457">
        <v>26689445.097038694</v>
      </c>
      <c r="H75" s="499">
        <v>0.54114763668152999</v>
      </c>
      <c r="I75" s="459"/>
      <c r="J75" s="402"/>
      <c r="K75" s="814"/>
      <c r="L75" s="402"/>
      <c r="M75" s="450">
        <v>2484243.9504431067</v>
      </c>
      <c r="N75" s="450">
        <v>35736404.285509557</v>
      </c>
      <c r="O75" s="450">
        <v>25023.597607921416</v>
      </c>
      <c r="P75" s="438">
        <v>6.9796397203224254</v>
      </c>
      <c r="Q75" s="439">
        <v>0.48519508602364048</v>
      </c>
      <c r="R75" s="450">
        <v>0</v>
      </c>
      <c r="S75" s="450">
        <v>0</v>
      </c>
      <c r="T75" s="450">
        <v>0</v>
      </c>
      <c r="U75" s="450">
        <v>0</v>
      </c>
      <c r="V75" s="804">
        <v>255628.70250059568</v>
      </c>
      <c r="W75" s="804">
        <v>3677276.0009789336</v>
      </c>
      <c r="X75" s="335">
        <v>67.82934616445506</v>
      </c>
      <c r="Y75" s="336">
        <v>4.7152097767117631</v>
      </c>
    </row>
    <row r="76" spans="2:25" s="284" customFormat="1" ht="16.5" thickBot="1" x14ac:dyDescent="0.3">
      <c r="B76" s="364" t="s">
        <v>105</v>
      </c>
      <c r="C76" s="457">
        <v>14702271.999999993</v>
      </c>
      <c r="D76" s="457">
        <v>11613133.831737073</v>
      </c>
      <c r="E76" s="457">
        <v>24153376.831737064</v>
      </c>
      <c r="F76" s="457">
        <v>21770197.792016864</v>
      </c>
      <c r="G76" s="457">
        <v>22170603.491918132</v>
      </c>
      <c r="H76" s="499">
        <v>0.45885236331846996</v>
      </c>
      <c r="I76" s="460"/>
      <c r="J76" s="403"/>
      <c r="K76" s="817"/>
      <c r="L76" s="403"/>
      <c r="M76" s="461">
        <v>1957011.5027057321</v>
      </c>
      <c r="N76" s="461">
        <v>29038233.552913707</v>
      </c>
      <c r="O76" s="461">
        <v>21060.555512292442</v>
      </c>
      <c r="P76" s="441">
        <v>7.5126139931588911</v>
      </c>
      <c r="Q76" s="442">
        <v>0.50630738172173562</v>
      </c>
      <c r="R76" s="461">
        <v>0</v>
      </c>
      <c r="S76" s="461">
        <v>0</v>
      </c>
      <c r="T76" s="461">
        <v>0</v>
      </c>
      <c r="U76" s="461">
        <v>0</v>
      </c>
      <c r="V76" s="804">
        <v>201376.48362841984</v>
      </c>
      <c r="W76" s="804">
        <v>2988034.2325948202</v>
      </c>
      <c r="X76" s="335">
        <v>73.008882343623824</v>
      </c>
      <c r="Y76" s="336">
        <v>4.9203827183842144</v>
      </c>
    </row>
    <row r="77" spans="2:25" ht="16.5" thickBot="1" x14ac:dyDescent="0.3">
      <c r="B77" s="364" t="s">
        <v>106</v>
      </c>
      <c r="C77" s="411">
        <v>32041399.751483396</v>
      </c>
      <c r="D77" s="411">
        <v>24068384.166505709</v>
      </c>
      <c r="E77" s="411">
        <v>51672176.917989105</v>
      </c>
      <c r="F77" s="411">
        <v>47935441.493604466</v>
      </c>
      <c r="G77" s="411">
        <v>48860048.588956825</v>
      </c>
      <c r="H77" s="500">
        <v>1</v>
      </c>
      <c r="I77" s="317">
        <v>1.4960470474260488</v>
      </c>
      <c r="J77" s="317">
        <v>0.94557751392019895</v>
      </c>
      <c r="K77" s="818"/>
      <c r="L77" s="462"/>
      <c r="M77" s="395">
        <v>4441255.4531488391</v>
      </c>
      <c r="N77" s="395">
        <v>64774637.838423267</v>
      </c>
      <c r="O77" s="395">
        <v>46084.153120213858</v>
      </c>
      <c r="P77" s="367">
        <v>7.2144915079735217</v>
      </c>
      <c r="Q77" s="367">
        <v>0.49465965107221266</v>
      </c>
      <c r="R77" s="395">
        <v>0</v>
      </c>
      <c r="S77" s="395">
        <v>0</v>
      </c>
      <c r="T77" s="395">
        <v>0</v>
      </c>
      <c r="U77" s="395">
        <v>0</v>
      </c>
      <c r="V77" s="346">
        <v>457005.18612901558</v>
      </c>
      <c r="W77" s="346">
        <v>6665310.2335737543</v>
      </c>
      <c r="X77" s="349">
        <v>70.111676462327708</v>
      </c>
      <c r="Y77" s="363">
        <v>4.8071880570671786</v>
      </c>
    </row>
    <row r="78" spans="2:25" x14ac:dyDescent="0.2">
      <c r="C78" s="788"/>
    </row>
    <row r="80" spans="2:25" x14ac:dyDescent="0.2">
      <c r="C80" s="751"/>
      <c r="L80" s="704"/>
      <c r="M80" s="704"/>
      <c r="R80" s="704"/>
      <c r="S80" s="704"/>
      <c r="T80" s="704"/>
      <c r="U80" s="704"/>
      <c r="V80" s="704"/>
      <c r="W80" s="704"/>
    </row>
    <row r="81" spans="3:25" x14ac:dyDescent="0.2">
      <c r="L81" s="704"/>
      <c r="M81" s="1038"/>
      <c r="R81" s="704"/>
      <c r="S81" s="704"/>
      <c r="T81" s="704"/>
      <c r="U81" s="704"/>
      <c r="V81" s="704"/>
      <c r="W81" s="704"/>
    </row>
    <row r="82" spans="3:25" ht="13.5" customHeight="1" x14ac:dyDescent="0.2">
      <c r="L82" s="704"/>
      <c r="M82" s="1038"/>
      <c r="R82" s="704"/>
      <c r="S82" s="704"/>
      <c r="T82" s="704"/>
      <c r="U82" s="704"/>
      <c r="V82" s="704"/>
      <c r="W82" s="704"/>
    </row>
    <row r="84" spans="3:25"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row>
    <row r="85" spans="3:25" x14ac:dyDescent="0.2">
      <c r="R85" s="704"/>
      <c r="S85" s="704"/>
      <c r="T85" s="704"/>
      <c r="U85" s="704"/>
      <c r="V85" s="704"/>
      <c r="W85" s="704"/>
    </row>
    <row r="86" spans="3:25" x14ac:dyDescent="0.2">
      <c r="C86" s="788"/>
      <c r="D86" s="788"/>
      <c r="E86" s="788"/>
      <c r="F86" s="788"/>
      <c r="G86" s="788"/>
      <c r="H86" s="788"/>
      <c r="I86" s="788"/>
      <c r="J86" s="788"/>
      <c r="K86" s="788"/>
      <c r="L86" s="788"/>
      <c r="M86" s="788"/>
      <c r="N86" s="788"/>
      <c r="O86" s="788"/>
      <c r="P86" s="788"/>
      <c r="Q86" s="788"/>
      <c r="R86" s="704"/>
      <c r="S86" s="704"/>
      <c r="T86" s="704"/>
      <c r="U86" s="704"/>
      <c r="V86" s="704"/>
      <c r="W86" s="704"/>
    </row>
    <row r="88" spans="3:25" x14ac:dyDescent="0.2">
      <c r="R88" s="704"/>
      <c r="S88" s="704"/>
      <c r="T88" s="704"/>
      <c r="U88" s="704"/>
      <c r="V88" s="704"/>
      <c r="W88" s="704"/>
    </row>
    <row r="89" spans="3:25" x14ac:dyDescent="0.2">
      <c r="R89" s="704"/>
      <c r="S89" s="704"/>
      <c r="T89" s="704"/>
      <c r="U89" s="704"/>
      <c r="V89" s="704"/>
      <c r="W89" s="704"/>
    </row>
    <row r="90" spans="3:25" x14ac:dyDescent="0.2">
      <c r="C90" s="2205"/>
      <c r="R90" s="704"/>
      <c r="S90" s="704"/>
      <c r="T90" s="704"/>
      <c r="U90" s="704"/>
      <c r="V90" s="704"/>
      <c r="W90" s="704"/>
    </row>
  </sheetData>
  <printOptions horizontalCentered="1"/>
  <pageMargins left="0.25" right="0.21" top="0.19" bottom="0.42" header="0.19" footer="0.17"/>
  <pageSetup scale="54" fitToWidth="0" orientation="landscape" r:id="rId1"/>
  <headerFooter alignWithMargins="0">
    <oddFooter>&amp;C&amp;"Arial"&amp;11&amp;K000000Page &amp;P of &amp;N_x000D_&amp;1#&amp;"Calibri"&amp;12&amp;K008000Internal Use</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dimension ref="B1:AD90"/>
  <sheetViews>
    <sheetView zoomScale="75" zoomScaleNormal="75" workbookViewId="0">
      <pane xSplit="2" ySplit="5" topLeftCell="C7" activePane="bottomRight" state="frozen"/>
      <selection activeCell="S52" sqref="S52"/>
      <selection pane="topRight" activeCell="S52" sqref="S52"/>
      <selection pane="bottomLeft" activeCell="S52" sqref="S52"/>
      <selection pane="bottomRight" activeCell="C7" sqref="C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6.140625"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6.42578125" style="321" customWidth="1"/>
    <col min="13" max="13" width="13.7109375" style="321" customWidth="1"/>
    <col min="14" max="14" width="16.85546875" style="321" bestFit="1" customWidth="1"/>
    <col min="15" max="15" width="11.28515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row>
    <row r="2" spans="2:29" s="284" customFormat="1" ht="18" customHeight="1" x14ac:dyDescent="0.2">
      <c r="B2" s="2154" t="s">
        <v>619</v>
      </c>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row>
    <row r="3" spans="2:29" s="284" customFormat="1" ht="13.5" thickBot="1" x14ac:dyDescent="0.25">
      <c r="C3" s="243"/>
      <c r="K3" s="802"/>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2399"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x14ac:dyDescent="0.2">
      <c r="B6" s="359" t="s">
        <v>232</v>
      </c>
      <c r="C6" s="2132"/>
      <c r="D6" s="2133"/>
      <c r="E6" s="2133"/>
      <c r="F6" s="2133"/>
      <c r="G6" s="2133"/>
      <c r="H6" s="337"/>
      <c r="I6" s="338"/>
      <c r="J6" s="338"/>
      <c r="K6" s="2119"/>
      <c r="L6" s="2134"/>
      <c r="M6" s="2119"/>
      <c r="N6" s="2119"/>
      <c r="O6" s="2119"/>
      <c r="P6" s="341"/>
      <c r="Q6" s="336"/>
      <c r="R6" s="329"/>
      <c r="S6" s="2119"/>
      <c r="T6" s="2119"/>
      <c r="U6" s="2119"/>
      <c r="V6" s="2119"/>
      <c r="W6" s="2119">
        <v>0</v>
      </c>
      <c r="X6" s="2119">
        <v>0</v>
      </c>
      <c r="Y6" s="341" t="s">
        <v>3</v>
      </c>
      <c r="Z6" s="336" t="s">
        <v>3</v>
      </c>
    </row>
    <row r="7" spans="2:29" s="2060" customFormat="1" ht="18" customHeight="1" x14ac:dyDescent="0.2">
      <c r="B7" s="2290" t="s">
        <v>233</v>
      </c>
      <c r="C7" s="2354">
        <v>4053416</v>
      </c>
      <c r="D7" s="2291">
        <v>0</v>
      </c>
      <c r="E7" s="2291">
        <v>4053416</v>
      </c>
      <c r="F7" s="2291">
        <v>4462161.403528587</v>
      </c>
      <c r="G7" s="2291">
        <v>4747250.2682418274</v>
      </c>
      <c r="H7" s="2355">
        <v>0.23377277439190797</v>
      </c>
      <c r="I7" s="2356">
        <v>1.1008397370337974</v>
      </c>
      <c r="J7" s="2356">
        <v>1.1711727264711609</v>
      </c>
      <c r="K7" s="2357">
        <v>3977.8127006631016</v>
      </c>
      <c r="L7" s="2358" t="s">
        <v>241</v>
      </c>
      <c r="M7" s="2357">
        <v>348229.91909666697</v>
      </c>
      <c r="N7" s="2357">
        <v>7493458.6003759038</v>
      </c>
      <c r="O7" s="2357">
        <v>4320.9062642762601</v>
      </c>
      <c r="P7" s="2359">
        <v>11.640056691610093</v>
      </c>
      <c r="Q7" s="2360">
        <v>0.5409272561800319</v>
      </c>
      <c r="R7" s="2360">
        <v>938.09394420615513</v>
      </c>
      <c r="S7" s="2357"/>
      <c r="T7" s="2357"/>
      <c r="U7" s="2357"/>
      <c r="V7" s="2357"/>
      <c r="W7" s="2357">
        <v>35832.858675047028</v>
      </c>
      <c r="X7" s="2357">
        <v>771076.88997868053</v>
      </c>
      <c r="Y7" s="2359">
        <v>113.1200844665704</v>
      </c>
      <c r="Z7" s="2361">
        <v>5.2568246470362672</v>
      </c>
    </row>
    <row r="8" spans="2:29" s="2060" customFormat="1" ht="19.5" customHeight="1" x14ac:dyDescent="0.2">
      <c r="B8" s="2202" t="s">
        <v>234</v>
      </c>
      <c r="C8" s="2200">
        <v>3649330.7499139821</v>
      </c>
      <c r="D8" s="2052">
        <v>0</v>
      </c>
      <c r="E8" s="2052">
        <v>3649330.7499139821</v>
      </c>
      <c r="F8" s="2052">
        <v>4119562.2533197636</v>
      </c>
      <c r="G8" s="2052">
        <v>4348382.2066543289</v>
      </c>
      <c r="H8" s="2053">
        <v>0.24821542887480133</v>
      </c>
      <c r="I8" s="2054">
        <v>1.1288541750886421</v>
      </c>
      <c r="J8" s="2054">
        <v>1.1915560700429315</v>
      </c>
      <c r="K8" s="2055">
        <v>2984.9541511133225</v>
      </c>
      <c r="L8" s="2328" t="s">
        <v>241</v>
      </c>
      <c r="M8" s="2055">
        <v>316809.46561741264</v>
      </c>
      <c r="N8" s="2055">
        <v>6946593.40140766</v>
      </c>
      <c r="O8" s="2055">
        <v>3937.4072485760748</v>
      </c>
      <c r="P8" s="2057">
        <v>11.519007939999524</v>
      </c>
      <c r="Q8" s="2329">
        <v>0.52534106129984237</v>
      </c>
      <c r="R8" s="2329">
        <v>926.83599118016741</v>
      </c>
      <c r="S8" s="2055"/>
      <c r="T8" s="2055"/>
      <c r="U8" s="2055"/>
      <c r="V8" s="2055"/>
      <c r="W8" s="2055">
        <v>32599.694012031759</v>
      </c>
      <c r="X8" s="2055">
        <v>714804.46100484824</v>
      </c>
      <c r="Y8" s="2057">
        <v>111.94371175898468</v>
      </c>
      <c r="Z8" s="2362">
        <v>5.1053553090363692</v>
      </c>
    </row>
    <row r="9" spans="2:29" ht="17.25" customHeight="1" x14ac:dyDescent="0.25">
      <c r="B9" s="2363" t="s">
        <v>235</v>
      </c>
      <c r="C9" s="2330">
        <v>7702746.7499139821</v>
      </c>
      <c r="D9" s="2330">
        <v>0</v>
      </c>
      <c r="E9" s="2330">
        <v>7702746.7499139821</v>
      </c>
      <c r="F9" s="2330">
        <v>8581723.6568483505</v>
      </c>
      <c r="G9" s="2330">
        <v>9095632.4748961553</v>
      </c>
      <c r="H9" s="2331">
        <v>0.24039982053397568</v>
      </c>
      <c r="I9" s="2332">
        <v>1.114112138886584</v>
      </c>
      <c r="J9" s="2332">
        <v>1.1808297442724218</v>
      </c>
      <c r="K9" s="2333">
        <v>6962.7668517764241</v>
      </c>
      <c r="L9" s="2334" t="s">
        <v>241</v>
      </c>
      <c r="M9" s="2335">
        <v>665039.38471407956</v>
      </c>
      <c r="N9" s="2335">
        <v>14440052.001783565</v>
      </c>
      <c r="O9" s="2335">
        <v>8258.3135128523354</v>
      </c>
      <c r="P9" s="2336">
        <v>11.582391850710653</v>
      </c>
      <c r="Q9" s="2336">
        <v>0.53342929436560038</v>
      </c>
      <c r="R9" s="2336">
        <v>932.72636573148623</v>
      </c>
      <c r="S9" s="2335">
        <v>0</v>
      </c>
      <c r="T9" s="2335">
        <v>0</v>
      </c>
      <c r="U9" s="2335"/>
      <c r="V9" s="2335"/>
      <c r="W9" s="2333">
        <v>68432.552687078787</v>
      </c>
      <c r="X9" s="2333">
        <v>1485881.3509835289</v>
      </c>
      <c r="Y9" s="2336">
        <v>112.55968756764483</v>
      </c>
      <c r="Z9" s="2364">
        <v>5.1839581571001005</v>
      </c>
      <c r="AB9" s="704"/>
    </row>
    <row r="10" spans="2:29" s="284" customFormat="1" ht="15" hidden="1" x14ac:dyDescent="0.2">
      <c r="B10" s="330" t="s">
        <v>139</v>
      </c>
      <c r="C10" s="331"/>
      <c r="D10" s="331"/>
      <c r="E10" s="331"/>
      <c r="F10" s="331"/>
      <c r="G10" s="331"/>
      <c r="H10" s="332"/>
      <c r="I10" s="333"/>
      <c r="J10" s="333"/>
      <c r="K10" s="804"/>
      <c r="L10" s="2337"/>
      <c r="M10" s="804"/>
      <c r="N10" s="804"/>
      <c r="O10" s="804"/>
      <c r="P10" s="335"/>
      <c r="Q10" s="2338"/>
      <c r="R10" s="2338" t="e">
        <v>#DIV/0!</v>
      </c>
      <c r="S10" s="804"/>
      <c r="T10" s="804"/>
      <c r="U10" s="804"/>
      <c r="V10" s="804"/>
      <c r="W10" s="804">
        <v>0</v>
      </c>
      <c r="X10" s="804">
        <v>0</v>
      </c>
      <c r="Y10" s="335" t="s">
        <v>3</v>
      </c>
      <c r="Z10" s="358" t="s">
        <v>3</v>
      </c>
      <c r="AA10" s="393"/>
      <c r="AB10" s="797"/>
    </row>
    <row r="11" spans="2:29" s="2060" customFormat="1" ht="15" x14ac:dyDescent="0.2">
      <c r="B11" s="2202" t="s">
        <v>140</v>
      </c>
      <c r="C11" s="2052">
        <v>3720221</v>
      </c>
      <c r="D11" s="2052">
        <v>1545794.1242844565</v>
      </c>
      <c r="E11" s="2052">
        <v>5266015.1242844565</v>
      </c>
      <c r="F11" s="2052">
        <v>4823028.7074031588</v>
      </c>
      <c r="G11" s="2052">
        <v>4825080.4154424109</v>
      </c>
      <c r="H11" s="2053">
        <v>0.21455640983334506</v>
      </c>
      <c r="I11" s="2054">
        <v>1.2964360739330161</v>
      </c>
      <c r="J11" s="2054">
        <v>0.91626786128876536</v>
      </c>
      <c r="K11" s="2055">
        <v>5002.6183874999997</v>
      </c>
      <c r="L11" s="2328" t="s">
        <v>241</v>
      </c>
      <c r="M11" s="2055">
        <v>445453.24004708062</v>
      </c>
      <c r="N11" s="2055">
        <v>7914847.0218992531</v>
      </c>
      <c r="O11" s="2055">
        <v>7708.6677670601957</v>
      </c>
      <c r="P11" s="2057">
        <v>8.3515410048578929</v>
      </c>
      <c r="Q11" s="2329">
        <v>0.47003068912218759</v>
      </c>
      <c r="R11" s="2329">
        <v>482.60232668176803</v>
      </c>
      <c r="S11" s="2055">
        <v>0</v>
      </c>
      <c r="T11" s="2055">
        <v>0</v>
      </c>
      <c r="U11" s="2055">
        <v>0</v>
      </c>
      <c r="V11" s="2055">
        <v>0</v>
      </c>
      <c r="W11" s="2055">
        <v>45837.138400844597</v>
      </c>
      <c r="X11" s="2055">
        <v>814437.75855343312</v>
      </c>
      <c r="Y11" s="2057">
        <v>81.161720163827923</v>
      </c>
      <c r="Z11" s="2362">
        <v>4.5678395444333102</v>
      </c>
      <c r="AA11" s="2072"/>
      <c r="AB11" s="2203"/>
      <c r="AC11" s="2072"/>
    </row>
    <row r="12" spans="2:29" s="2060" customFormat="1" ht="15" x14ac:dyDescent="0.2">
      <c r="B12" s="2202" t="s">
        <v>141</v>
      </c>
      <c r="C12" s="2052">
        <v>2199538.48104895</v>
      </c>
      <c r="D12" s="2052">
        <v>902362.95918980846</v>
      </c>
      <c r="E12" s="2052">
        <v>3101901.4402387585</v>
      </c>
      <c r="F12" s="2052">
        <v>2786972.2080882723</v>
      </c>
      <c r="G12" s="2052">
        <v>2788450.2522147517</v>
      </c>
      <c r="H12" s="2053">
        <v>0.14960534542205114</v>
      </c>
      <c r="I12" s="2054">
        <v>1.2670713570599492</v>
      </c>
      <c r="J12" s="2054">
        <v>0.8989486951590957</v>
      </c>
      <c r="K12" s="2055">
        <v>3282.5868870967747</v>
      </c>
      <c r="L12" s="2328" t="s">
        <v>241</v>
      </c>
      <c r="M12" s="2055">
        <v>258665.00360203479</v>
      </c>
      <c r="N12" s="2055">
        <v>4490731.9155869149</v>
      </c>
      <c r="O12" s="2055">
        <v>4865.649317242176</v>
      </c>
      <c r="P12" s="2057">
        <v>8.5034250881229276</v>
      </c>
      <c r="Q12" s="2329">
        <v>0.48979509852604547</v>
      </c>
      <c r="R12" s="2329">
        <v>452.05446131404238</v>
      </c>
      <c r="S12" s="2055">
        <v>0</v>
      </c>
      <c r="T12" s="2055">
        <v>0</v>
      </c>
      <c r="U12" s="2055"/>
      <c r="V12" s="2055"/>
      <c r="W12" s="2055">
        <v>26616.62887064938</v>
      </c>
      <c r="X12" s="2055">
        <v>462096.31411389355</v>
      </c>
      <c r="Y12" s="2057">
        <v>82.637755958434667</v>
      </c>
      <c r="Z12" s="2362">
        <v>4.7599134939363017</v>
      </c>
      <c r="AA12" s="2072"/>
      <c r="AB12" s="2203"/>
      <c r="AC12" s="2072"/>
    </row>
    <row r="13" spans="2:29" ht="17.25" customHeight="1" x14ac:dyDescent="0.25">
      <c r="B13" s="2363" t="s">
        <v>146</v>
      </c>
      <c r="C13" s="2330">
        <v>5919759.48104895</v>
      </c>
      <c r="D13" s="2330">
        <v>2448157.0834742649</v>
      </c>
      <c r="E13" s="2330">
        <v>8367916.5645232145</v>
      </c>
      <c r="F13" s="2330">
        <v>7610000.915491431</v>
      </c>
      <c r="G13" s="2330">
        <v>7613530.667657163</v>
      </c>
      <c r="H13" s="2331">
        <v>0.18475346042817267</v>
      </c>
      <c r="I13" s="2332">
        <v>1.2855253561996034</v>
      </c>
      <c r="J13" s="2332">
        <v>0.90984782280641263</v>
      </c>
      <c r="K13" s="2333">
        <v>8285.205274596774</v>
      </c>
      <c r="L13" s="2334" t="s">
        <v>241</v>
      </c>
      <c r="M13" s="2335">
        <v>704118.24364911544</v>
      </c>
      <c r="N13" s="2335">
        <v>12405578.937486168</v>
      </c>
      <c r="O13" s="2335">
        <v>12574.317084302373</v>
      </c>
      <c r="P13" s="2336">
        <v>8.4073371687823428</v>
      </c>
      <c r="Q13" s="2339">
        <v>0.47718526566794095</v>
      </c>
      <c r="R13" s="2339">
        <v>470.78178809719276</v>
      </c>
      <c r="S13" s="2335">
        <v>0</v>
      </c>
      <c r="T13" s="2335">
        <v>0</v>
      </c>
      <c r="U13" s="2335">
        <v>0</v>
      </c>
      <c r="V13" s="2335">
        <v>0</v>
      </c>
      <c r="W13" s="2333">
        <v>72453.767271493969</v>
      </c>
      <c r="X13" s="2333">
        <v>1276534.0726673265</v>
      </c>
      <c r="Y13" s="2336">
        <v>81.70395693666029</v>
      </c>
      <c r="Z13" s="2365">
        <v>4.6373689569284844</v>
      </c>
    </row>
    <row r="14" spans="2:29" s="284" customFormat="1" ht="15.75" hidden="1" customHeight="1" x14ac:dyDescent="0.2">
      <c r="B14" s="330" t="s">
        <v>169</v>
      </c>
      <c r="C14" s="331"/>
      <c r="D14" s="331"/>
      <c r="E14" s="331"/>
      <c r="F14" s="331"/>
      <c r="G14" s="331"/>
      <c r="H14" s="332"/>
      <c r="I14" s="333"/>
      <c r="J14" s="333"/>
      <c r="K14" s="804"/>
      <c r="L14" s="2337"/>
      <c r="M14" s="804"/>
      <c r="N14" s="804"/>
      <c r="O14" s="804"/>
      <c r="P14" s="335"/>
      <c r="Q14" s="2338"/>
      <c r="R14" s="2338" t="e">
        <v>#DIV/0!</v>
      </c>
      <c r="S14" s="804"/>
      <c r="T14" s="804"/>
      <c r="U14" s="804"/>
      <c r="V14" s="804"/>
      <c r="W14" s="804">
        <v>0</v>
      </c>
      <c r="X14" s="804">
        <v>0</v>
      </c>
      <c r="Y14" s="335" t="s">
        <v>3</v>
      </c>
      <c r="Z14" s="358" t="s">
        <v>3</v>
      </c>
    </row>
    <row r="15" spans="2:29" s="284" customFormat="1" ht="30" x14ac:dyDescent="0.2">
      <c r="B15" s="2073" t="s">
        <v>597</v>
      </c>
      <c r="C15" s="2052">
        <v>1706154.5288167919</v>
      </c>
      <c r="D15" s="2052">
        <v>1911747.4882941267</v>
      </c>
      <c r="E15" s="2052">
        <v>3617902.0171109186</v>
      </c>
      <c r="F15" s="2052">
        <v>2821989.1310324981</v>
      </c>
      <c r="G15" s="2052">
        <v>2821989.1310324981</v>
      </c>
      <c r="H15" s="2053">
        <v>9.8399097882580999E-2</v>
      </c>
      <c r="I15" s="2054">
        <v>1.6540055917382412</v>
      </c>
      <c r="J15" s="2054">
        <v>0.78000706422834576</v>
      </c>
      <c r="K15" s="2055">
        <v>2632.8045688038487</v>
      </c>
      <c r="L15" s="2328" t="s">
        <v>572</v>
      </c>
      <c r="M15" s="2055">
        <v>232788.0680337818</v>
      </c>
      <c r="N15" s="2055">
        <v>4608059.6928202882</v>
      </c>
      <c r="O15" s="2055">
        <v>1664.7294203485665</v>
      </c>
      <c r="P15" s="2057">
        <v>7.3292181305839001</v>
      </c>
      <c r="Q15" s="2329">
        <v>0.37025443300465749</v>
      </c>
      <c r="R15" s="2329">
        <v>1024.8839889304963</v>
      </c>
      <c r="S15" s="804"/>
      <c r="T15" s="804"/>
      <c r="U15" s="804"/>
      <c r="V15" s="804"/>
      <c r="W15" s="2055">
        <v>23953.892200676146</v>
      </c>
      <c r="X15" s="2055">
        <v>474169.34239120764</v>
      </c>
      <c r="Y15" s="2057">
        <v>71.226609626665692</v>
      </c>
      <c r="Z15" s="2362">
        <v>3.5981966278392372</v>
      </c>
    </row>
    <row r="16" spans="2:29" s="284" customFormat="1" ht="30" x14ac:dyDescent="0.2">
      <c r="B16" s="2073" t="s">
        <v>598</v>
      </c>
      <c r="C16" s="2052">
        <v>1988153.94259311</v>
      </c>
      <c r="D16" s="2052">
        <v>2635136.0223545535</v>
      </c>
      <c r="E16" s="2052">
        <v>4623289.9649476632</v>
      </c>
      <c r="F16" s="2052">
        <v>4200858.1194943739</v>
      </c>
      <c r="G16" s="2052">
        <v>4200858.119494373</v>
      </c>
      <c r="H16" s="2053">
        <v>0.13522766702949793</v>
      </c>
      <c r="I16" s="2054">
        <v>2.112944088230551</v>
      </c>
      <c r="J16" s="2054">
        <v>0.90862960172170981</v>
      </c>
      <c r="K16" s="2055">
        <v>3395.3404310538922</v>
      </c>
      <c r="L16" s="2328" t="s">
        <v>572</v>
      </c>
      <c r="M16" s="2055">
        <v>275407.30053337669</v>
      </c>
      <c r="N16" s="2055">
        <v>5454100.3510432234</v>
      </c>
      <c r="O16" s="2055">
        <v>3147.7869104438105</v>
      </c>
      <c r="P16" s="2057">
        <v>7.2189587521561185</v>
      </c>
      <c r="Q16" s="2329">
        <v>0.364524635527256</v>
      </c>
      <c r="R16" s="2329">
        <v>631.60372641386891</v>
      </c>
      <c r="S16" s="804"/>
      <c r="T16" s="804"/>
      <c r="U16" s="804"/>
      <c r="V16" s="804"/>
      <c r="W16" s="2055">
        <v>28339.411224884461</v>
      </c>
      <c r="X16" s="2055">
        <v>561226.92612234771</v>
      </c>
      <c r="Y16" s="2057">
        <v>70.155089914053633</v>
      </c>
      <c r="Z16" s="2362">
        <v>3.5425134647935472</v>
      </c>
    </row>
    <row r="17" spans="2:27" s="284" customFormat="1" ht="15.75" customHeight="1" x14ac:dyDescent="0.25">
      <c r="B17" s="2366" t="s">
        <v>599</v>
      </c>
      <c r="C17" s="2330">
        <v>3694308.471409902</v>
      </c>
      <c r="D17" s="2330">
        <v>4546883.5106486799</v>
      </c>
      <c r="E17" s="2330">
        <v>8241191.9820585819</v>
      </c>
      <c r="F17" s="2330">
        <v>7022847.2505268715</v>
      </c>
      <c r="G17" s="2330">
        <v>7022847.2505268715</v>
      </c>
      <c r="H17" s="2331">
        <v>0.11529797387328151</v>
      </c>
      <c r="I17" s="2332">
        <v>1.9009910257566176</v>
      </c>
      <c r="J17" s="2332">
        <v>0.85216401532883868</v>
      </c>
      <c r="K17" s="2333">
        <v>6028.1449998577409</v>
      </c>
      <c r="L17" s="2334" t="s">
        <v>572</v>
      </c>
      <c r="M17" s="2335">
        <v>508195.36856715847</v>
      </c>
      <c r="N17" s="2335">
        <v>10062160.043863513</v>
      </c>
      <c r="O17" s="2335">
        <v>4812.5163307923767</v>
      </c>
      <c r="P17" s="2336">
        <v>7.2694650520446364</v>
      </c>
      <c r="Q17" s="2339">
        <v>0.36714864952509924</v>
      </c>
      <c r="R17" s="2339">
        <v>767.64590860134024</v>
      </c>
      <c r="S17" s="2335">
        <v>0</v>
      </c>
      <c r="T17" s="2335">
        <v>0</v>
      </c>
      <c r="U17" s="2335">
        <v>0</v>
      </c>
      <c r="V17" s="2335">
        <v>0</v>
      </c>
      <c r="W17" s="2333">
        <v>52293.303425560611</v>
      </c>
      <c r="X17" s="2333">
        <v>1035396.2685135554</v>
      </c>
      <c r="Y17" s="2336">
        <v>70.645918873125709</v>
      </c>
      <c r="Z17" s="2365">
        <v>3.5680140867356585</v>
      </c>
    </row>
    <row r="18" spans="2:27" s="284" customFormat="1" ht="15" x14ac:dyDescent="0.2">
      <c r="B18" s="2073" t="s">
        <v>609</v>
      </c>
      <c r="C18" s="2052">
        <v>241493</v>
      </c>
      <c r="D18" s="2340">
        <v>-241493</v>
      </c>
      <c r="E18" s="2340">
        <v>0</v>
      </c>
      <c r="F18" s="2340">
        <v>102574.98682134466</v>
      </c>
      <c r="G18" s="2340">
        <v>348057.07126143179</v>
      </c>
      <c r="H18" s="1115">
        <v>1.3927632546529897E-2</v>
      </c>
      <c r="I18" s="1922">
        <v>0.42475345795258934</v>
      </c>
      <c r="J18" s="1922"/>
      <c r="K18" s="1923">
        <v>36250</v>
      </c>
      <c r="L18" s="2342" t="s">
        <v>242</v>
      </c>
      <c r="M18" s="2342">
        <v>123250</v>
      </c>
      <c r="N18" s="2342">
        <v>456025</v>
      </c>
      <c r="O18" s="2342">
        <v>0</v>
      </c>
      <c r="P18" s="2341">
        <v>1.9593752535496958</v>
      </c>
      <c r="Q18" s="2400">
        <v>0.52956087933775564</v>
      </c>
      <c r="R18" s="2400"/>
      <c r="S18" s="2342">
        <v>0</v>
      </c>
      <c r="T18" s="2342">
        <v>0</v>
      </c>
      <c r="U18" s="2342">
        <v>0</v>
      </c>
      <c r="V18" s="2342">
        <v>0</v>
      </c>
      <c r="W18" s="1923">
        <v>12682.424999999999</v>
      </c>
      <c r="X18" s="1923">
        <v>46924.972500000003</v>
      </c>
      <c r="Y18" s="1925">
        <v>19.041547653544178</v>
      </c>
      <c r="Z18" s="1989">
        <v>0</v>
      </c>
    </row>
    <row r="19" spans="2:27" s="2060" customFormat="1" ht="15" x14ac:dyDescent="0.2">
      <c r="B19" s="693" t="s">
        <v>530</v>
      </c>
      <c r="C19" s="2343">
        <v>241494</v>
      </c>
      <c r="D19" s="2340">
        <v>-241494</v>
      </c>
      <c r="E19" s="2340">
        <v>0</v>
      </c>
      <c r="F19" s="2340">
        <v>75143.531090497141</v>
      </c>
      <c r="G19" s="2340">
        <v>245251.2335307165</v>
      </c>
      <c r="H19" s="1115">
        <v>1.642562455653113E-2</v>
      </c>
      <c r="I19" s="1922">
        <v>0.3111610685586273</v>
      </c>
      <c r="J19" s="1922"/>
      <c r="K19" s="1923">
        <v>36250</v>
      </c>
      <c r="L19" s="2342" t="s">
        <v>242</v>
      </c>
      <c r="M19" s="2342">
        <v>123250</v>
      </c>
      <c r="N19" s="2342">
        <v>246500</v>
      </c>
      <c r="O19" s="2342">
        <v>0</v>
      </c>
      <c r="P19" s="2341">
        <v>1.9593833671399594</v>
      </c>
      <c r="Q19" s="2400">
        <v>0.97969168356997971</v>
      </c>
      <c r="R19" s="2400"/>
      <c r="S19" s="2342">
        <v>0</v>
      </c>
      <c r="T19" s="2342">
        <v>0</v>
      </c>
      <c r="U19" s="2342">
        <v>0</v>
      </c>
      <c r="V19" s="2342">
        <v>0</v>
      </c>
      <c r="W19" s="1923">
        <v>12682.424999999999</v>
      </c>
      <c r="X19" s="1923">
        <v>25364.85</v>
      </c>
      <c r="Y19" s="1925">
        <v>19.041626502817877</v>
      </c>
      <c r="Z19" s="1989">
        <v>0</v>
      </c>
    </row>
    <row r="20" spans="2:27" s="284" customFormat="1" ht="15.75" x14ac:dyDescent="0.25">
      <c r="B20" s="2366" t="s">
        <v>610</v>
      </c>
      <c r="C20" s="2330">
        <v>482987</v>
      </c>
      <c r="D20" s="2330">
        <v>-482987</v>
      </c>
      <c r="E20" s="2330">
        <v>0</v>
      </c>
      <c r="F20" s="2330">
        <v>177718.5179118418</v>
      </c>
      <c r="G20" s="2330">
        <v>593308.30479214829</v>
      </c>
      <c r="H20" s="2331">
        <v>1.5073842083869618E-2</v>
      </c>
      <c r="I20" s="2332">
        <v>0.36795714566197807</v>
      </c>
      <c r="J20" s="2332"/>
      <c r="K20" s="2333">
        <v>72500</v>
      </c>
      <c r="L20" s="2334"/>
      <c r="M20" s="2335">
        <v>246500</v>
      </c>
      <c r="N20" s="2335">
        <v>702525</v>
      </c>
      <c r="O20" s="2335">
        <v>0</v>
      </c>
      <c r="P20" s="2336">
        <v>1.9593793103448276</v>
      </c>
      <c r="Q20" s="2339">
        <v>0.68750151240169388</v>
      </c>
      <c r="R20" s="2339"/>
      <c r="S20" s="2335">
        <v>0</v>
      </c>
      <c r="T20" s="2335">
        <v>0</v>
      </c>
      <c r="U20" s="2335">
        <v>0</v>
      </c>
      <c r="V20" s="2335">
        <v>0</v>
      </c>
      <c r="W20" s="2333">
        <v>25364.85</v>
      </c>
      <c r="X20" s="2333">
        <v>72289.822499999995</v>
      </c>
      <c r="Y20" s="2336">
        <v>19.041587078181028</v>
      </c>
      <c r="Z20" s="2365">
        <v>6.6812586239231679</v>
      </c>
    </row>
    <row r="21" spans="2:27" s="2060" customFormat="1" ht="15.75" customHeight="1" x14ac:dyDescent="0.2">
      <c r="B21" s="2202" t="s">
        <v>170</v>
      </c>
      <c r="C21" s="2052">
        <v>598442.975650387</v>
      </c>
      <c r="D21" s="2052">
        <v>547968.024349613</v>
      </c>
      <c r="E21" s="2052">
        <v>1146411</v>
      </c>
      <c r="F21" s="2052">
        <v>1436291.0827832532</v>
      </c>
      <c r="G21" s="2052">
        <v>1436291.0827832532</v>
      </c>
      <c r="H21" s="2053">
        <v>3.4514018480496449E-2</v>
      </c>
      <c r="I21" s="2054">
        <v>2.4000466898659711</v>
      </c>
      <c r="J21" s="2054">
        <v>1.2528587764625891</v>
      </c>
      <c r="K21" s="2055">
        <v>358.28171339483828</v>
      </c>
      <c r="L21" s="2328" t="s">
        <v>241</v>
      </c>
      <c r="M21" s="2055">
        <v>98863.324589830503</v>
      </c>
      <c r="N21" s="2055">
        <v>2287489.9902028642</v>
      </c>
      <c r="O21" s="2055">
        <v>894.81195086255605</v>
      </c>
      <c r="P21" s="2057">
        <v>6.0532353947557347</v>
      </c>
      <c r="Q21" s="2329">
        <v>0.26161556037992306</v>
      </c>
      <c r="R21" s="2329">
        <v>668.7918898194381</v>
      </c>
      <c r="S21" s="2055"/>
      <c r="T21" s="2055"/>
      <c r="U21" s="2055"/>
      <c r="V21" s="2055"/>
      <c r="W21" s="2055">
        <v>10173.036100293559</v>
      </c>
      <c r="X21" s="2055">
        <v>235382.71999187474</v>
      </c>
      <c r="Y21" s="2057">
        <v>58.826388675954661</v>
      </c>
      <c r="Z21" s="2362">
        <v>2.5424252709419148</v>
      </c>
    </row>
    <row r="22" spans="2:27" s="2060" customFormat="1" ht="15.75" customHeight="1" x14ac:dyDescent="0.2">
      <c r="B22" s="2202" t="s">
        <v>171</v>
      </c>
      <c r="C22" s="2052">
        <v>750790</v>
      </c>
      <c r="D22" s="2052">
        <v>708800</v>
      </c>
      <c r="E22" s="2052">
        <v>1459590</v>
      </c>
      <c r="F22" s="2052">
        <v>1118509.5433908661</v>
      </c>
      <c r="G22" s="2052">
        <v>1118509.5433908661</v>
      </c>
      <c r="H22" s="2053">
        <v>5.1066256970351262E-2</v>
      </c>
      <c r="I22" s="2054">
        <v>1.4897768262641566</v>
      </c>
      <c r="J22" s="2054">
        <v>0.766317625765363</v>
      </c>
      <c r="K22" s="2055">
        <v>281.16520937325191</v>
      </c>
      <c r="L22" s="2328" t="s">
        <v>241</v>
      </c>
      <c r="M22" s="2055">
        <v>76888.887334292245</v>
      </c>
      <c r="N22" s="2055">
        <v>1823190.5705633524</v>
      </c>
      <c r="O22" s="2055">
        <v>739.73673301093288</v>
      </c>
      <c r="P22" s="2057">
        <v>9.7646100240177311</v>
      </c>
      <c r="Q22" s="2329">
        <v>0.41180006748719167</v>
      </c>
      <c r="R22" s="2329">
        <v>1014.9421631991659</v>
      </c>
      <c r="S22" s="2055"/>
      <c r="T22" s="2055"/>
      <c r="U22" s="2055"/>
      <c r="V22" s="2055"/>
      <c r="W22" s="2055">
        <v>7911.8665066986723</v>
      </c>
      <c r="X22" s="2055">
        <v>187606.30971096896</v>
      </c>
      <c r="Y22" s="2057">
        <v>94.894169329618379</v>
      </c>
      <c r="Z22" s="2362">
        <v>4.0019442904488987</v>
      </c>
    </row>
    <row r="23" spans="2:27" ht="17.25" customHeight="1" x14ac:dyDescent="0.25">
      <c r="B23" s="2363" t="s">
        <v>204</v>
      </c>
      <c r="C23" s="2330">
        <v>1349232.9756503869</v>
      </c>
      <c r="D23" s="2330">
        <v>1256768.0243496131</v>
      </c>
      <c r="E23" s="2330">
        <v>2606001</v>
      </c>
      <c r="F23" s="2330">
        <v>2554800.6261741193</v>
      </c>
      <c r="G23" s="2330">
        <v>2554800.6261741193</v>
      </c>
      <c r="H23" s="2331">
        <v>4.2109052229777268E-2</v>
      </c>
      <c r="I23" s="2332">
        <v>1.8935207427335508</v>
      </c>
      <c r="J23" s="2332">
        <v>0.98035289555687788</v>
      </c>
      <c r="K23" s="2333">
        <v>639.44692276809019</v>
      </c>
      <c r="L23" s="2334" t="s">
        <v>241</v>
      </c>
      <c r="M23" s="2335">
        <v>175752.21192412276</v>
      </c>
      <c r="N23" s="2335">
        <v>4110680.5607662164</v>
      </c>
      <c r="O23" s="2335">
        <v>1634.5486838734889</v>
      </c>
      <c r="P23" s="2336">
        <v>7.6769046652618469</v>
      </c>
      <c r="Q23" s="2339">
        <v>0.32822617951098942</v>
      </c>
      <c r="R23" s="2339">
        <v>825.44679700394602</v>
      </c>
      <c r="S23" s="2344">
        <v>0</v>
      </c>
      <c r="T23" s="2344">
        <v>0</v>
      </c>
      <c r="U23" s="2344">
        <v>0</v>
      </c>
      <c r="V23" s="2344">
        <v>0</v>
      </c>
      <c r="W23" s="2333">
        <v>18084.902606992233</v>
      </c>
      <c r="X23" s="2333">
        <v>422989.02970284369</v>
      </c>
      <c r="Y23" s="2345">
        <v>74.605487514692385</v>
      </c>
      <c r="Z23" s="2367">
        <v>3.1897587901942606</v>
      </c>
    </row>
    <row r="24" spans="2:27" s="284" customFormat="1" ht="15.75" hidden="1" customHeight="1" x14ac:dyDescent="0.2">
      <c r="B24" s="330" t="s">
        <v>142</v>
      </c>
      <c r="C24" s="331"/>
      <c r="D24" s="331"/>
      <c r="E24" s="331"/>
      <c r="F24" s="331"/>
      <c r="G24" s="331"/>
      <c r="H24" s="332"/>
      <c r="I24" s="333"/>
      <c r="J24" s="333"/>
      <c r="K24" s="804"/>
      <c r="L24" s="2337"/>
      <c r="M24" s="804"/>
      <c r="N24" s="804"/>
      <c r="O24" s="804"/>
      <c r="P24" s="335"/>
      <c r="Q24" s="2338"/>
      <c r="R24" s="2338" t="e">
        <v>#DIV/0!</v>
      </c>
      <c r="S24" s="2055"/>
      <c r="T24" s="2055"/>
      <c r="U24" s="2055"/>
      <c r="V24" s="2055"/>
      <c r="W24" s="804">
        <v>0</v>
      </c>
      <c r="X24" s="804">
        <v>0</v>
      </c>
      <c r="Y24" s="2078" t="s">
        <v>3</v>
      </c>
      <c r="Z24" s="2368" t="s">
        <v>3</v>
      </c>
    </row>
    <row r="25" spans="2:27" s="2060" customFormat="1" ht="15.75" hidden="1" customHeight="1" x14ac:dyDescent="0.2">
      <c r="B25" s="2202" t="s">
        <v>143</v>
      </c>
      <c r="C25" s="2052"/>
      <c r="D25" s="2052"/>
      <c r="E25" s="2052"/>
      <c r="F25" s="2052"/>
      <c r="G25" s="2052"/>
      <c r="H25" s="2053">
        <v>0</v>
      </c>
      <c r="I25" s="2054" t="e">
        <v>#DIV/0!</v>
      </c>
      <c r="J25" s="2054" t="e">
        <v>#DIV/0!</v>
      </c>
      <c r="K25" s="2055"/>
      <c r="L25" s="2328" t="s">
        <v>242</v>
      </c>
      <c r="M25" s="2055"/>
      <c r="N25" s="2055"/>
      <c r="O25" s="2055"/>
      <c r="P25" s="2057" t="e">
        <v>#DIV/0!</v>
      </c>
      <c r="Q25" s="2329" t="e">
        <v>#DIV/0!</v>
      </c>
      <c r="R25" s="2329" t="e">
        <v>#DIV/0!</v>
      </c>
      <c r="S25" s="2077"/>
      <c r="T25" s="2077"/>
      <c r="U25" s="2077"/>
      <c r="V25" s="2077"/>
      <c r="W25" s="2055">
        <v>0</v>
      </c>
      <c r="X25" s="2055">
        <v>0</v>
      </c>
      <c r="Y25" s="2078" t="e">
        <v>#DIV/0!</v>
      </c>
      <c r="Z25" s="2368" t="e">
        <v>#DIV/0!</v>
      </c>
    </row>
    <row r="26" spans="2:27" s="2060" customFormat="1" ht="15.75" hidden="1" customHeight="1" thickBot="1" x14ac:dyDescent="0.25">
      <c r="B26" s="2202" t="s">
        <v>144</v>
      </c>
      <c r="C26" s="2052">
        <v>0</v>
      </c>
      <c r="D26" s="2052">
        <v>0</v>
      </c>
      <c r="E26" s="2052"/>
      <c r="F26" s="2052"/>
      <c r="G26" s="2052"/>
      <c r="H26" s="2053">
        <v>0</v>
      </c>
      <c r="I26" s="2054" t="e">
        <v>#DIV/0!</v>
      </c>
      <c r="J26" s="2054" t="e">
        <v>#DIV/0!</v>
      </c>
      <c r="K26" s="2055"/>
      <c r="L26" s="2328" t="s">
        <v>242</v>
      </c>
      <c r="M26" s="2055"/>
      <c r="N26" s="2055"/>
      <c r="O26" s="2055"/>
      <c r="P26" s="2057" t="e">
        <v>#DIV/0!</v>
      </c>
      <c r="Q26" s="2329" t="e">
        <v>#DIV/0!</v>
      </c>
      <c r="R26" s="2329" t="e">
        <v>#DIV/0!</v>
      </c>
      <c r="S26" s="2077"/>
      <c r="T26" s="2077"/>
      <c r="U26" s="2077"/>
      <c r="V26" s="2077"/>
      <c r="W26" s="2055">
        <v>0</v>
      </c>
      <c r="X26" s="2055">
        <v>0</v>
      </c>
      <c r="Y26" s="2078" t="e">
        <v>#DIV/0!</v>
      </c>
      <c r="Z26" s="2368" t="e">
        <v>#DIV/0!</v>
      </c>
    </row>
    <row r="27" spans="2:27" ht="17.25" hidden="1" customHeight="1" thickBot="1" x14ac:dyDescent="0.3">
      <c r="B27" s="2363" t="s">
        <v>145</v>
      </c>
      <c r="C27" s="2330">
        <v>0</v>
      </c>
      <c r="D27" s="2330">
        <v>0</v>
      </c>
      <c r="E27" s="2330">
        <v>0</v>
      </c>
      <c r="F27" s="2330">
        <v>0</v>
      </c>
      <c r="G27" s="2330">
        <v>0</v>
      </c>
      <c r="H27" s="2331">
        <v>0</v>
      </c>
      <c r="I27" s="2332" t="e">
        <v>#DIV/0!</v>
      </c>
      <c r="J27" s="2332" t="e">
        <v>#DIV/0!</v>
      </c>
      <c r="K27" s="2333">
        <v>0</v>
      </c>
      <c r="L27" s="2346" t="s">
        <v>242</v>
      </c>
      <c r="M27" s="2335">
        <v>0</v>
      </c>
      <c r="N27" s="2335">
        <v>0</v>
      </c>
      <c r="O27" s="2335">
        <v>0</v>
      </c>
      <c r="P27" s="2336" t="e">
        <v>#DIV/0!</v>
      </c>
      <c r="Q27" s="2339" t="e">
        <v>#DIV/0!</v>
      </c>
      <c r="R27" s="2339" t="e">
        <v>#DIV/0!</v>
      </c>
      <c r="S27" s="2335">
        <v>0</v>
      </c>
      <c r="T27" s="2335">
        <v>0</v>
      </c>
      <c r="U27" s="2335">
        <v>0</v>
      </c>
      <c r="V27" s="2335">
        <v>0</v>
      </c>
      <c r="W27" s="2333">
        <v>0</v>
      </c>
      <c r="X27" s="2333">
        <v>0</v>
      </c>
      <c r="Y27" s="2336" t="e">
        <v>#DIV/0!</v>
      </c>
      <c r="Z27" s="2365" t="e">
        <v>#DIV/0!</v>
      </c>
    </row>
    <row r="28" spans="2:27" ht="16.5" thickBot="1" x14ac:dyDescent="0.3">
      <c r="B28" s="2369" t="s">
        <v>88</v>
      </c>
      <c r="C28" s="2370">
        <v>19149034.678023219</v>
      </c>
      <c r="D28" s="2370">
        <v>7768821.6184725575</v>
      </c>
      <c r="E28" s="2370">
        <v>26917856.296495777</v>
      </c>
      <c r="F28" s="2370">
        <v>25947090.966952611</v>
      </c>
      <c r="G28" s="2370">
        <v>26880119.324046455</v>
      </c>
      <c r="H28" s="2371">
        <v>0.59763414914907675</v>
      </c>
      <c r="I28" s="2372">
        <v>1.355007779934271</v>
      </c>
      <c r="J28" s="2372">
        <v>0.99859806917632465</v>
      </c>
      <c r="K28" s="2373">
        <v>94415.564048999033</v>
      </c>
      <c r="L28" s="2374" t="s">
        <v>462</v>
      </c>
      <c r="M28" s="2375">
        <v>2299605.208854476</v>
      </c>
      <c r="N28" s="2375">
        <v>41720996.543899462</v>
      </c>
      <c r="O28" s="2375">
        <v>27279.695611820574</v>
      </c>
      <c r="P28" s="2376">
        <v>8.3270965834879576</v>
      </c>
      <c r="Q28" s="2376">
        <v>0.45897836255838992</v>
      </c>
      <c r="R28" s="2376">
        <v>701.95191876428942</v>
      </c>
      <c r="S28" s="2375">
        <v>0</v>
      </c>
      <c r="T28" s="2375">
        <v>0</v>
      </c>
      <c r="U28" s="2375">
        <v>0</v>
      </c>
      <c r="V28" s="2375">
        <v>0</v>
      </c>
      <c r="W28" s="2375">
        <v>236629.37599112559</v>
      </c>
      <c r="X28" s="2375">
        <v>4293090.5443672547</v>
      </c>
      <c r="Y28" s="2376">
        <v>80.924165048473839</v>
      </c>
      <c r="Z28" s="2377">
        <v>4.4604311230164226</v>
      </c>
    </row>
    <row r="29" spans="2:27" ht="15.75" customHeight="1" x14ac:dyDescent="0.25">
      <c r="B29" s="2322"/>
      <c r="C29" s="2323"/>
      <c r="D29" s="2323"/>
      <c r="E29" s="2323"/>
      <c r="F29" s="2323"/>
      <c r="G29" s="2323"/>
      <c r="H29" s="2324"/>
      <c r="I29" s="2325"/>
      <c r="J29" s="2325"/>
      <c r="K29" s="806"/>
      <c r="L29" s="2326"/>
      <c r="M29" s="2327"/>
      <c r="N29" s="2327"/>
      <c r="O29" s="2327"/>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159"/>
      <c r="L30" s="2159"/>
      <c r="M30" s="2159"/>
      <c r="N30" s="2159"/>
      <c r="O30" s="2159"/>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119"/>
      <c r="L31" s="2134"/>
      <c r="M31" s="2119"/>
      <c r="N31" s="2119"/>
      <c r="O31" s="2119"/>
      <c r="P31" s="341"/>
      <c r="Q31" s="336"/>
      <c r="R31" s="336"/>
      <c r="S31" s="336"/>
      <c r="T31" s="336"/>
      <c r="U31" s="336"/>
      <c r="V31" s="336"/>
      <c r="W31" s="2146" t="s">
        <v>3</v>
      </c>
      <c r="X31" s="2146" t="s">
        <v>3</v>
      </c>
      <c r="Y31" s="341" t="s">
        <v>3</v>
      </c>
      <c r="Z31" s="336" t="s">
        <v>3</v>
      </c>
    </row>
    <row r="32" spans="2:27" s="284" customFormat="1" ht="15" x14ac:dyDescent="0.2">
      <c r="B32" s="399" t="s">
        <v>125</v>
      </c>
      <c r="C32" s="351">
        <v>2519940.0638306299</v>
      </c>
      <c r="D32" s="1108">
        <v>4767760.3333333312</v>
      </c>
      <c r="E32" s="351">
        <v>7287700.3971639611</v>
      </c>
      <c r="F32" s="1108">
        <v>4841668.8219372351</v>
      </c>
      <c r="G32" s="351">
        <v>4841668.8219372351</v>
      </c>
      <c r="H32" s="401">
        <v>0.14533257381502615</v>
      </c>
      <c r="I32" s="2137">
        <v>1.9213428491538334</v>
      </c>
      <c r="J32" s="2137">
        <v>0.66436167214302477</v>
      </c>
      <c r="K32" s="2121">
        <v>238.19259966462278</v>
      </c>
      <c r="L32" s="354" t="s">
        <v>244</v>
      </c>
      <c r="M32" s="2121">
        <v>366256.2245105828</v>
      </c>
      <c r="N32" s="2121">
        <v>5900322.8753012968</v>
      </c>
      <c r="O32" s="2121">
        <v>4080.5578344889673</v>
      </c>
      <c r="P32" s="2120">
        <v>6.8802654950040782</v>
      </c>
      <c r="Q32" s="2378">
        <v>0.42708511332135374</v>
      </c>
      <c r="R32" s="2378">
        <v>617.54793487597192</v>
      </c>
      <c r="S32" s="2121"/>
      <c r="T32" s="2121"/>
      <c r="U32" s="2121"/>
      <c r="V32" s="2121"/>
      <c r="W32" s="2121">
        <v>37687.765502138973</v>
      </c>
      <c r="X32" s="2121">
        <v>607143.22386850347</v>
      </c>
      <c r="Y32" s="2120">
        <v>66.863610252712135</v>
      </c>
      <c r="Z32" s="356">
        <v>4.1504870099256923</v>
      </c>
    </row>
    <row r="33" spans="2:30" s="284" customFormat="1" ht="15" x14ac:dyDescent="0.2">
      <c r="B33" s="381" t="s">
        <v>126</v>
      </c>
      <c r="C33" s="331">
        <v>2071891.9998271302</v>
      </c>
      <c r="D33" s="874">
        <v>4478348.0000000056</v>
      </c>
      <c r="E33" s="331">
        <v>6550239.9998271354</v>
      </c>
      <c r="F33" s="874">
        <v>3912951.5180275263</v>
      </c>
      <c r="G33" s="331">
        <v>3912951.5180275259</v>
      </c>
      <c r="H33" s="332">
        <v>0.14092325321060112</v>
      </c>
      <c r="I33" s="333">
        <v>1.8885885549797028</v>
      </c>
      <c r="J33" s="333">
        <v>0.59737528978034249</v>
      </c>
      <c r="K33" s="804">
        <v>167.57607718988064</v>
      </c>
      <c r="L33" s="2337" t="s">
        <v>244</v>
      </c>
      <c r="M33" s="804">
        <v>296001.83374630124</v>
      </c>
      <c r="N33" s="804">
        <v>4768537.0893511409</v>
      </c>
      <c r="O33" s="804">
        <v>3825.4886176022856</v>
      </c>
      <c r="P33" s="335">
        <v>6.9995917714581388</v>
      </c>
      <c r="Q33" s="2338">
        <v>0.43449216415952308</v>
      </c>
      <c r="R33" s="2338">
        <v>541.60192512237484</v>
      </c>
      <c r="S33" s="804"/>
      <c r="T33" s="804"/>
      <c r="U33" s="804"/>
      <c r="V33" s="804"/>
      <c r="W33" s="804">
        <v>30458.588692494395</v>
      </c>
      <c r="X33" s="804">
        <v>490682.46649423242</v>
      </c>
      <c r="Y33" s="335">
        <v>68.023243648767149</v>
      </c>
      <c r="Z33" s="358">
        <v>4.2224700112684452</v>
      </c>
    </row>
    <row r="34" spans="2:30" ht="17.25" customHeight="1" thickBot="1" x14ac:dyDescent="0.3">
      <c r="B34" s="2369" t="s">
        <v>137</v>
      </c>
      <c r="C34" s="2379">
        <v>4591832.0636577606</v>
      </c>
      <c r="D34" s="2379">
        <v>9246108.3333333358</v>
      </c>
      <c r="E34" s="2379">
        <v>13837940.396991096</v>
      </c>
      <c r="F34" s="2379">
        <v>8754620.3399647623</v>
      </c>
      <c r="G34" s="2379">
        <v>8754620.3399647605</v>
      </c>
      <c r="H34" s="2380">
        <v>0.1433093466350569</v>
      </c>
      <c r="I34" s="2372">
        <v>1.906563702373516</v>
      </c>
      <c r="J34" s="2372">
        <v>0.63265342159360316</v>
      </c>
      <c r="K34" s="2381">
        <v>405.76867685450338</v>
      </c>
      <c r="L34" s="2379" t="s">
        <v>244</v>
      </c>
      <c r="M34" s="2375">
        <v>662258.05825688411</v>
      </c>
      <c r="N34" s="2375">
        <v>10668859.964652438</v>
      </c>
      <c r="O34" s="2375">
        <v>7906.0464520912528</v>
      </c>
      <c r="P34" s="2382">
        <v>6.9335993823069932</v>
      </c>
      <c r="Q34" s="2376">
        <v>0.43039575726658719</v>
      </c>
      <c r="R34" s="2376">
        <v>580.80003595768915</v>
      </c>
      <c r="S34" s="2375">
        <v>0</v>
      </c>
      <c r="T34" s="2375">
        <v>0</v>
      </c>
      <c r="U34" s="2375">
        <v>0</v>
      </c>
      <c r="V34" s="2375">
        <v>0</v>
      </c>
      <c r="W34" s="2381">
        <v>68146.354194633372</v>
      </c>
      <c r="X34" s="2381">
        <v>1097825.6903627359</v>
      </c>
      <c r="Y34" s="2382">
        <v>67.381918195403244</v>
      </c>
      <c r="Z34" s="2377">
        <v>4.1826604204721782</v>
      </c>
    </row>
    <row r="35" spans="2:30" ht="15.75" customHeight="1" thickBot="1" x14ac:dyDescent="0.3">
      <c r="B35" s="2158" t="s">
        <v>132</v>
      </c>
      <c r="C35" s="2159"/>
      <c r="D35" s="2159"/>
      <c r="E35" s="2159"/>
      <c r="F35" s="2159"/>
      <c r="G35" s="2159"/>
      <c r="H35" s="2159"/>
      <c r="I35" s="2159"/>
      <c r="J35" s="2159"/>
      <c r="K35" s="2159"/>
      <c r="L35" s="2159"/>
      <c r="M35" s="2159"/>
      <c r="N35" s="2159"/>
      <c r="O35" s="2159"/>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119"/>
      <c r="L36" s="2134"/>
      <c r="M36" s="2119"/>
      <c r="N36" s="2119"/>
      <c r="O36" s="2119"/>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v>1334871.0970383401</v>
      </c>
      <c r="D37" s="1108">
        <v>2242049.324464689</v>
      </c>
      <c r="E37" s="351">
        <v>3576920.4215030288</v>
      </c>
      <c r="F37" s="351">
        <v>4039928.368663257</v>
      </c>
      <c r="G37" s="351">
        <v>4039928.368663257</v>
      </c>
      <c r="H37" s="401">
        <v>7.6986058132257465E-2</v>
      </c>
      <c r="I37" s="2137">
        <v>3.0264557960889182</v>
      </c>
      <c r="J37" s="2137">
        <v>1.1294431780972278</v>
      </c>
      <c r="K37" s="2121">
        <v>47.998537888847373</v>
      </c>
      <c r="L37" s="354" t="s">
        <v>244</v>
      </c>
      <c r="M37" s="2121">
        <v>384690.36194419389</v>
      </c>
      <c r="N37" s="2121">
        <v>4231241.9705611533</v>
      </c>
      <c r="O37" s="2121">
        <v>2821.7027613779837</v>
      </c>
      <c r="P37" s="2120">
        <v>3.4699884090987094</v>
      </c>
      <c r="Q37" s="2378">
        <v>0.315479735341467</v>
      </c>
      <c r="R37" s="2378">
        <v>473.07289602199393</v>
      </c>
      <c r="S37" s="2121"/>
      <c r="T37" s="2121"/>
      <c r="U37" s="2121"/>
      <c r="V37" s="2121"/>
      <c r="W37" s="2121">
        <v>39584.638244057547</v>
      </c>
      <c r="X37" s="2121">
        <v>435394.79877074267</v>
      </c>
      <c r="Y37" s="2120">
        <v>33.721947610288723</v>
      </c>
      <c r="Z37" s="356">
        <v>3.0658866408305836</v>
      </c>
      <c r="AA37" s="295"/>
    </row>
    <row r="38" spans="2:30" s="284" customFormat="1" ht="15.75" customHeight="1" x14ac:dyDescent="0.2">
      <c r="B38" s="330" t="s">
        <v>130</v>
      </c>
      <c r="C38" s="331">
        <v>1048766.7180974099</v>
      </c>
      <c r="D38" s="874">
        <v>1801214.0045860542</v>
      </c>
      <c r="E38" s="331">
        <v>2849980.7226834642</v>
      </c>
      <c r="F38" s="331">
        <v>3246314.1345959543</v>
      </c>
      <c r="G38" s="331">
        <v>3246314.1345959539</v>
      </c>
      <c r="H38" s="332">
        <v>7.1333649526917356E-2</v>
      </c>
      <c r="I38" s="333">
        <v>3.0953634193170831</v>
      </c>
      <c r="J38" s="333">
        <v>1.1390652956906013</v>
      </c>
      <c r="K38" s="804">
        <v>38.569577915576325</v>
      </c>
      <c r="L38" s="2337" t="s">
        <v>244</v>
      </c>
      <c r="M38" s="804">
        <v>309120.76786041755</v>
      </c>
      <c r="N38" s="804">
        <v>3400045.5855788593</v>
      </c>
      <c r="O38" s="804">
        <v>2267.4010037579869</v>
      </c>
      <c r="P38" s="335">
        <v>3.3927410486084746</v>
      </c>
      <c r="Q38" s="2338">
        <v>0.30845666380054049</v>
      </c>
      <c r="R38" s="2338">
        <v>462.54134860096894</v>
      </c>
      <c r="S38" s="804"/>
      <c r="T38" s="804"/>
      <c r="U38" s="804"/>
      <c r="V38" s="804"/>
      <c r="W38" s="804">
        <v>31808.527012836963</v>
      </c>
      <c r="X38" s="804">
        <v>349864.69075606467</v>
      </c>
      <c r="Y38" s="335">
        <v>32.971244398527453</v>
      </c>
      <c r="Z38" s="358">
        <v>2.9976352167205094</v>
      </c>
      <c r="AA38" s="295"/>
    </row>
    <row r="39" spans="2:30" ht="18" customHeight="1" x14ac:dyDescent="0.25">
      <c r="B39" s="2366" t="s">
        <v>617</v>
      </c>
      <c r="C39" s="2330">
        <v>2383637.81513575</v>
      </c>
      <c r="D39" s="2330">
        <v>4043263.329050743</v>
      </c>
      <c r="E39" s="2330">
        <v>6426901.144186493</v>
      </c>
      <c r="F39" s="2330">
        <v>7286242.5032592118</v>
      </c>
      <c r="G39" s="2330">
        <v>7286242.5032592108</v>
      </c>
      <c r="H39" s="2331">
        <v>7.4392437085255503E-2</v>
      </c>
      <c r="I39" s="2332">
        <v>3.0567741697134698</v>
      </c>
      <c r="J39" s="2332">
        <v>1.1337100633405637</v>
      </c>
      <c r="K39" s="2333">
        <v>86.568115804423698</v>
      </c>
      <c r="L39" s="2330" t="s">
        <v>244</v>
      </c>
      <c r="M39" s="2335">
        <v>693811.12980461144</v>
      </c>
      <c r="N39" s="2335">
        <v>7631287.556140013</v>
      </c>
      <c r="O39" s="2335">
        <v>5089.1037651359711</v>
      </c>
      <c r="P39" s="2336">
        <v>3.4355716026161489</v>
      </c>
      <c r="Q39" s="2339">
        <v>0.31235067445701387</v>
      </c>
      <c r="R39" s="2339">
        <v>468.3806668406699</v>
      </c>
      <c r="S39" s="2335">
        <v>0</v>
      </c>
      <c r="T39" s="2335">
        <v>0</v>
      </c>
      <c r="U39" s="2335">
        <v>0</v>
      </c>
      <c r="V39" s="2335">
        <v>0</v>
      </c>
      <c r="W39" s="2333">
        <v>71393.165256894514</v>
      </c>
      <c r="X39" s="2333">
        <v>785259.48952680733</v>
      </c>
      <c r="Y39" s="2336">
        <v>33.387479131352279</v>
      </c>
      <c r="Z39" s="2365">
        <v>3.0354778858796294</v>
      </c>
    </row>
    <row r="40" spans="2:30" s="284" customFormat="1" ht="15.75" hidden="1" customHeight="1" x14ac:dyDescent="0.2">
      <c r="B40" s="330" t="s">
        <v>133</v>
      </c>
      <c r="C40" s="331"/>
      <c r="D40" s="331"/>
      <c r="E40" s="331"/>
      <c r="F40" s="331"/>
      <c r="G40" s="331"/>
      <c r="H40" s="332"/>
      <c r="I40" s="333"/>
      <c r="J40" s="333"/>
      <c r="K40" s="804"/>
      <c r="L40" s="2337"/>
      <c r="M40" s="804"/>
      <c r="N40" s="804"/>
      <c r="O40" s="804"/>
      <c r="P40" s="335"/>
      <c r="Q40" s="2338"/>
      <c r="R40" s="2338" t="e">
        <v>#DIV/0!</v>
      </c>
      <c r="S40" s="2337"/>
      <c r="T40" s="2337"/>
      <c r="U40" s="2337"/>
      <c r="V40" s="2337"/>
      <c r="W40" s="804">
        <v>0</v>
      </c>
      <c r="X40" s="804">
        <v>0</v>
      </c>
      <c r="Y40" s="335" t="s">
        <v>3</v>
      </c>
      <c r="Z40" s="358" t="s">
        <v>3</v>
      </c>
    </row>
    <row r="41" spans="2:30" s="284" customFormat="1" ht="15.75" customHeight="1" x14ac:dyDescent="0.2">
      <c r="B41" s="615" t="s">
        <v>582</v>
      </c>
      <c r="C41" s="331">
        <v>746206.24457467219</v>
      </c>
      <c r="D41" s="874">
        <v>886712.81689921382</v>
      </c>
      <c r="E41" s="331">
        <v>1632919.061473886</v>
      </c>
      <c r="F41" s="331">
        <v>3127297.2127635758</v>
      </c>
      <c r="G41" s="331">
        <v>3127297.2127635758</v>
      </c>
      <c r="H41" s="332">
        <v>4.3035973623923064E-2</v>
      </c>
      <c r="I41" s="333">
        <v>4.1909287619887108</v>
      </c>
      <c r="J41" s="333">
        <v>1.9151575154869291</v>
      </c>
      <c r="K41" s="804">
        <v>92.535651083040023</v>
      </c>
      <c r="L41" s="804" t="s">
        <v>244</v>
      </c>
      <c r="M41" s="804">
        <v>439885.09964511014</v>
      </c>
      <c r="N41" s="804">
        <v>2250943.2628663308</v>
      </c>
      <c r="O41" s="804">
        <v>3140.150530424989</v>
      </c>
      <c r="P41" s="335">
        <v>1.6963662674109565</v>
      </c>
      <c r="Q41" s="2338">
        <v>0.3315082422932597</v>
      </c>
      <c r="R41" s="2338">
        <v>237.63390873929868</v>
      </c>
      <c r="S41" s="804"/>
      <c r="T41" s="804"/>
      <c r="U41" s="804"/>
      <c r="V41" s="804"/>
      <c r="W41" s="804">
        <v>45264.176753481835</v>
      </c>
      <c r="X41" s="804">
        <v>231622.06174894545</v>
      </c>
      <c r="Y41" s="335">
        <v>16.485580830038451</v>
      </c>
      <c r="Z41" s="358">
        <v>3.2216544440550021</v>
      </c>
    </row>
    <row r="42" spans="2:30" s="284" customFormat="1" ht="16.5" customHeight="1" x14ac:dyDescent="0.2">
      <c r="B42" s="615" t="s">
        <v>583</v>
      </c>
      <c r="C42" s="331">
        <v>406556.96515031101</v>
      </c>
      <c r="D42" s="874">
        <v>532401.49443690816</v>
      </c>
      <c r="E42" s="331">
        <v>938958.45958721917</v>
      </c>
      <c r="F42" s="331">
        <v>1769909.2062053443</v>
      </c>
      <c r="G42" s="331">
        <v>1769909.2062053443</v>
      </c>
      <c r="H42" s="332">
        <v>2.765266246946806E-2</v>
      </c>
      <c r="I42" s="333">
        <v>4.3534101194182684</v>
      </c>
      <c r="J42" s="333">
        <v>1.8849707227553221</v>
      </c>
      <c r="K42" s="804">
        <v>55.722443005763381</v>
      </c>
      <c r="L42" s="804" t="s">
        <v>244</v>
      </c>
      <c r="M42" s="804">
        <v>248955.13108152238</v>
      </c>
      <c r="N42" s="804">
        <v>1273932.3871530606</v>
      </c>
      <c r="O42" s="804">
        <v>1885.4140859284967</v>
      </c>
      <c r="P42" s="335">
        <v>1.6330531665851893</v>
      </c>
      <c r="Q42" s="2338">
        <v>0.31913543391331012</v>
      </c>
      <c r="R42" s="2338">
        <v>215.63271866089659</v>
      </c>
      <c r="S42" s="804"/>
      <c r="T42" s="804"/>
      <c r="U42" s="804"/>
      <c r="V42" s="804"/>
      <c r="W42" s="804">
        <v>25617.482988288655</v>
      </c>
      <c r="X42" s="804">
        <v>131087.64263804993</v>
      </c>
      <c r="Y42" s="335">
        <v>15.870293164093189</v>
      </c>
      <c r="Z42" s="358">
        <v>3.1014133519272122</v>
      </c>
    </row>
    <row r="43" spans="2:30" ht="19.5" customHeight="1" x14ac:dyDescent="0.25">
      <c r="B43" s="2363" t="s">
        <v>136</v>
      </c>
      <c r="C43" s="2330">
        <v>1152763.2097249832</v>
      </c>
      <c r="D43" s="2330">
        <v>1419114.311336122</v>
      </c>
      <c r="E43" s="2330">
        <v>2571877.5210611052</v>
      </c>
      <c r="F43" s="2330">
        <v>4897206.4189689197</v>
      </c>
      <c r="G43" s="2330">
        <v>4897206.4189689197</v>
      </c>
      <c r="H43" s="2331">
        <v>3.5977304945038008E-2</v>
      </c>
      <c r="I43" s="2332">
        <v>4.2482327486294906</v>
      </c>
      <c r="J43" s="2332">
        <v>1.904136716801518</v>
      </c>
      <c r="K43" s="2333">
        <v>148.2580940888034</v>
      </c>
      <c r="L43" s="2330" t="s">
        <v>244</v>
      </c>
      <c r="M43" s="2335">
        <v>688840.23072663252</v>
      </c>
      <c r="N43" s="2335">
        <v>3524875.6500193914</v>
      </c>
      <c r="O43" s="2335">
        <v>5025.5646163534857</v>
      </c>
      <c r="P43" s="2336">
        <v>1.6734841524993034</v>
      </c>
      <c r="Q43" s="2339">
        <v>0.32703656077020521</v>
      </c>
      <c r="R43" s="2339">
        <v>229.37984042107891</v>
      </c>
      <c r="S43" s="2335">
        <v>0</v>
      </c>
      <c r="T43" s="2335">
        <v>0</v>
      </c>
      <c r="U43" s="2335"/>
      <c r="V43" s="2335"/>
      <c r="W43" s="2333">
        <v>70881.659741770491</v>
      </c>
      <c r="X43" s="2333">
        <v>362709.70438699535</v>
      </c>
      <c r="Y43" s="2336">
        <v>16.263208479099156</v>
      </c>
      <c r="Z43" s="2365">
        <v>3.1781978694869313</v>
      </c>
    </row>
    <row r="44" spans="2:30" ht="15.75" hidden="1" customHeight="1" x14ac:dyDescent="0.2">
      <c r="B44" s="330" t="s">
        <v>251</v>
      </c>
      <c r="C44" s="331"/>
      <c r="D44" s="331"/>
      <c r="E44" s="331"/>
      <c r="F44" s="331"/>
      <c r="G44" s="331"/>
      <c r="H44" s="332"/>
      <c r="I44" s="333"/>
      <c r="J44" s="333"/>
      <c r="K44" s="804"/>
      <c r="L44" s="2337"/>
      <c r="M44" s="804"/>
      <c r="N44" s="804"/>
      <c r="O44" s="804"/>
      <c r="P44" s="335"/>
      <c r="Q44" s="2338"/>
      <c r="R44" s="2338" t="e">
        <v>#DIV/0!</v>
      </c>
      <c r="S44" s="2337"/>
      <c r="T44" s="2337"/>
      <c r="U44" s="2337"/>
      <c r="V44" s="2337"/>
      <c r="W44" s="804">
        <v>0</v>
      </c>
      <c r="X44" s="804">
        <v>0</v>
      </c>
      <c r="Y44" s="335" t="s">
        <v>3</v>
      </c>
      <c r="Z44" s="358" t="s">
        <v>3</v>
      </c>
    </row>
    <row r="45" spans="2:30" ht="15.75" customHeight="1" x14ac:dyDescent="0.2">
      <c r="B45" s="330" t="s">
        <v>252</v>
      </c>
      <c r="C45" s="331">
        <v>254270.84157258499</v>
      </c>
      <c r="D45" s="874">
        <v>794711.22314320831</v>
      </c>
      <c r="E45" s="331">
        <v>1048982.0647157934</v>
      </c>
      <c r="F45" s="331">
        <v>642112.11304251454</v>
      </c>
      <c r="G45" s="331">
        <v>642112.11304251454</v>
      </c>
      <c r="H45" s="332">
        <v>1.4664569361099005E-2</v>
      </c>
      <c r="I45" s="333">
        <v>2.5253076958067764</v>
      </c>
      <c r="J45" s="333">
        <v>0.61212878145489136</v>
      </c>
      <c r="K45" s="804">
        <v>64.521748345408383</v>
      </c>
      <c r="L45" s="804" t="s">
        <v>244</v>
      </c>
      <c r="M45" s="804">
        <v>55114.102743642012</v>
      </c>
      <c r="N45" s="804">
        <v>815365.71720952215</v>
      </c>
      <c r="O45" s="804">
        <v>519.70665912642357</v>
      </c>
      <c r="P45" s="335">
        <v>4.6135349922197149</v>
      </c>
      <c r="Q45" s="2338">
        <v>0.31184882587753654</v>
      </c>
      <c r="R45" s="2338">
        <v>489.25838664447667</v>
      </c>
      <c r="S45" s="804"/>
      <c r="T45" s="804"/>
      <c r="U45" s="804"/>
      <c r="V45" s="804"/>
      <c r="W45" s="804">
        <v>5671.2411723207624</v>
      </c>
      <c r="X45" s="804">
        <v>83901.132300859827</v>
      </c>
      <c r="Y45" s="335">
        <v>44.835131119725119</v>
      </c>
      <c r="Z45" s="358">
        <v>3.030600834572756</v>
      </c>
    </row>
    <row r="46" spans="2:30" ht="15.75" customHeight="1" x14ac:dyDescent="0.2">
      <c r="B46" s="330" t="s">
        <v>253</v>
      </c>
      <c r="C46" s="331">
        <v>295186.14336910471</v>
      </c>
      <c r="D46" s="874">
        <v>975675.83236833895</v>
      </c>
      <c r="E46" s="331">
        <v>1270861.9757374437</v>
      </c>
      <c r="F46" s="331">
        <v>804185.39610579261</v>
      </c>
      <c r="G46" s="331">
        <v>804185.39610579261</v>
      </c>
      <c r="H46" s="332">
        <v>2.0077586876987772E-2</v>
      </c>
      <c r="I46" s="333">
        <v>2.7243331510321891</v>
      </c>
      <c r="J46" s="333">
        <v>0.63278736122319468</v>
      </c>
      <c r="K46" s="804">
        <v>80.76186902420848</v>
      </c>
      <c r="L46" s="804" t="s">
        <v>244</v>
      </c>
      <c r="M46" s="804">
        <v>69234.536927713416</v>
      </c>
      <c r="N46" s="804">
        <v>977631.5928515112</v>
      </c>
      <c r="O46" s="804">
        <v>589.64801692021911</v>
      </c>
      <c r="P46" s="335">
        <v>4.2635678155441914</v>
      </c>
      <c r="Q46" s="2338">
        <v>0.30194006160144565</v>
      </c>
      <c r="R46" s="2338">
        <v>500.61415437448028</v>
      </c>
      <c r="S46" s="804"/>
      <c r="T46" s="804"/>
      <c r="U46" s="804"/>
      <c r="V46" s="804"/>
      <c r="W46" s="804">
        <v>7124.233849861711</v>
      </c>
      <c r="X46" s="804">
        <v>100598.2909044205</v>
      </c>
      <c r="Y46" s="335">
        <v>41.43408955825258</v>
      </c>
      <c r="Z46" s="358">
        <v>2.9343057492851861</v>
      </c>
    </row>
    <row r="47" spans="2:30" ht="19.5" customHeight="1" x14ac:dyDescent="0.25">
      <c r="B47" s="2363" t="s">
        <v>302</v>
      </c>
      <c r="C47" s="2330">
        <v>549456.98494168976</v>
      </c>
      <c r="D47" s="2330">
        <v>1770387.0555115473</v>
      </c>
      <c r="E47" s="2330">
        <v>2319844.040453237</v>
      </c>
      <c r="F47" s="2330">
        <v>1446297.5091483071</v>
      </c>
      <c r="G47" s="2330">
        <v>1446297.5091483071</v>
      </c>
      <c r="H47" s="2331">
        <v>1.7148345240948843E-2</v>
      </c>
      <c r="I47" s="2332">
        <v>2.6322306364014887</v>
      </c>
      <c r="J47" s="2332">
        <v>0.62344600926954485</v>
      </c>
      <c r="K47" s="2333">
        <v>145.28361736961688</v>
      </c>
      <c r="L47" s="2330" t="s">
        <v>244</v>
      </c>
      <c r="M47" s="2335">
        <v>124348.63967135543</v>
      </c>
      <c r="N47" s="2335">
        <v>1792997.3100610333</v>
      </c>
      <c r="O47" s="2335">
        <v>1109.3546760466427</v>
      </c>
      <c r="P47" s="2336">
        <v>4.4186811081638311</v>
      </c>
      <c r="Q47" s="2339">
        <v>0.30644607320854617</v>
      </c>
      <c r="R47" s="2339">
        <v>495.29424340623405</v>
      </c>
      <c r="S47" s="2335">
        <v>0</v>
      </c>
      <c r="T47" s="2335">
        <v>0</v>
      </c>
      <c r="U47" s="2335">
        <v>0</v>
      </c>
      <c r="V47" s="2335">
        <v>0</v>
      </c>
      <c r="W47" s="2333">
        <v>12795.475022182474</v>
      </c>
      <c r="X47" s="2333">
        <v>184499.42320528033</v>
      </c>
      <c r="Y47" s="2336">
        <v>42.941507367967262</v>
      </c>
      <c r="Z47" s="2365">
        <v>2.9780959495485537</v>
      </c>
    </row>
    <row r="48" spans="2:30" ht="15.75" customHeight="1" thickBot="1" x14ac:dyDescent="0.3">
      <c r="B48" s="2369" t="s">
        <v>127</v>
      </c>
      <c r="C48" s="2370">
        <v>8677690.073460184</v>
      </c>
      <c r="D48" s="2370">
        <v>16478873.029231748</v>
      </c>
      <c r="E48" s="2370">
        <v>25156563.102691934</v>
      </c>
      <c r="F48" s="2370">
        <v>22384366.771341201</v>
      </c>
      <c r="G48" s="2370">
        <v>22384366.771341197</v>
      </c>
      <c r="H48" s="2371">
        <v>0.27082743390629926</v>
      </c>
      <c r="I48" s="2372">
        <v>2.5795305642225537</v>
      </c>
      <c r="J48" s="2372">
        <v>0.88980226273222152</v>
      </c>
      <c r="K48" s="2381">
        <v>785.87850411734735</v>
      </c>
      <c r="L48" s="2379" t="s">
        <v>244</v>
      </c>
      <c r="M48" s="2383">
        <v>2169258.0584594836</v>
      </c>
      <c r="N48" s="2384">
        <v>23618020.480872877</v>
      </c>
      <c r="O48" s="2384">
        <v>19130.069509627352</v>
      </c>
      <c r="P48" s="2376">
        <v>4.0003032555853295</v>
      </c>
      <c r="Q48" s="2376">
        <v>0.36741817886422096</v>
      </c>
      <c r="R48" s="2376">
        <v>453.61518781168417</v>
      </c>
      <c r="S48" s="2383">
        <v>0</v>
      </c>
      <c r="T48" s="2384">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v>311292</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v>311292</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v>622584</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v>1852820</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v>1739271</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v>3592091</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v>4214675</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v>0</v>
      </c>
      <c r="D62" s="2115">
        <v>0</v>
      </c>
      <c r="E62" s="2115">
        <v>0</v>
      </c>
      <c r="F62" s="2115">
        <v>0</v>
      </c>
      <c r="G62" s="2115">
        <v>0</v>
      </c>
      <c r="H62" s="498" t="e">
        <v>#DIV/0!</v>
      </c>
      <c r="I62" s="2116"/>
      <c r="J62" s="2117"/>
      <c r="K62" s="903"/>
      <c r="L62" s="2117"/>
      <c r="M62" s="355">
        <v>0</v>
      </c>
      <c r="N62" s="355">
        <v>0</v>
      </c>
      <c r="O62" s="355">
        <v>0</v>
      </c>
      <c r="P62" s="362" t="e">
        <v>#DIV/0!</v>
      </c>
      <c r="Q62" s="329" t="e">
        <v>#DIV/0!</v>
      </c>
      <c r="R62" s="329" t="e">
        <v>#DIV/0!</v>
      </c>
      <c r="S62" s="2117"/>
      <c r="T62" s="2117"/>
      <c r="U62" s="2117"/>
      <c r="V62" s="2117"/>
      <c r="W62" s="2119">
        <v>0</v>
      </c>
      <c r="X62" s="2119">
        <v>0</v>
      </c>
      <c r="Y62" s="2118" t="s">
        <v>3</v>
      </c>
      <c r="Z62" s="1997" t="s">
        <v>3</v>
      </c>
    </row>
    <row r="63" spans="2:27" s="284" customFormat="1" ht="15.75" x14ac:dyDescent="0.25">
      <c r="B63" s="434" t="s">
        <v>92</v>
      </c>
      <c r="C63" s="351">
        <v>10319727.504467178</v>
      </c>
      <c r="D63" s="351">
        <v>3764016.6369281961</v>
      </c>
      <c r="E63" s="351">
        <v>14083744.141395375</v>
      </c>
      <c r="F63" s="351">
        <v>13646045.311568843</v>
      </c>
      <c r="G63" s="351">
        <v>14178667.968761422</v>
      </c>
      <c r="H63" s="497">
        <v>0.59516993313486033</v>
      </c>
      <c r="I63" s="400"/>
      <c r="J63" s="400"/>
      <c r="K63" s="353"/>
      <c r="L63" s="400"/>
      <c r="M63" s="424">
        <v>1248584.55176736</v>
      </c>
      <c r="N63" s="424">
        <v>22759880.30529831</v>
      </c>
      <c r="O63" s="424">
        <v>14589.115402547579</v>
      </c>
      <c r="P63" s="2120">
        <v>8.2651411070717629</v>
      </c>
      <c r="Q63" s="2378">
        <v>0.45341747698316465</v>
      </c>
      <c r="R63" s="2378">
        <v>707.3580007918182</v>
      </c>
      <c r="S63" s="424">
        <v>0</v>
      </c>
      <c r="T63" s="424">
        <v>0</v>
      </c>
      <c r="U63" s="424">
        <v>0</v>
      </c>
      <c r="V63" s="424">
        <v>0</v>
      </c>
      <c r="W63" s="2121">
        <v>128479.35037686132</v>
      </c>
      <c r="X63" s="2121">
        <v>2341991.6834151959</v>
      </c>
      <c r="Y63" s="2120">
        <v>80.322071011387408</v>
      </c>
      <c r="Z63" s="356">
        <v>4.4063894750550503</v>
      </c>
    </row>
    <row r="64" spans="2:27" s="284" customFormat="1" ht="19.5" customHeight="1" x14ac:dyDescent="0.25">
      <c r="B64" s="437" t="s">
        <v>93</v>
      </c>
      <c r="C64" s="331">
        <v>8829307.173556041</v>
      </c>
      <c r="D64" s="331">
        <v>4004804.9815443619</v>
      </c>
      <c r="E64" s="331">
        <v>12834112.155100403</v>
      </c>
      <c r="F64" s="331">
        <v>12301045.655383773</v>
      </c>
      <c r="G64" s="331">
        <v>12701451.355285037</v>
      </c>
      <c r="H64" s="494">
        <v>0.60054032285323267</v>
      </c>
      <c r="I64" s="402"/>
      <c r="J64" s="402"/>
      <c r="K64" s="811"/>
      <c r="L64" s="402"/>
      <c r="M64" s="2350">
        <v>1051020.6570871165</v>
      </c>
      <c r="N64" s="2350">
        <v>18961116.238601152</v>
      </c>
      <c r="O64" s="2350">
        <v>12690.580209272995</v>
      </c>
      <c r="P64" s="335">
        <v>8.4006980395859152</v>
      </c>
      <c r="Q64" s="2338">
        <v>0.46565334352949567</v>
      </c>
      <c r="R64" s="2338">
        <v>695.73707647381434</v>
      </c>
      <c r="S64" s="2350">
        <v>0</v>
      </c>
      <c r="T64" s="2350">
        <v>0</v>
      </c>
      <c r="U64" s="2350">
        <v>0</v>
      </c>
      <c r="V64" s="2350">
        <v>0</v>
      </c>
      <c r="W64" s="804">
        <v>108150.02561426428</v>
      </c>
      <c r="X64" s="804">
        <v>1951098.8609520586</v>
      </c>
      <c r="Y64" s="335">
        <v>81.639436730669743</v>
      </c>
      <c r="Z64" s="358">
        <v>4.5252997427550596</v>
      </c>
    </row>
    <row r="65" spans="2:26" ht="15.75" x14ac:dyDescent="0.25">
      <c r="B65" s="2363" t="s">
        <v>94</v>
      </c>
      <c r="C65" s="2347">
        <v>19149034.678023219</v>
      </c>
      <c r="D65" s="2347">
        <v>7768821.6184725575</v>
      </c>
      <c r="E65" s="2347">
        <v>26917856.29649578</v>
      </c>
      <c r="F65" s="2347">
        <v>25947090.966952614</v>
      </c>
      <c r="G65" s="2347">
        <v>26880119.324046459</v>
      </c>
      <c r="H65" s="2351">
        <v>0.59763414914907675</v>
      </c>
      <c r="I65" s="402"/>
      <c r="J65" s="402"/>
      <c r="K65" s="2333"/>
      <c r="L65" s="402"/>
      <c r="M65" s="2352">
        <v>2299605.2088544765</v>
      </c>
      <c r="N65" s="2352">
        <v>41720996.543899462</v>
      </c>
      <c r="O65" s="2352">
        <v>27279.695611820574</v>
      </c>
      <c r="P65" s="2336">
        <v>8.3270965834879558</v>
      </c>
      <c r="Q65" s="2339">
        <v>0.45897836255838992</v>
      </c>
      <c r="R65" s="2339">
        <v>701.95191876428942</v>
      </c>
      <c r="S65" s="2352">
        <v>0</v>
      </c>
      <c r="T65" s="2352">
        <v>0</v>
      </c>
      <c r="U65" s="2352">
        <v>0</v>
      </c>
      <c r="V65" s="2352">
        <v>0</v>
      </c>
      <c r="W65" s="2333">
        <v>236629.37599112565</v>
      </c>
      <c r="X65" s="2333">
        <v>4293090.5443672547</v>
      </c>
      <c r="Y65" s="2336">
        <v>80.92416504847381</v>
      </c>
      <c r="Z65" s="2365">
        <v>4.4604311230164226</v>
      </c>
    </row>
    <row r="66" spans="2:26" s="284" customFormat="1" ht="15.75" hidden="1" x14ac:dyDescent="0.25">
      <c r="B66" s="437" t="s">
        <v>95</v>
      </c>
      <c r="C66" s="331">
        <v>0</v>
      </c>
      <c r="D66" s="331">
        <v>0</v>
      </c>
      <c r="E66" s="331">
        <v>0</v>
      </c>
      <c r="F66" s="331">
        <v>0</v>
      </c>
      <c r="G66" s="331">
        <v>0</v>
      </c>
      <c r="H66" s="494" t="e">
        <v>#DIV/0!</v>
      </c>
      <c r="I66" s="402"/>
      <c r="J66" s="402"/>
      <c r="K66" s="811"/>
      <c r="L66" s="402"/>
      <c r="M66" s="2350">
        <v>0</v>
      </c>
      <c r="N66" s="2350">
        <v>0</v>
      </c>
      <c r="O66" s="2350">
        <v>0</v>
      </c>
      <c r="P66" s="438" t="e">
        <v>#DIV/0!</v>
      </c>
      <c r="Q66" s="438" t="e">
        <v>#DIV/0!</v>
      </c>
      <c r="R66" s="438" t="e">
        <v>#DIV/0!</v>
      </c>
      <c r="S66" s="402"/>
      <c r="T66" s="402"/>
      <c r="U66" s="402"/>
      <c r="V66" s="402"/>
      <c r="W66" s="804">
        <v>0</v>
      </c>
      <c r="X66" s="804">
        <v>0</v>
      </c>
      <c r="Y66" s="2008" t="s">
        <v>3</v>
      </c>
      <c r="Z66" s="2009" t="s">
        <v>3</v>
      </c>
    </row>
    <row r="67" spans="2:26" s="284" customFormat="1" ht="15.75" x14ac:dyDescent="0.25">
      <c r="B67" s="437" t="s">
        <v>96</v>
      </c>
      <c r="C67" s="331">
        <v>4855288.2470162269</v>
      </c>
      <c r="D67" s="331">
        <v>8691233.6978404429</v>
      </c>
      <c r="E67" s="331">
        <v>13546521.94485667</v>
      </c>
      <c r="F67" s="331">
        <v>12651006.516406583</v>
      </c>
      <c r="G67" s="331">
        <v>12651006.516406583</v>
      </c>
      <c r="H67" s="494">
        <v>0.28001917493230566</v>
      </c>
      <c r="I67" s="402"/>
      <c r="J67" s="402"/>
      <c r="K67" s="811"/>
      <c r="L67" s="402"/>
      <c r="M67" s="2350">
        <v>1245945.7888435288</v>
      </c>
      <c r="N67" s="2350">
        <v>13197873.825938303</v>
      </c>
      <c r="O67" s="2350">
        <v>10562.117785418362</v>
      </c>
      <c r="P67" s="438">
        <v>3.8968695833250049</v>
      </c>
      <c r="Q67" s="438">
        <v>0.36788412368922158</v>
      </c>
      <c r="R67" s="438">
        <v>459.68889437298679</v>
      </c>
      <c r="S67" s="2350">
        <v>0</v>
      </c>
      <c r="T67" s="2350">
        <v>0</v>
      </c>
      <c r="U67" s="2350"/>
      <c r="V67" s="2350"/>
      <c r="W67" s="804">
        <v>128207.82167199912</v>
      </c>
      <c r="X67" s="804">
        <v>1358061.2166890514</v>
      </c>
      <c r="Y67" s="335">
        <v>37.870452704810546</v>
      </c>
      <c r="Z67" s="358">
        <v>3.5751615518874789</v>
      </c>
    </row>
    <row r="68" spans="2:26" s="284" customFormat="1" ht="15.75" x14ac:dyDescent="0.25">
      <c r="B68" s="437" t="s">
        <v>97</v>
      </c>
      <c r="C68" s="331">
        <v>3822401.8264439558</v>
      </c>
      <c r="D68" s="331">
        <v>7787639.3313913066</v>
      </c>
      <c r="E68" s="331">
        <v>11610041.157835262</v>
      </c>
      <c r="F68" s="331">
        <v>9733360.2549346164</v>
      </c>
      <c r="G68" s="331">
        <v>9733360.2549346164</v>
      </c>
      <c r="H68" s="494">
        <v>0.25998715208397427</v>
      </c>
      <c r="I68" s="402"/>
      <c r="J68" s="402"/>
      <c r="K68" s="811"/>
      <c r="L68" s="402"/>
      <c r="M68" s="2350">
        <v>923312.2696159546</v>
      </c>
      <c r="N68" s="2350">
        <v>10420146.654934574</v>
      </c>
      <c r="O68" s="2350">
        <v>8567.9517242089878</v>
      </c>
      <c r="P68" s="438">
        <v>4.1398798133960222</v>
      </c>
      <c r="Q68" s="438">
        <v>0.36682802584489688</v>
      </c>
      <c r="R68" s="438">
        <v>446.12784355958172</v>
      </c>
      <c r="S68" s="2350">
        <v>0</v>
      </c>
      <c r="T68" s="2350">
        <v>0</v>
      </c>
      <c r="U68" s="2350"/>
      <c r="V68" s="2350"/>
      <c r="W68" s="804">
        <v>95008.832543481738</v>
      </c>
      <c r="X68" s="804">
        <v>1072233.0907927677</v>
      </c>
      <c r="Y68" s="335">
        <v>40.232068157395737</v>
      </c>
      <c r="Z68" s="358">
        <v>3.564898210348852</v>
      </c>
    </row>
    <row r="69" spans="2:26" ht="15.75" x14ac:dyDescent="0.25">
      <c r="B69" s="2363" t="s">
        <v>98</v>
      </c>
      <c r="C69" s="2347">
        <v>8677690.0734601822</v>
      </c>
      <c r="D69" s="2347">
        <v>16478873.029231749</v>
      </c>
      <c r="E69" s="2347">
        <v>25156563.102691934</v>
      </c>
      <c r="F69" s="2347">
        <v>22384366.771341197</v>
      </c>
      <c r="G69" s="2347">
        <v>22384366.771341197</v>
      </c>
      <c r="H69" s="2351">
        <v>0.27082743390629921</v>
      </c>
      <c r="I69" s="402"/>
      <c r="J69" s="402"/>
      <c r="K69" s="2333"/>
      <c r="L69" s="402"/>
      <c r="M69" s="2352">
        <v>2169258.0584594836</v>
      </c>
      <c r="N69" s="2352">
        <v>23618020.480872877</v>
      </c>
      <c r="O69" s="2352">
        <v>19130.069509627348</v>
      </c>
      <c r="P69" s="2353">
        <v>4.0003032555853295</v>
      </c>
      <c r="Q69" s="2353">
        <v>0.36741817886422085</v>
      </c>
      <c r="R69" s="2353">
        <v>453.61518781168417</v>
      </c>
      <c r="S69" s="2352">
        <v>0</v>
      </c>
      <c r="T69" s="2352">
        <v>0</v>
      </c>
      <c r="U69" s="2352"/>
      <c r="V69" s="2352"/>
      <c r="W69" s="2333">
        <v>223216.65421548087</v>
      </c>
      <c r="X69" s="2333">
        <v>2430294.3074818188</v>
      </c>
      <c r="Y69" s="2336">
        <v>38.875639024152854</v>
      </c>
      <c r="Z69" s="2365">
        <v>3.5706334194773652</v>
      </c>
    </row>
    <row r="70" spans="2:26" s="284" customFormat="1" ht="15.75" hidden="1" x14ac:dyDescent="0.25">
      <c r="B70" s="437" t="s">
        <v>99</v>
      </c>
      <c r="C70" s="331">
        <v>0</v>
      </c>
      <c r="D70" s="331"/>
      <c r="E70" s="331"/>
      <c r="F70" s="331"/>
      <c r="G70" s="331"/>
      <c r="H70" s="494" t="e">
        <v>#DIV/0!</v>
      </c>
      <c r="I70" s="402"/>
      <c r="J70" s="402"/>
      <c r="K70" s="814"/>
      <c r="L70" s="402"/>
      <c r="M70" s="450"/>
      <c r="N70" s="450"/>
      <c r="O70" s="450"/>
      <c r="P70" s="450"/>
      <c r="Q70" s="438"/>
      <c r="R70" s="438"/>
      <c r="S70" s="402"/>
      <c r="T70" s="402"/>
      <c r="U70" s="402"/>
      <c r="V70" s="402"/>
      <c r="W70" s="804">
        <v>0</v>
      </c>
      <c r="X70" s="804">
        <v>0</v>
      </c>
      <c r="Y70" s="2029"/>
      <c r="Z70" s="439"/>
    </row>
    <row r="71" spans="2:26" s="284" customFormat="1" ht="15.75" x14ac:dyDescent="0.25">
      <c r="B71" s="437" t="s">
        <v>100</v>
      </c>
      <c r="C71" s="331">
        <v>2164112</v>
      </c>
      <c r="D71" s="331"/>
      <c r="E71" s="331"/>
      <c r="F71" s="331"/>
      <c r="G71" s="331"/>
      <c r="H71" s="494">
        <v>0.12481089193283411</v>
      </c>
      <c r="I71" s="402"/>
      <c r="J71" s="402"/>
      <c r="K71" s="814"/>
      <c r="L71" s="402"/>
      <c r="M71" s="450"/>
      <c r="N71" s="450"/>
      <c r="O71" s="450"/>
      <c r="P71" s="450"/>
      <c r="Q71" s="438"/>
      <c r="R71" s="438"/>
      <c r="S71" s="402"/>
      <c r="T71" s="402"/>
      <c r="U71" s="402"/>
      <c r="V71" s="402"/>
      <c r="W71" s="804">
        <v>0</v>
      </c>
      <c r="X71" s="804">
        <v>0</v>
      </c>
      <c r="Y71" s="450"/>
      <c r="Z71" s="439"/>
    </row>
    <row r="72" spans="2:26" s="284" customFormat="1" ht="15.75" x14ac:dyDescent="0.25">
      <c r="B72" s="437" t="s">
        <v>101</v>
      </c>
      <c r="C72" s="331">
        <v>2050563</v>
      </c>
      <c r="D72" s="331"/>
      <c r="E72" s="331"/>
      <c r="F72" s="331"/>
      <c r="G72" s="331"/>
      <c r="H72" s="494">
        <v>0.13947252506279306</v>
      </c>
      <c r="I72" s="402"/>
      <c r="J72" s="402"/>
      <c r="K72" s="814"/>
      <c r="L72" s="402"/>
      <c r="M72" s="450"/>
      <c r="N72" s="450"/>
      <c r="O72" s="450"/>
      <c r="P72" s="450"/>
      <c r="Q72" s="438"/>
      <c r="R72" s="438"/>
      <c r="S72" s="402"/>
      <c r="T72" s="402"/>
      <c r="U72" s="402"/>
      <c r="V72" s="402"/>
      <c r="W72" s="804">
        <v>0</v>
      </c>
      <c r="X72" s="804">
        <v>0</v>
      </c>
      <c r="Y72" s="450"/>
      <c r="Z72" s="439"/>
    </row>
    <row r="73" spans="2:26" s="284" customFormat="1" ht="15.75" x14ac:dyDescent="0.25">
      <c r="B73" s="2363" t="s">
        <v>102</v>
      </c>
      <c r="C73" s="2347">
        <v>4214675</v>
      </c>
      <c r="D73" s="2347">
        <v>0</v>
      </c>
      <c r="E73" s="2347">
        <v>0</v>
      </c>
      <c r="F73" s="2347">
        <v>0</v>
      </c>
      <c r="G73" s="2347">
        <v>0</v>
      </c>
      <c r="H73" s="2351">
        <v>0.13153841694462415</v>
      </c>
      <c r="I73" s="402"/>
      <c r="J73" s="402"/>
      <c r="K73" s="811"/>
      <c r="L73" s="402"/>
      <c r="M73" s="2350">
        <v>0</v>
      </c>
      <c r="N73" s="2350">
        <v>0</v>
      </c>
      <c r="O73" s="2350">
        <v>0</v>
      </c>
      <c r="P73" s="438"/>
      <c r="Q73" s="438"/>
      <c r="R73" s="438"/>
      <c r="S73" s="402"/>
      <c r="T73" s="402"/>
      <c r="U73" s="402"/>
      <c r="V73" s="402"/>
      <c r="W73" s="2333">
        <v>0</v>
      </c>
      <c r="X73" s="2333">
        <v>0</v>
      </c>
      <c r="Y73" s="438"/>
      <c r="Z73" s="439"/>
    </row>
    <row r="74" spans="2:26" s="284" customFormat="1" ht="15.75" hidden="1" x14ac:dyDescent="0.25">
      <c r="B74" s="2363" t="s">
        <v>103</v>
      </c>
      <c r="C74" s="331">
        <v>0</v>
      </c>
      <c r="D74" s="331">
        <v>0</v>
      </c>
      <c r="E74" s="331">
        <v>0</v>
      </c>
      <c r="F74" s="331">
        <v>0</v>
      </c>
      <c r="G74" s="331">
        <v>0</v>
      </c>
      <c r="H74" s="494">
        <v>0</v>
      </c>
      <c r="I74" s="402"/>
      <c r="J74" s="402"/>
      <c r="K74" s="814"/>
      <c r="L74" s="402"/>
      <c r="M74" s="450">
        <v>0</v>
      </c>
      <c r="N74" s="450">
        <v>0</v>
      </c>
      <c r="O74" s="450">
        <v>0</v>
      </c>
      <c r="P74" s="438" t="e">
        <v>#DIV/0!</v>
      </c>
      <c r="Q74" s="438" t="e">
        <v>#DIV/0!</v>
      </c>
      <c r="R74" s="438" t="e">
        <v>#DIV/0!</v>
      </c>
      <c r="S74" s="402"/>
      <c r="T74" s="402"/>
      <c r="U74" s="402"/>
      <c r="V74" s="402"/>
      <c r="W74" s="804">
        <v>0</v>
      </c>
      <c r="X74" s="804">
        <v>0</v>
      </c>
      <c r="Y74" s="2008"/>
      <c r="Z74" s="2009"/>
    </row>
    <row r="75" spans="2:26" s="284" customFormat="1" ht="15.75" x14ac:dyDescent="0.25">
      <c r="B75" s="2363" t="s">
        <v>104</v>
      </c>
      <c r="C75" s="331">
        <v>17339127.751483403</v>
      </c>
      <c r="D75" s="331">
        <v>12455250.334768638</v>
      </c>
      <c r="E75" s="331">
        <v>27630266.086252045</v>
      </c>
      <c r="F75" s="331">
        <v>26297051.827975426</v>
      </c>
      <c r="G75" s="331">
        <v>26829674.485168003</v>
      </c>
      <c r="H75" s="494">
        <v>0.54114763668152999</v>
      </c>
      <c r="I75" s="402"/>
      <c r="J75" s="402"/>
      <c r="K75" s="814"/>
      <c r="L75" s="402"/>
      <c r="M75" s="450">
        <v>2494530.3406108888</v>
      </c>
      <c r="N75" s="450">
        <v>35957754.131236613</v>
      </c>
      <c r="O75" s="450">
        <v>25151.23318796594</v>
      </c>
      <c r="P75" s="438">
        <v>6.9508586322655033</v>
      </c>
      <c r="Q75" s="438">
        <v>0.48220830723187041</v>
      </c>
      <c r="R75" s="438">
        <v>689.39473551458389</v>
      </c>
      <c r="S75" s="450">
        <v>0</v>
      </c>
      <c r="T75" s="450">
        <v>0</v>
      </c>
      <c r="U75" s="450">
        <v>0</v>
      </c>
      <c r="V75" s="450">
        <v>0</v>
      </c>
      <c r="W75" s="804">
        <v>256687.17204886043</v>
      </c>
      <c r="X75" s="804">
        <v>3700052.9001042475</v>
      </c>
      <c r="Y75" s="335">
        <v>67.549646572065157</v>
      </c>
      <c r="Z75" s="358">
        <v>4.6861837437499556</v>
      </c>
    </row>
    <row r="76" spans="2:26" s="284" customFormat="1" ht="15.75" x14ac:dyDescent="0.25">
      <c r="B76" s="2363" t="s">
        <v>105</v>
      </c>
      <c r="C76" s="331">
        <v>14702271.999999996</v>
      </c>
      <c r="D76" s="331">
        <v>11792444.312935669</v>
      </c>
      <c r="E76" s="331">
        <v>24444153.312935665</v>
      </c>
      <c r="F76" s="331">
        <v>22034405.91031839</v>
      </c>
      <c r="G76" s="331">
        <v>22434811.610219654</v>
      </c>
      <c r="H76" s="494">
        <v>0.45885236331847001</v>
      </c>
      <c r="I76" s="402"/>
      <c r="J76" s="402"/>
      <c r="K76" s="814"/>
      <c r="L76" s="402"/>
      <c r="M76" s="450">
        <v>1974332.9267030712</v>
      </c>
      <c r="N76" s="450">
        <v>29381262.893535726</v>
      </c>
      <c r="O76" s="450">
        <v>21258.531933481983</v>
      </c>
      <c r="P76" s="438">
        <v>7.4467035428271195</v>
      </c>
      <c r="Q76" s="438">
        <v>0.50039618968300692</v>
      </c>
      <c r="R76" s="438">
        <v>691.59394665649791</v>
      </c>
      <c r="S76" s="450">
        <v>0</v>
      </c>
      <c r="T76" s="450">
        <v>0</v>
      </c>
      <c r="U76" s="450">
        <v>0</v>
      </c>
      <c r="V76" s="450">
        <v>0</v>
      </c>
      <c r="W76" s="804">
        <v>203158.85815774603</v>
      </c>
      <c r="X76" s="804">
        <v>3023331.951744826</v>
      </c>
      <c r="Y76" s="335">
        <v>72.36835318588065</v>
      </c>
      <c r="Z76" s="358">
        <v>4.8629367316132841</v>
      </c>
    </row>
    <row r="77" spans="2:26" ht="16.5" thickBot="1" x14ac:dyDescent="0.3">
      <c r="B77" s="2369" t="s">
        <v>106</v>
      </c>
      <c r="C77" s="2370">
        <v>32041399.751483399</v>
      </c>
      <c r="D77" s="2370">
        <v>24247694.647704307</v>
      </c>
      <c r="E77" s="2370">
        <v>52074419.399187714</v>
      </c>
      <c r="F77" s="2370">
        <v>48331457.738293812</v>
      </c>
      <c r="G77" s="2370">
        <v>49264486.095387653</v>
      </c>
      <c r="H77" s="2396">
        <v>1</v>
      </c>
      <c r="I77" s="2372">
        <v>1.5084065650426599</v>
      </c>
      <c r="J77" s="2372">
        <v>0.94604004545379738</v>
      </c>
      <c r="K77" s="2397"/>
      <c r="L77" s="2398"/>
      <c r="M77" s="2384">
        <v>4468863.26731396</v>
      </c>
      <c r="N77" s="2384">
        <v>65339017.024772339</v>
      </c>
      <c r="O77" s="2384">
        <v>46409.765121447927</v>
      </c>
      <c r="P77" s="2376">
        <v>7.1699217082428426</v>
      </c>
      <c r="Q77" s="2376">
        <v>0.49038692668632233</v>
      </c>
      <c r="R77" s="2376">
        <v>690.40210972056195</v>
      </c>
      <c r="S77" s="2384">
        <v>0</v>
      </c>
      <c r="T77" s="2384">
        <v>0</v>
      </c>
      <c r="U77" s="2384">
        <v>0</v>
      </c>
      <c r="V77" s="2384">
        <v>0</v>
      </c>
      <c r="W77" s="2381">
        <v>459846.03020660649</v>
      </c>
      <c r="X77" s="2381">
        <v>6723384.8518490735</v>
      </c>
      <c r="Y77" s="2382">
        <v>69.678539438705954</v>
      </c>
      <c r="Z77" s="2377">
        <v>4.7656649823743669</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S82" s="704"/>
      <c r="T82" s="704"/>
      <c r="U82" s="704"/>
      <c r="V82" s="704"/>
      <c r="W82" s="704"/>
      <c r="X82" s="704"/>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indexed="47"/>
    <pageSetUpPr fitToPage="1"/>
  </sheetPr>
  <dimension ref="A1:X75"/>
  <sheetViews>
    <sheetView topLeftCell="A21" zoomScale="75" workbookViewId="0">
      <selection activeCell="E64" sqref="E64"/>
    </sheetView>
  </sheetViews>
  <sheetFormatPr defaultRowHeight="12.75" x14ac:dyDescent="0.2"/>
  <cols>
    <col min="1" max="1" width="7.140625" style="49" customWidth="1"/>
    <col min="2" max="2" width="60.57031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3" width="14.42578125" style="50" bestFit="1" customWidth="1"/>
    <col min="14"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621</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f>25000-10000-11000</f>
        <v>4000</v>
      </c>
      <c r="F12" s="633">
        <f>358468+19500+170000</f>
        <v>547968</v>
      </c>
      <c r="G12" s="633">
        <f>12500-8500</f>
        <v>4000</v>
      </c>
      <c r="H12" s="633">
        <v>2500</v>
      </c>
      <c r="I12" s="634">
        <f t="shared" ref="I12:I17" si="0">SUM(C12:H12)</f>
        <v>598443</v>
      </c>
      <c r="J12" s="85"/>
      <c r="K12" s="2197"/>
      <c r="L12" s="583"/>
      <c r="M12" s="583"/>
      <c r="N12" s="572"/>
      <c r="O12" s="584"/>
      <c r="P12" s="584"/>
      <c r="Q12" s="584"/>
    </row>
    <row r="13" spans="1:20" ht="20.25" x14ac:dyDescent="0.3">
      <c r="A13" s="83"/>
      <c r="B13" s="614" t="s">
        <v>149</v>
      </c>
      <c r="C13" s="638">
        <v>252240.9</v>
      </c>
      <c r="D13" s="638">
        <v>2000</v>
      </c>
      <c r="E13" s="638">
        <f>236634+60000</f>
        <v>296634</v>
      </c>
      <c r="F13" s="638">
        <f>3249313.1-80000-750000+3361977-3024215+3397061-3361977</f>
        <v>2792159.0999999996</v>
      </c>
      <c r="G13" s="638">
        <f>30000+20000</f>
        <v>50000</v>
      </c>
      <c r="H13" s="638">
        <v>4027</v>
      </c>
      <c r="I13" s="640">
        <f t="shared" si="0"/>
        <v>3397060.9999999995</v>
      </c>
      <c r="J13" s="796"/>
      <c r="K13" s="585"/>
      <c r="L13" s="1178"/>
      <c r="M13" s="583"/>
      <c r="N13" s="583"/>
      <c r="O13" s="583"/>
      <c r="P13" s="583"/>
      <c r="Q13" s="583"/>
      <c r="R13" s="586"/>
      <c r="S13" s="587"/>
    </row>
    <row r="14" spans="1:20" ht="20.25" x14ac:dyDescent="0.3">
      <c r="A14" s="83"/>
      <c r="B14" s="614" t="s">
        <v>595</v>
      </c>
      <c r="C14" s="638">
        <v>58566</v>
      </c>
      <c r="D14" s="638">
        <f>2300+4000</f>
        <v>6300</v>
      </c>
      <c r="E14" s="638">
        <f>38000+90000</f>
        <v>128000</v>
      </c>
      <c r="F14" s="638">
        <f>1497874.9-86000+2358338-1627741+2255924-2358338</f>
        <v>2040057.9000000004</v>
      </c>
      <c r="G14" s="638">
        <f>28000-8000</f>
        <v>20000</v>
      </c>
      <c r="H14" s="638">
        <v>3000</v>
      </c>
      <c r="I14" s="640">
        <f t="shared" si="0"/>
        <v>2255923.9000000004</v>
      </c>
      <c r="J14" s="796"/>
      <c r="K14" s="585"/>
      <c r="L14" s="1178"/>
      <c r="M14" s="583"/>
      <c r="N14" s="583"/>
      <c r="O14" s="583"/>
      <c r="P14" s="583"/>
      <c r="Q14" s="583"/>
      <c r="R14" s="586"/>
      <c r="S14" s="587"/>
    </row>
    <row r="15" spans="1:20" ht="20.25" x14ac:dyDescent="0.3">
      <c r="A15" s="83"/>
      <c r="B15" s="614" t="s">
        <v>342</v>
      </c>
      <c r="C15" s="638">
        <v>234806</v>
      </c>
      <c r="D15" s="638">
        <v>2500</v>
      </c>
      <c r="E15" s="638">
        <f>60000-50000+20000</f>
        <v>30000</v>
      </c>
      <c r="F15" s="638">
        <f>3352500-20000+5073600-3612406+4343003-5073600+4240589-4343003</f>
        <v>3960683</v>
      </c>
      <c r="G15" s="638">
        <f>15000-5000</f>
        <v>10000</v>
      </c>
      <c r="H15" s="638">
        <v>2600</v>
      </c>
      <c r="I15" s="2294">
        <f t="shared" si="0"/>
        <v>4240589</v>
      </c>
      <c r="J15" s="749"/>
      <c r="K15" s="585"/>
      <c r="L15" s="1178"/>
      <c r="M15" s="601"/>
      <c r="N15" s="601"/>
      <c r="O15" s="601"/>
      <c r="P15" s="601"/>
      <c r="Q15" s="601"/>
    </row>
    <row r="16" spans="1:20" ht="24.6" customHeight="1" thickBot="1" x14ac:dyDescent="0.35">
      <c r="A16" s="83"/>
      <c r="B16" s="617" t="s">
        <v>529</v>
      </c>
      <c r="C16" s="641">
        <v>0</v>
      </c>
      <c r="D16" s="641">
        <v>0</v>
      </c>
      <c r="E16" s="641">
        <v>106598</v>
      </c>
      <c r="F16" s="641">
        <v>0</v>
      </c>
      <c r="G16" s="641">
        <v>0</v>
      </c>
      <c r="H16" s="641">
        <v>0</v>
      </c>
      <c r="I16" s="643">
        <f t="shared" si="0"/>
        <v>106598</v>
      </c>
      <c r="J16" s="796"/>
      <c r="K16" s="585"/>
      <c r="L16" s="1178"/>
      <c r="M16" s="2298"/>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f t="shared" si="0"/>
        <v>0</v>
      </c>
      <c r="J17" s="748"/>
      <c r="K17" s="588"/>
      <c r="L17" s="1178"/>
      <c r="M17" s="2298"/>
      <c r="N17" s="2047"/>
      <c r="O17" s="2047"/>
      <c r="P17" s="602"/>
      <c r="Q17" s="602"/>
    </row>
    <row r="18" spans="1:17" ht="21" thickBot="1" x14ac:dyDescent="0.35">
      <c r="A18" s="84"/>
      <c r="B18" s="232" t="s">
        <v>30</v>
      </c>
      <c r="C18" s="645">
        <f>SUM(C12:C17)</f>
        <v>584587.9</v>
      </c>
      <c r="D18" s="645">
        <f t="shared" ref="D18:I18" si="1">SUM(D12:D17)</f>
        <v>11800</v>
      </c>
      <c r="E18" s="645">
        <f t="shared" si="1"/>
        <v>565232</v>
      </c>
      <c r="F18" s="645">
        <f t="shared" si="1"/>
        <v>9340868</v>
      </c>
      <c r="G18" s="645">
        <f t="shared" si="1"/>
        <v>84000</v>
      </c>
      <c r="H18" s="645">
        <f t="shared" si="1"/>
        <v>12127</v>
      </c>
      <c r="I18" s="645">
        <f t="shared" si="1"/>
        <v>10598614.9</v>
      </c>
      <c r="J18" s="748"/>
      <c r="K18" s="520"/>
      <c r="L18" s="1178"/>
      <c r="M18" s="2298"/>
    </row>
    <row r="19" spans="1:17" s="51" customFormat="1" ht="15" x14ac:dyDescent="0.2">
      <c r="B19" s="663"/>
      <c r="C19" s="664"/>
      <c r="D19" s="622"/>
      <c r="E19" s="622"/>
      <c r="F19" s="665"/>
      <c r="G19" s="665"/>
      <c r="H19" s="665"/>
      <c r="I19" s="666"/>
      <c r="J19" s="52"/>
      <c r="K19" s="2297"/>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11177</v>
      </c>
      <c r="E21" s="644">
        <f>225489-38600</f>
        <v>186889</v>
      </c>
      <c r="F21" s="644">
        <f>1641410+2927427-2196830+2825013-2927427</f>
        <v>2269593</v>
      </c>
      <c r="G21" s="644">
        <v>11177</v>
      </c>
      <c r="H21" s="644">
        <v>11177</v>
      </c>
      <c r="I21" s="634">
        <f>SUM(C21:H21)</f>
        <v>2825013</v>
      </c>
      <c r="J21" s="85"/>
      <c r="K21" s="519"/>
      <c r="L21" s="625"/>
      <c r="M21" s="625"/>
      <c r="N21" s="625"/>
      <c r="O21" s="625"/>
      <c r="P21" s="625"/>
      <c r="Q21" s="625"/>
    </row>
    <row r="22" spans="1:17" ht="21" thickBot="1" x14ac:dyDescent="0.35">
      <c r="A22" s="84"/>
      <c r="B22" s="26" t="s">
        <v>152</v>
      </c>
      <c r="C22" s="645">
        <f>SUM(C21)</f>
        <v>335000</v>
      </c>
      <c r="D22" s="645">
        <f t="shared" ref="D22:I22" si="2">SUM(D21)</f>
        <v>11177</v>
      </c>
      <c r="E22" s="645">
        <f t="shared" si="2"/>
        <v>186889</v>
      </c>
      <c r="F22" s="645">
        <f t="shared" si="2"/>
        <v>2269593</v>
      </c>
      <c r="G22" s="645">
        <f t="shared" si="2"/>
        <v>11177</v>
      </c>
      <c r="H22" s="645">
        <f t="shared" si="2"/>
        <v>11177</v>
      </c>
      <c r="I22" s="645">
        <f t="shared" si="2"/>
        <v>2825013</v>
      </c>
      <c r="J22" s="85"/>
      <c r="K22" s="2307"/>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7683</v>
      </c>
      <c r="E25" s="633">
        <f>171650-29519</f>
        <v>142131</v>
      </c>
      <c r="F25" s="633">
        <f>1213801+1279000-1536500+1833959-1249481+1752028-1833959</f>
        <v>1458848</v>
      </c>
      <c r="G25" s="633">
        <v>7683</v>
      </c>
      <c r="H25" s="633">
        <v>7683</v>
      </c>
      <c r="I25" s="634">
        <f>SUM(C25:H25)</f>
        <v>1752028</v>
      </c>
      <c r="J25" s="85"/>
      <c r="K25" s="600"/>
      <c r="L25" s="625"/>
      <c r="M25" s="625"/>
      <c r="N25" s="625"/>
      <c r="O25" s="625"/>
      <c r="P25" s="625"/>
      <c r="Q25" s="625"/>
    </row>
    <row r="26" spans="1:17" ht="21" thickBot="1" x14ac:dyDescent="0.35">
      <c r="A26" s="83"/>
      <c r="B26" s="155" t="s">
        <v>581</v>
      </c>
      <c r="C26" s="635">
        <v>65000</v>
      </c>
      <c r="D26" s="635">
        <v>2128</v>
      </c>
      <c r="E26" s="635">
        <v>34385</v>
      </c>
      <c r="F26" s="635">
        <f>313349+683000-425500+829119-683000+808637-829119</f>
        <v>696486</v>
      </c>
      <c r="G26" s="635">
        <v>6383</v>
      </c>
      <c r="H26" s="635">
        <v>4255</v>
      </c>
      <c r="I26" s="926">
        <f>SUM(C26:H26)</f>
        <v>808637</v>
      </c>
      <c r="J26" s="85"/>
      <c r="K26" s="600"/>
      <c r="L26" s="625"/>
      <c r="M26" s="625"/>
      <c r="N26" s="625"/>
      <c r="O26" s="625"/>
      <c r="P26" s="625"/>
      <c r="Q26" s="625"/>
    </row>
    <row r="27" spans="1:17" ht="21" thickBot="1" x14ac:dyDescent="0.35">
      <c r="A27" s="84"/>
      <c r="B27" s="26" t="s">
        <v>152</v>
      </c>
      <c r="C27" s="645">
        <f>SUM(C25:C26)</f>
        <v>193000</v>
      </c>
      <c r="D27" s="645">
        <f t="shared" ref="D27:I27" si="3">SUM(D25:D26)</f>
        <v>9811</v>
      </c>
      <c r="E27" s="645">
        <f t="shared" si="3"/>
        <v>176516</v>
      </c>
      <c r="F27" s="645">
        <f t="shared" si="3"/>
        <v>2155334</v>
      </c>
      <c r="G27" s="645">
        <f t="shared" si="3"/>
        <v>14066</v>
      </c>
      <c r="H27" s="645">
        <f t="shared" si="3"/>
        <v>11938</v>
      </c>
      <c r="I27" s="645">
        <f t="shared" si="3"/>
        <v>2560665</v>
      </c>
      <c r="J27" s="85"/>
      <c r="K27" s="600"/>
      <c r="L27" s="309"/>
      <c r="M27" s="627"/>
      <c r="N27" s="257"/>
      <c r="O27" s="245"/>
      <c r="P27" s="245"/>
      <c r="Q27" s="12"/>
    </row>
    <row r="28" spans="1:17" ht="21" thickBot="1" x14ac:dyDescent="0.35">
      <c r="A28" s="84"/>
      <c r="B28" s="690" t="s">
        <v>245</v>
      </c>
      <c r="C28" s="703">
        <v>28000</v>
      </c>
      <c r="D28" s="703">
        <v>1273</v>
      </c>
      <c r="E28" s="703">
        <v>13280</v>
      </c>
      <c r="F28" s="703">
        <v>208129</v>
      </c>
      <c r="G28" s="703">
        <v>2545</v>
      </c>
      <c r="H28" s="703">
        <v>1273</v>
      </c>
      <c r="I28" s="703">
        <f>SUM(C28:H28)</f>
        <v>254500</v>
      </c>
      <c r="J28" s="85"/>
      <c r="L28" s="624"/>
      <c r="M28" s="623"/>
      <c r="N28" s="623"/>
      <c r="O28" s="741"/>
      <c r="P28" s="741"/>
      <c r="Q28" s="741"/>
    </row>
    <row r="29" spans="1:17" ht="21" thickBot="1" x14ac:dyDescent="0.35">
      <c r="A29" s="84"/>
      <c r="B29" s="26" t="s">
        <v>31</v>
      </c>
      <c r="C29" s="645">
        <f>C22+C27+C28</f>
        <v>556000</v>
      </c>
      <c r="D29" s="645">
        <f t="shared" ref="D29:I29" si="4">D22+D27+D28</f>
        <v>22261</v>
      </c>
      <c r="E29" s="645">
        <f t="shared" si="4"/>
        <v>376685</v>
      </c>
      <c r="F29" s="645">
        <f t="shared" si="4"/>
        <v>4633056</v>
      </c>
      <c r="G29" s="645">
        <f t="shared" si="4"/>
        <v>27788</v>
      </c>
      <c r="H29" s="645">
        <f t="shared" si="4"/>
        <v>24388</v>
      </c>
      <c r="I29" s="645">
        <f t="shared" si="4"/>
        <v>5640178</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2267">
        <v>0</v>
      </c>
      <c r="D32" s="667">
        <v>0</v>
      </c>
      <c r="E32" s="667">
        <v>0</v>
      </c>
      <c r="F32" s="667">
        <v>0</v>
      </c>
      <c r="G32" s="667">
        <v>0</v>
      </c>
      <c r="H32" s="667">
        <v>0</v>
      </c>
      <c r="I32" s="668">
        <f t="shared" ref="I32:I39" si="5">SUM(C32:H32)</f>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f>84728+9991+50444</f>
        <v>145163</v>
      </c>
      <c r="F33" s="669">
        <v>0</v>
      </c>
      <c r="G33" s="669">
        <v>5000</v>
      </c>
      <c r="H33" s="669">
        <v>500</v>
      </c>
      <c r="I33" s="1899">
        <f t="shared" si="5"/>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f>SUM(C34:H34)</f>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f>27877+2667</f>
        <v>30544</v>
      </c>
      <c r="F35" s="669">
        <v>0</v>
      </c>
      <c r="G35" s="669">
        <v>1800</v>
      </c>
      <c r="H35" s="669">
        <v>600</v>
      </c>
      <c r="I35" s="1899">
        <f t="shared" si="5"/>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f>15512+14333</f>
        <v>29845</v>
      </c>
      <c r="F36" s="669">
        <v>0</v>
      </c>
      <c r="G36" s="669">
        <v>1200</v>
      </c>
      <c r="H36" s="669">
        <v>400</v>
      </c>
      <c r="I36" s="1899">
        <f t="shared" si="5"/>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f t="shared" si="5"/>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f t="shared" si="5"/>
        <v>0</v>
      </c>
      <c r="J38" s="1146"/>
      <c r="K38" s="1152"/>
      <c r="L38" s="1153"/>
      <c r="M38" s="1154"/>
      <c r="N38" s="1154"/>
      <c r="O38" s="1155"/>
      <c r="P38" s="1155"/>
      <c r="Q38" s="1156"/>
      <c r="R38" s="1149"/>
    </row>
    <row r="39" spans="1:19" s="9" customFormat="1" ht="16.5" hidden="1" customHeight="1" thickBot="1" x14ac:dyDescent="0.3">
      <c r="A39" s="1150"/>
      <c r="B39" s="2266" t="s">
        <v>487</v>
      </c>
      <c r="C39" s="673">
        <v>0</v>
      </c>
      <c r="D39" s="673">
        <v>0</v>
      </c>
      <c r="E39" s="673">
        <v>0</v>
      </c>
      <c r="F39" s="673">
        <v>0</v>
      </c>
      <c r="G39" s="673">
        <v>0</v>
      </c>
      <c r="H39" s="673">
        <v>0</v>
      </c>
      <c r="I39" s="674">
        <f t="shared" si="5"/>
        <v>0</v>
      </c>
      <c r="J39" s="1146"/>
      <c r="K39" s="1158"/>
      <c r="M39" s="1147"/>
      <c r="N39" s="1147"/>
      <c r="O39" s="1156"/>
      <c r="P39" s="1156"/>
      <c r="Q39" s="1156"/>
      <c r="R39" s="1156"/>
      <c r="S39" s="1159"/>
    </row>
    <row r="40" spans="1:19" s="9" customFormat="1" ht="16.5" customHeight="1" thickBot="1" x14ac:dyDescent="0.3">
      <c r="A40" s="1150"/>
      <c r="B40" s="1160" t="s">
        <v>395</v>
      </c>
      <c r="C40" s="2270">
        <f>SUM(C32:C39)</f>
        <v>52912</v>
      </c>
      <c r="D40" s="1161">
        <f t="shared" ref="D40:I40" si="6">SUM(D32:D39)</f>
        <v>2300</v>
      </c>
      <c r="E40" s="1161">
        <f t="shared" si="6"/>
        <v>355552</v>
      </c>
      <c r="F40" s="1161">
        <f t="shared" si="6"/>
        <v>0</v>
      </c>
      <c r="G40" s="1161">
        <f t="shared" si="6"/>
        <v>8000</v>
      </c>
      <c r="H40" s="1161">
        <f t="shared" si="6"/>
        <v>1500</v>
      </c>
      <c r="I40" s="2271">
        <f t="shared" si="6"/>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f>SUM(E43:H43)</f>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f>SUM(C44:H44)</f>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f>SUM(C45:H45)</f>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f>SUM(C46:H46)</f>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f>SUM(E47:H47)</f>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f>SUM(E48:H48)</f>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f>SUM(E49:H49)</f>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f>SUM(C50:H50)</f>
        <v>0</v>
      </c>
      <c r="J50" s="852"/>
      <c r="K50" s="1147"/>
      <c r="L50" s="1147"/>
      <c r="M50" s="1147"/>
      <c r="N50" s="1156"/>
      <c r="O50" s="1156"/>
      <c r="Q50" s="1149"/>
    </row>
    <row r="51" spans="1:18" s="1164" customFormat="1" ht="16.5" customHeight="1" thickBot="1" x14ac:dyDescent="0.3">
      <c r="A51" s="1150"/>
      <c r="B51" s="1168" t="s">
        <v>397</v>
      </c>
      <c r="C51" s="1169">
        <f t="shared" ref="C51:I51" si="7">SUM(C43:C50)</f>
        <v>0</v>
      </c>
      <c r="D51" s="1169">
        <f t="shared" si="7"/>
        <v>0</v>
      </c>
      <c r="E51" s="1169">
        <f t="shared" si="7"/>
        <v>311292</v>
      </c>
      <c r="F51" s="1169">
        <f t="shared" si="7"/>
        <v>0</v>
      </c>
      <c r="G51" s="1169">
        <f t="shared" si="7"/>
        <v>0</v>
      </c>
      <c r="H51" s="1169">
        <f t="shared" si="7"/>
        <v>0</v>
      </c>
      <c r="I51" s="2272">
        <f t="shared" si="7"/>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f>SUM(C53:H53)</f>
        <v>0</v>
      </c>
      <c r="J53" s="1172"/>
      <c r="K53" s="1172"/>
      <c r="L53" s="1172"/>
      <c r="M53" s="1172"/>
      <c r="N53" s="1172"/>
      <c r="O53" s="1172"/>
      <c r="P53" s="1172"/>
      <c r="Q53" s="1172"/>
      <c r="R53" s="1172"/>
    </row>
    <row r="54" spans="1:18" s="9" customFormat="1" ht="16.5" hidden="1" customHeight="1" thickBot="1" x14ac:dyDescent="0.3">
      <c r="A54" s="1150"/>
      <c r="B54" s="1173" t="s">
        <v>400</v>
      </c>
      <c r="C54" s="1174">
        <f>SUM(C53)</f>
        <v>0</v>
      </c>
      <c r="D54" s="1174">
        <f t="shared" ref="D54:I54" si="8">SUM(D53)</f>
        <v>0</v>
      </c>
      <c r="E54" s="1174">
        <f t="shared" si="8"/>
        <v>0</v>
      </c>
      <c r="F54" s="1174">
        <f t="shared" si="8"/>
        <v>0</v>
      </c>
      <c r="G54" s="1174">
        <f t="shared" si="8"/>
        <v>0</v>
      </c>
      <c r="H54" s="1174">
        <f t="shared" si="8"/>
        <v>0</v>
      </c>
      <c r="I54" s="1174">
        <f t="shared" si="8"/>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2264" t="s">
        <v>631</v>
      </c>
      <c r="C58" s="1166">
        <v>0</v>
      </c>
      <c r="D58" s="1166">
        <v>0</v>
      </c>
      <c r="E58" s="1901">
        <v>0</v>
      </c>
      <c r="F58" s="638">
        <v>0</v>
      </c>
      <c r="G58" s="1166">
        <v>0</v>
      </c>
      <c r="H58" s="1166">
        <v>0</v>
      </c>
      <c r="I58" s="1899">
        <f>SUM(C58:H58)</f>
        <v>0</v>
      </c>
      <c r="J58" s="852"/>
      <c r="K58" s="1147"/>
      <c r="L58" s="1147"/>
      <c r="M58" s="1147"/>
      <c r="N58" s="1156"/>
      <c r="O58" s="1156"/>
      <c r="Q58" s="1149"/>
    </row>
    <row r="59" spans="1:18" s="9" customFormat="1" ht="16.5" hidden="1" customHeight="1" thickBot="1" x14ac:dyDescent="0.3">
      <c r="A59" s="1150"/>
      <c r="B59" s="1168" t="s">
        <v>632</v>
      </c>
      <c r="C59" s="1169">
        <f>SUM(C58)</f>
        <v>0</v>
      </c>
      <c r="D59" s="1169">
        <f t="shared" ref="D59:I59" si="9">SUM(D58)</f>
        <v>0</v>
      </c>
      <c r="E59" s="1169">
        <f t="shared" si="9"/>
        <v>0</v>
      </c>
      <c r="F59" s="1169">
        <f t="shared" si="9"/>
        <v>0</v>
      </c>
      <c r="G59" s="1169">
        <f t="shared" si="9"/>
        <v>0</v>
      </c>
      <c r="H59" s="1169">
        <f t="shared" si="9"/>
        <v>0</v>
      </c>
      <c r="I59" s="1169">
        <f t="shared" si="9"/>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f>+'CNG Table C 2013'!D38</f>
        <v>0</v>
      </c>
      <c r="E61" s="638" t="e">
        <f>+'CNG Table A'!#REF!-C61</f>
        <v>#REF!</v>
      </c>
      <c r="F61" s="638">
        <f>+'CNG Table C 2013'!F38</f>
        <v>0</v>
      </c>
      <c r="G61" s="638">
        <f>+'CNG Table C 2013'!G38</f>
        <v>0</v>
      </c>
      <c r="H61" s="638">
        <v>0</v>
      </c>
      <c r="I61" s="640" t="e">
        <f>SUM(C61:H61)</f>
        <v>#REF!</v>
      </c>
      <c r="J61" s="582"/>
      <c r="K61" s="582"/>
      <c r="L61" s="582"/>
      <c r="M61" s="582"/>
      <c r="N61" s="582"/>
      <c r="O61" s="584"/>
      <c r="P61" s="1156"/>
      <c r="Q61" s="1149"/>
    </row>
    <row r="62" spans="1:18" s="9" customFormat="1" ht="16.5" customHeight="1" x14ac:dyDescent="0.25">
      <c r="A62" s="1150"/>
      <c r="B62" s="615" t="s">
        <v>546</v>
      </c>
      <c r="C62" s="638">
        <f>+'CNG Table C 2013'!C39</f>
        <v>0</v>
      </c>
      <c r="D62" s="638">
        <f>+'CNG Table C 2013'!D39</f>
        <v>0</v>
      </c>
      <c r="E62" s="638" t="e">
        <f>+'CNG Table A'!#REF!</f>
        <v>#REF!</v>
      </c>
      <c r="F62" s="638">
        <f>+'CNG Table C 2013'!F39</f>
        <v>0</v>
      </c>
      <c r="G62" s="638">
        <f>+'CNG Table C 2013'!G39</f>
        <v>0</v>
      </c>
      <c r="H62" s="638">
        <v>0</v>
      </c>
      <c r="I62" s="640" t="e">
        <f t="shared" ref="I62:I69" si="10">SUM(C62:H62)</f>
        <v>#REF!</v>
      </c>
      <c r="J62" s="582"/>
      <c r="K62" s="582"/>
      <c r="L62" s="582"/>
      <c r="M62" s="582"/>
      <c r="N62" s="582"/>
      <c r="O62" s="584"/>
      <c r="P62" s="1156"/>
      <c r="Q62" s="1149"/>
    </row>
    <row r="63" spans="1:18" s="9" customFormat="1" ht="16.5" customHeight="1" x14ac:dyDescent="0.25">
      <c r="A63" s="1150"/>
      <c r="B63" s="615" t="s">
        <v>547</v>
      </c>
      <c r="C63" s="638">
        <v>13321</v>
      </c>
      <c r="D63" s="638">
        <f>+'CNG Table C 2013'!D40</f>
        <v>0</v>
      </c>
      <c r="E63" s="638" t="e">
        <f>+'CNG Table A'!#REF!-C63</f>
        <v>#REF!</v>
      </c>
      <c r="F63" s="638">
        <f>+'CNG Table C 2013'!F40</f>
        <v>0</v>
      </c>
      <c r="G63" s="638">
        <f>+'CNG Table C 2013'!G40</f>
        <v>0</v>
      </c>
      <c r="H63" s="638">
        <v>0</v>
      </c>
      <c r="I63" s="640" t="e">
        <f t="shared" si="10"/>
        <v>#REF!</v>
      </c>
      <c r="J63" s="582"/>
      <c r="K63" s="582"/>
      <c r="L63" s="582"/>
      <c r="M63" s="582"/>
      <c r="N63" s="582"/>
      <c r="O63" s="584"/>
      <c r="P63" s="1156"/>
    </row>
    <row r="64" spans="1:18" s="9" customFormat="1" ht="16.5" customHeight="1" x14ac:dyDescent="0.25">
      <c r="A64" s="1150"/>
      <c r="B64" s="615" t="s">
        <v>548</v>
      </c>
      <c r="C64" s="638" t="e">
        <f>'CNG Table A'!#REF!</f>
        <v>#REF!</v>
      </c>
      <c r="D64" s="638">
        <f>+'CNG Table C 2013'!D41</f>
        <v>0</v>
      </c>
      <c r="E64" s="638" t="e">
        <f>+'CNG Table A'!#REF!-C64</f>
        <v>#REF!</v>
      </c>
      <c r="F64" s="638">
        <f>+'CNG Table C 2013'!F41</f>
        <v>0</v>
      </c>
      <c r="G64" s="638">
        <f>+'CNG Table C 2013'!G41</f>
        <v>0</v>
      </c>
      <c r="H64" s="638">
        <v>0</v>
      </c>
      <c r="I64" s="640" t="e">
        <f t="shared" si="10"/>
        <v>#REF!</v>
      </c>
      <c r="J64" s="582"/>
      <c r="K64" s="582"/>
      <c r="L64" s="582"/>
      <c r="M64" s="582"/>
      <c r="N64" s="582"/>
      <c r="O64" s="584"/>
      <c r="P64" s="1156"/>
      <c r="Q64" s="1164"/>
      <c r="R64" s="1159"/>
    </row>
    <row r="65" spans="1:24" s="1159" customFormat="1" ht="16.5" customHeight="1" x14ac:dyDescent="0.25">
      <c r="A65" s="1145"/>
      <c r="B65" s="615" t="s">
        <v>639</v>
      </c>
      <c r="C65" s="638">
        <v>20418</v>
      </c>
      <c r="D65" s="638">
        <f>+'CNG Table C 2013'!D42</f>
        <v>0</v>
      </c>
      <c r="E65" s="638" t="e">
        <f>+'CNG Table A'!#REF!-'CNG Table C 2014'!C53</f>
        <v>#REF!</v>
      </c>
      <c r="F65" s="638">
        <f>+'CNG Table C 2013'!F42</f>
        <v>0</v>
      </c>
      <c r="G65" s="638">
        <f>+'CNG Table C 2013'!G42</f>
        <v>0</v>
      </c>
      <c r="H65" s="638">
        <v>0</v>
      </c>
      <c r="I65" s="640" t="e">
        <f t="shared" si="10"/>
        <v>#REF!</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f>+'CNG Table C 2013'!D42</f>
        <v>0</v>
      </c>
      <c r="E66" s="638" t="e">
        <f>+'CNG Table A'!#REF!</f>
        <v>#REF!</v>
      </c>
      <c r="F66" s="638">
        <f>+'CNG Table C 2013'!F40</f>
        <v>0</v>
      </c>
      <c r="G66" s="638">
        <f>+'CNG Table C 2013'!G42</f>
        <v>0</v>
      </c>
      <c r="H66" s="638">
        <v>0</v>
      </c>
      <c r="I66" s="640" t="e">
        <f>SUM(C66:H66)</f>
        <v>#REF!</v>
      </c>
      <c r="J66" s="1146"/>
      <c r="K66" s="1159"/>
      <c r="L66" s="1159"/>
      <c r="M66" s="848"/>
      <c r="P66" s="1176"/>
    </row>
    <row r="67" spans="1:24" s="9" customFormat="1" ht="16.5" customHeight="1" x14ac:dyDescent="0.25">
      <c r="A67" s="1145"/>
      <c r="B67" s="615" t="s">
        <v>641</v>
      </c>
      <c r="C67" s="638">
        <f>+'CNG Table C 2013'!C43</f>
        <v>0</v>
      </c>
      <c r="D67" s="638">
        <f>+'CNG Table C 2013'!D43</f>
        <v>0</v>
      </c>
      <c r="E67" s="638" t="e">
        <f>+'CNG Table A'!#REF!</f>
        <v>#REF!</v>
      </c>
      <c r="F67" s="638">
        <f>+'CNG Table C 2013'!F43</f>
        <v>0</v>
      </c>
      <c r="G67" s="638">
        <f>+'CNG Table C 2013'!G43</f>
        <v>0</v>
      </c>
      <c r="H67" s="638">
        <v>0</v>
      </c>
      <c r="I67" s="640" t="e">
        <f t="shared" si="10"/>
        <v>#REF!</v>
      </c>
      <c r="J67" s="1159"/>
      <c r="K67" s="1159"/>
      <c r="L67" s="848"/>
      <c r="O67" s="1176"/>
    </row>
    <row r="68" spans="1:24" s="9" customFormat="1" ht="16.5" customHeight="1" x14ac:dyDescent="0.25">
      <c r="A68" s="1145"/>
      <c r="B68" s="615" t="s">
        <v>642</v>
      </c>
      <c r="C68" s="638">
        <f>+'CNG Table C 2013'!C44</f>
        <v>0</v>
      </c>
      <c r="D68" s="638">
        <f>+'CNG Table C 2013'!D44</f>
        <v>0</v>
      </c>
      <c r="E68" s="638" t="e">
        <f>+'CNG Table A'!#REF!</f>
        <v>#REF!</v>
      </c>
      <c r="F68" s="638">
        <f>+'CNG Table C 2013'!F44</f>
        <v>0</v>
      </c>
      <c r="G68" s="638">
        <f>+'CNG Table C 2013'!G44</f>
        <v>0</v>
      </c>
      <c r="H68" s="638">
        <v>0</v>
      </c>
      <c r="I68" s="640" t="e">
        <f>SUM(C68:H68)</f>
        <v>#REF!</v>
      </c>
      <c r="J68" s="1159"/>
      <c r="K68" s="1159"/>
      <c r="L68" s="848"/>
      <c r="O68" s="1176"/>
    </row>
    <row r="69" spans="1:24" s="9" customFormat="1" ht="16.5" customHeight="1" thickBot="1" x14ac:dyDescent="0.3">
      <c r="A69" s="1145"/>
      <c r="B69" s="2432" t="s">
        <v>643</v>
      </c>
      <c r="C69" s="925">
        <f>+'CNG Table C 2013'!C44</f>
        <v>0</v>
      </c>
      <c r="D69" s="925">
        <f>+'CNG Table C 2013'!D44</f>
        <v>0</v>
      </c>
      <c r="E69" s="925">
        <f>+'CNG Table C 2013'!E44</f>
        <v>0</v>
      </c>
      <c r="F69" s="925">
        <f>+'CNG Table C 2013'!F44</f>
        <v>0</v>
      </c>
      <c r="G69" s="925">
        <f>+'CNG Table C 2013'!G44</f>
        <v>0</v>
      </c>
      <c r="H69" s="925" t="e">
        <f>+'CNG Table A'!#REF!</f>
        <v>#REF!</v>
      </c>
      <c r="I69" s="789" t="e">
        <f t="shared" si="10"/>
        <v>#REF!</v>
      </c>
      <c r="J69" s="1159"/>
      <c r="K69" s="1159"/>
      <c r="L69" s="848"/>
    </row>
    <row r="70" spans="1:24" s="9" customFormat="1" ht="16.5" customHeight="1" thickBot="1" x14ac:dyDescent="0.3">
      <c r="A70" s="1145"/>
      <c r="B70" s="648" t="s">
        <v>43</v>
      </c>
      <c r="C70" s="2433" t="e">
        <f>SUM(C61:C69)</f>
        <v>#REF!</v>
      </c>
      <c r="D70" s="2433">
        <f t="shared" ref="D70:I70" si="11">SUM(D61:D69)</f>
        <v>0</v>
      </c>
      <c r="E70" s="2433" t="e">
        <f t="shared" si="11"/>
        <v>#REF!</v>
      </c>
      <c r="F70" s="2433">
        <f t="shared" si="11"/>
        <v>0</v>
      </c>
      <c r="G70" s="2433">
        <f t="shared" si="11"/>
        <v>0</v>
      </c>
      <c r="H70" s="2433" t="e">
        <f t="shared" si="11"/>
        <v>#REF!</v>
      </c>
      <c r="I70" s="2433" t="e">
        <f t="shared" si="11"/>
        <v>#REF!</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f>C18+C32*0.8+C33*0.5+C34*0.8+C35*0.8+C36*0.5+C37*0.8+C38+C39*0.8+C44+C48+C62*0.8</f>
        <v>613809.08111999999</v>
      </c>
      <c r="D72" s="655">
        <f t="shared" ref="D72:I72" si="12">D18+D32*0.8+D33*0.5+D34*0.8+D35*0.8+D36*0.5+D37*0.8+D38+D39*0.8+D44+D48+D62*0.8</f>
        <v>13184</v>
      </c>
      <c r="E72" s="655" t="e">
        <f t="shared" si="12"/>
        <v>#REF!</v>
      </c>
      <c r="F72" s="655">
        <f t="shared" si="12"/>
        <v>9340868</v>
      </c>
      <c r="G72" s="655">
        <f t="shared" si="12"/>
        <v>88540</v>
      </c>
      <c r="H72" s="655">
        <f t="shared" si="12"/>
        <v>13057</v>
      </c>
      <c r="I72" s="1033" t="e">
        <f t="shared" si="12"/>
        <v>#REF!</v>
      </c>
      <c r="L72" s="141"/>
      <c r="M72" s="49"/>
      <c r="N72" s="49"/>
    </row>
    <row r="73" spans="1:24" ht="21" hidden="1" customHeight="1" x14ac:dyDescent="0.3">
      <c r="A73" s="21"/>
      <c r="B73" s="1034" t="s">
        <v>8</v>
      </c>
      <c r="C73" s="657">
        <f>C29+C32*0.2+C33*0.5+C34*0.2+C35*0.2+C36*0.5+C37*0.2+C39*0.2+C45+C47+C49+C50+C58+C62*0.2</f>
        <v>579690.81888000004</v>
      </c>
      <c r="D73" s="657">
        <f t="shared" ref="D73:I73" si="13">D29+D32*0.2+D33*0.5+D34*0.2+D35*0.2+D36*0.5+D37*0.2+D39*0.2+D45+D47+D49+D50+D58+D62*0.2</f>
        <v>23177</v>
      </c>
      <c r="E73" s="657" t="e">
        <f t="shared" si="13"/>
        <v>#REF!</v>
      </c>
      <c r="F73" s="657">
        <f t="shared" si="13"/>
        <v>4633056</v>
      </c>
      <c r="G73" s="657">
        <f t="shared" si="13"/>
        <v>31248</v>
      </c>
      <c r="H73" s="657">
        <f t="shared" si="13"/>
        <v>24958</v>
      </c>
      <c r="I73" s="2299" t="e">
        <f t="shared" si="13"/>
        <v>#REF!</v>
      </c>
      <c r="J73" s="521"/>
      <c r="L73" s="141"/>
      <c r="M73" s="49"/>
      <c r="N73" s="49"/>
    </row>
    <row r="74" spans="1:24" ht="21" hidden="1" customHeight="1" thickBot="1" x14ac:dyDescent="0.35">
      <c r="A74" s="86"/>
      <c r="B74" s="1036" t="s">
        <v>12</v>
      </c>
      <c r="C74" s="659" t="e">
        <f t="shared" ref="C74:H74" si="14">C43+C46+C53+C61+C63+C64+C65+C66+C67+C68+C69</f>
        <v>#REF!</v>
      </c>
      <c r="D74" s="659">
        <f t="shared" si="14"/>
        <v>0</v>
      </c>
      <c r="E74" s="659" t="e">
        <f t="shared" si="14"/>
        <v>#REF!</v>
      </c>
      <c r="F74" s="659">
        <f t="shared" si="14"/>
        <v>0</v>
      </c>
      <c r="G74" s="659">
        <f t="shared" si="14"/>
        <v>0</v>
      </c>
      <c r="H74" s="659" t="e">
        <f t="shared" si="14"/>
        <v>#REF!</v>
      </c>
      <c r="I74" s="1037" t="e">
        <f>SUM(C74:H74)</f>
        <v>#REF!</v>
      </c>
      <c r="L74" s="141"/>
      <c r="M74" s="49"/>
      <c r="N74" s="49"/>
    </row>
    <row r="75" spans="1:24" ht="21" thickBot="1" x14ac:dyDescent="0.35">
      <c r="A75" s="83"/>
      <c r="B75" s="648" t="s">
        <v>58</v>
      </c>
      <c r="C75" s="649" t="e">
        <f>C18+C29+C40+C51+C70</f>
        <v>#REF!</v>
      </c>
      <c r="D75" s="649">
        <f t="shared" ref="D75:I75" si="15">D18+D29+D40+D51+D70</f>
        <v>36361</v>
      </c>
      <c r="E75" s="649" t="e">
        <f t="shared" si="15"/>
        <v>#REF!</v>
      </c>
      <c r="F75" s="649">
        <f t="shared" si="15"/>
        <v>13973924</v>
      </c>
      <c r="G75" s="649">
        <f t="shared" si="15"/>
        <v>119788</v>
      </c>
      <c r="H75" s="649" t="e">
        <f t="shared" si="15"/>
        <v>#REF!</v>
      </c>
      <c r="I75" s="649" t="e">
        <f t="shared" si="15"/>
        <v>#REF!</v>
      </c>
      <c r="L75" s="141"/>
      <c r="M75" s="49"/>
      <c r="N75" s="49"/>
    </row>
  </sheetData>
  <mergeCells count="13">
    <mergeCell ref="B71:I71"/>
    <mergeCell ref="B30:I30"/>
    <mergeCell ref="B57:I57"/>
    <mergeCell ref="B24:I24"/>
    <mergeCell ref="B31:I31"/>
    <mergeCell ref="B42:I42"/>
    <mergeCell ref="B52:I52"/>
    <mergeCell ref="B60:I60"/>
    <mergeCell ref="B1:I1"/>
    <mergeCell ref="B2:I2"/>
    <mergeCell ref="B11:I11"/>
    <mergeCell ref="B20:I20"/>
    <mergeCell ref="B23:I23"/>
  </mergeCells>
  <printOptions horizontalCentered="1" verticalCentered="1"/>
  <pageMargins left="0.61" right="0.31" top="0.2" bottom="0.43" header="0.2" footer="0.18"/>
  <pageSetup scale="65" orientation="landscape" r:id="rId1"/>
  <headerFooter alignWithMargins="0">
    <oddFooter>&amp;R
&amp;C&amp;"Arial"&amp;11&amp;K000000&amp;14
Totals may vary due to rounding&amp;12
_x000D_&amp;1#&amp;"Calibri"&amp;12&amp;K008000Internal Use</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indexed="47"/>
    <pageSetUpPr fitToPage="1"/>
  </sheetPr>
  <dimension ref="A1:X75"/>
  <sheetViews>
    <sheetView zoomScale="75" workbookViewId="0">
      <selection activeCell="H69" sqref="H69"/>
    </sheetView>
  </sheetViews>
  <sheetFormatPr defaultRowHeight="12.75" x14ac:dyDescent="0.2"/>
  <cols>
    <col min="1" max="1" width="7.140625" style="49" customWidth="1"/>
    <col min="2" max="2" width="60.57031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3" width="14.42578125" style="50" bestFit="1" customWidth="1"/>
    <col min="14"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621</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v>4000</v>
      </c>
      <c r="F12" s="633">
        <v>547968</v>
      </c>
      <c r="G12" s="633">
        <v>4000</v>
      </c>
      <c r="H12" s="633">
        <v>2500</v>
      </c>
      <c r="I12" s="634">
        <v>598443</v>
      </c>
      <c r="J12" s="85"/>
      <c r="K12" s="2197"/>
      <c r="L12" s="583"/>
      <c r="M12" s="583"/>
      <c r="N12" s="572"/>
      <c r="O12" s="584"/>
      <c r="P12" s="584"/>
      <c r="Q12" s="584"/>
    </row>
    <row r="13" spans="1:20" ht="20.25" x14ac:dyDescent="0.3">
      <c r="A13" s="83"/>
      <c r="B13" s="614" t="s">
        <v>149</v>
      </c>
      <c r="C13" s="638">
        <v>252240.9</v>
      </c>
      <c r="D13" s="638">
        <v>2000</v>
      </c>
      <c r="E13" s="638">
        <v>296634</v>
      </c>
      <c r="F13" s="638">
        <v>2792159.0999999996</v>
      </c>
      <c r="G13" s="638">
        <v>50000</v>
      </c>
      <c r="H13" s="638">
        <v>4027</v>
      </c>
      <c r="I13" s="640">
        <v>3397060.9999999995</v>
      </c>
      <c r="J13" s="796"/>
      <c r="K13" s="585"/>
      <c r="L13" s="1178"/>
      <c r="M13" s="583"/>
      <c r="N13" s="583"/>
      <c r="O13" s="583"/>
      <c r="P13" s="583"/>
      <c r="Q13" s="583"/>
      <c r="R13" s="586"/>
      <c r="S13" s="587"/>
    </row>
    <row r="14" spans="1:20" ht="20.25" x14ac:dyDescent="0.3">
      <c r="A14" s="83"/>
      <c r="B14" s="614" t="s">
        <v>595</v>
      </c>
      <c r="C14" s="638">
        <v>58566</v>
      </c>
      <c r="D14" s="638">
        <v>6300</v>
      </c>
      <c r="E14" s="638">
        <v>128000</v>
      </c>
      <c r="F14" s="638">
        <v>1411874.9</v>
      </c>
      <c r="G14" s="638">
        <v>20000</v>
      </c>
      <c r="H14" s="638">
        <v>3000</v>
      </c>
      <c r="I14" s="640">
        <v>1627740.9</v>
      </c>
      <c r="J14" s="796"/>
      <c r="K14" s="585"/>
      <c r="L14" s="1178"/>
      <c r="M14" s="583"/>
      <c r="N14" s="583"/>
      <c r="O14" s="583"/>
      <c r="P14" s="583"/>
      <c r="Q14" s="583"/>
      <c r="R14" s="586"/>
      <c r="S14" s="587"/>
    </row>
    <row r="15" spans="1:20" ht="20.25" x14ac:dyDescent="0.3">
      <c r="A15" s="83"/>
      <c r="B15" s="614" t="s">
        <v>342</v>
      </c>
      <c r="C15" s="638">
        <v>234806</v>
      </c>
      <c r="D15" s="638">
        <v>2500</v>
      </c>
      <c r="E15" s="638">
        <v>30000</v>
      </c>
      <c r="F15" s="638">
        <v>3332500</v>
      </c>
      <c r="G15" s="638">
        <v>10000</v>
      </c>
      <c r="H15" s="638">
        <v>2600</v>
      </c>
      <c r="I15" s="2294">
        <v>3612406</v>
      </c>
      <c r="J15" s="749"/>
      <c r="K15" s="585"/>
      <c r="L15" s="1178"/>
      <c r="M15" s="601"/>
      <c r="N15" s="601"/>
      <c r="O15" s="601"/>
      <c r="P15" s="601"/>
      <c r="Q15" s="601"/>
    </row>
    <row r="16" spans="1:20" ht="24.6" customHeight="1" thickBot="1" x14ac:dyDescent="0.35">
      <c r="A16" s="83"/>
      <c r="B16" s="617" t="s">
        <v>529</v>
      </c>
      <c r="C16" s="641">
        <v>0</v>
      </c>
      <c r="D16" s="641">
        <v>0</v>
      </c>
      <c r="E16" s="641">
        <v>106598</v>
      </c>
      <c r="F16" s="641">
        <v>0</v>
      </c>
      <c r="G16" s="641">
        <v>0</v>
      </c>
      <c r="H16" s="641">
        <v>0</v>
      </c>
      <c r="I16" s="643">
        <v>106598</v>
      </c>
      <c r="J16" s="796"/>
      <c r="K16" s="585"/>
      <c r="L16" s="1178"/>
      <c r="M16" s="2298"/>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v>0</v>
      </c>
      <c r="J17" s="748"/>
      <c r="K17" s="588"/>
      <c r="L17" s="1178"/>
      <c r="M17" s="2298"/>
      <c r="N17" s="2047"/>
      <c r="O17" s="2047"/>
      <c r="P17" s="602"/>
      <c r="Q17" s="602"/>
    </row>
    <row r="18" spans="1:17" ht="21" thickBot="1" x14ac:dyDescent="0.35">
      <c r="A18" s="84"/>
      <c r="B18" s="232" t="s">
        <v>30</v>
      </c>
      <c r="C18" s="645">
        <v>584587.9</v>
      </c>
      <c r="D18" s="645">
        <v>11800</v>
      </c>
      <c r="E18" s="645">
        <v>565232</v>
      </c>
      <c r="F18" s="645">
        <v>8084502</v>
      </c>
      <c r="G18" s="645">
        <v>84000</v>
      </c>
      <c r="H18" s="645">
        <v>12127</v>
      </c>
      <c r="I18" s="645">
        <v>9342248.8999999985</v>
      </c>
      <c r="J18" s="748"/>
      <c r="K18" s="520"/>
      <c r="L18" s="1178"/>
      <c r="M18" s="2298"/>
    </row>
    <row r="19" spans="1:17" s="51" customFormat="1" ht="15" x14ac:dyDescent="0.2">
      <c r="B19" s="663"/>
      <c r="C19" s="664"/>
      <c r="D19" s="622"/>
      <c r="E19" s="622"/>
      <c r="F19" s="665"/>
      <c r="G19" s="665"/>
      <c r="H19" s="665"/>
      <c r="I19" s="666"/>
      <c r="J19" s="52"/>
      <c r="K19" s="2297"/>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11177</v>
      </c>
      <c r="E21" s="644">
        <v>186889</v>
      </c>
      <c r="F21" s="644">
        <v>1641410</v>
      </c>
      <c r="G21" s="644">
        <v>11177</v>
      </c>
      <c r="H21" s="644">
        <v>11177</v>
      </c>
      <c r="I21" s="634">
        <v>2196830</v>
      </c>
      <c r="J21" s="85"/>
      <c r="K21" s="519"/>
      <c r="L21" s="625"/>
      <c r="M21" s="625"/>
      <c r="N21" s="625"/>
      <c r="O21" s="625"/>
      <c r="P21" s="625"/>
      <c r="Q21" s="625"/>
    </row>
    <row r="22" spans="1:17" ht="21" thickBot="1" x14ac:dyDescent="0.35">
      <c r="A22" s="84"/>
      <c r="B22" s="26" t="s">
        <v>152</v>
      </c>
      <c r="C22" s="645">
        <v>335000</v>
      </c>
      <c r="D22" s="645">
        <v>11177</v>
      </c>
      <c r="E22" s="645">
        <v>186889</v>
      </c>
      <c r="F22" s="645">
        <v>1641410</v>
      </c>
      <c r="G22" s="645">
        <v>11177</v>
      </c>
      <c r="H22" s="645">
        <v>11177</v>
      </c>
      <c r="I22" s="645">
        <v>2196830</v>
      </c>
      <c r="J22" s="85"/>
      <c r="K22" s="2307"/>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7683</v>
      </c>
      <c r="E25" s="633">
        <v>142131</v>
      </c>
      <c r="F25" s="633">
        <v>956301</v>
      </c>
      <c r="G25" s="633">
        <v>7683</v>
      </c>
      <c r="H25" s="633">
        <v>7683</v>
      </c>
      <c r="I25" s="634">
        <v>1249481</v>
      </c>
      <c r="J25" s="85"/>
      <c r="K25" s="600"/>
      <c r="L25" s="625"/>
      <c r="M25" s="625"/>
      <c r="N25" s="625"/>
      <c r="O25" s="625"/>
      <c r="P25" s="625"/>
      <c r="Q25" s="625"/>
    </row>
    <row r="26" spans="1:17" ht="21" thickBot="1" x14ac:dyDescent="0.35">
      <c r="A26" s="83"/>
      <c r="B26" s="155" t="s">
        <v>581</v>
      </c>
      <c r="C26" s="635">
        <v>65000</v>
      </c>
      <c r="D26" s="635">
        <v>2128</v>
      </c>
      <c r="E26" s="635">
        <v>34385</v>
      </c>
      <c r="F26" s="635">
        <v>570849</v>
      </c>
      <c r="G26" s="635">
        <v>6383</v>
      </c>
      <c r="H26" s="635">
        <v>4255</v>
      </c>
      <c r="I26" s="926">
        <v>683000</v>
      </c>
      <c r="J26" s="85"/>
      <c r="K26" s="600"/>
      <c r="L26" s="625"/>
      <c r="M26" s="625"/>
      <c r="N26" s="625"/>
      <c r="O26" s="625"/>
      <c r="P26" s="625"/>
      <c r="Q26" s="625"/>
    </row>
    <row r="27" spans="1:17" ht="21" thickBot="1" x14ac:dyDescent="0.35">
      <c r="A27" s="84"/>
      <c r="B27" s="26" t="s">
        <v>152</v>
      </c>
      <c r="C27" s="645">
        <v>193000</v>
      </c>
      <c r="D27" s="645">
        <v>9811</v>
      </c>
      <c r="E27" s="645">
        <v>176516</v>
      </c>
      <c r="F27" s="645">
        <v>1527150</v>
      </c>
      <c r="G27" s="645">
        <v>14066</v>
      </c>
      <c r="H27" s="645">
        <v>11938</v>
      </c>
      <c r="I27" s="645">
        <v>1932481</v>
      </c>
      <c r="J27" s="85"/>
      <c r="K27" s="600"/>
      <c r="L27" s="309"/>
      <c r="M27" s="627"/>
      <c r="N27" s="257"/>
      <c r="O27" s="245"/>
      <c r="P27" s="245"/>
      <c r="Q27" s="12"/>
    </row>
    <row r="28" spans="1:17" ht="21" thickBot="1" x14ac:dyDescent="0.35">
      <c r="A28" s="84"/>
      <c r="B28" s="690" t="s">
        <v>245</v>
      </c>
      <c r="C28" s="703">
        <v>28000</v>
      </c>
      <c r="D28" s="703">
        <v>1273</v>
      </c>
      <c r="E28" s="703">
        <v>13280</v>
      </c>
      <c r="F28" s="703">
        <v>208129</v>
      </c>
      <c r="G28" s="703">
        <v>2545</v>
      </c>
      <c r="H28" s="703">
        <v>1273</v>
      </c>
      <c r="I28" s="703">
        <v>254500</v>
      </c>
      <c r="J28" s="85"/>
      <c r="L28" s="624"/>
      <c r="M28" s="623"/>
      <c r="N28" s="623"/>
      <c r="O28" s="741"/>
      <c r="P28" s="741"/>
      <c r="Q28" s="741"/>
    </row>
    <row r="29" spans="1:17" ht="21" thickBot="1" x14ac:dyDescent="0.35">
      <c r="A29" s="84"/>
      <c r="B29" s="26" t="s">
        <v>31</v>
      </c>
      <c r="C29" s="645">
        <v>556000</v>
      </c>
      <c r="D29" s="645">
        <v>22261</v>
      </c>
      <c r="E29" s="645">
        <v>376685</v>
      </c>
      <c r="F29" s="645">
        <v>3376689</v>
      </c>
      <c r="G29" s="645">
        <v>27788</v>
      </c>
      <c r="H29" s="645">
        <v>24388</v>
      </c>
      <c r="I29" s="645">
        <v>4383811</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2267">
        <v>0</v>
      </c>
      <c r="D32" s="667">
        <v>0</v>
      </c>
      <c r="E32" s="667">
        <v>0</v>
      </c>
      <c r="F32" s="667">
        <v>0</v>
      </c>
      <c r="G32" s="667">
        <v>0</v>
      </c>
      <c r="H32" s="667">
        <v>0</v>
      </c>
      <c r="I32" s="668">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2266" t="s">
        <v>487</v>
      </c>
      <c r="C39" s="673">
        <v>0</v>
      </c>
      <c r="D39" s="673">
        <v>0</v>
      </c>
      <c r="E39" s="673">
        <v>0</v>
      </c>
      <c r="F39" s="673">
        <v>0</v>
      </c>
      <c r="G39" s="673">
        <v>0</v>
      </c>
      <c r="H39" s="673">
        <v>0</v>
      </c>
      <c r="I39" s="674">
        <v>0</v>
      </c>
      <c r="J39" s="1146"/>
      <c r="K39" s="1158"/>
      <c r="M39" s="1147"/>
      <c r="N39" s="1147"/>
      <c r="O39" s="1156"/>
      <c r="P39" s="1156"/>
      <c r="Q39" s="1156"/>
      <c r="R39" s="1156"/>
      <c r="S39" s="1159"/>
    </row>
    <row r="40" spans="1:19" s="9" customFormat="1" ht="16.5" customHeight="1" thickBot="1" x14ac:dyDescent="0.3">
      <c r="A40" s="1150"/>
      <c r="B40" s="1160" t="s">
        <v>395</v>
      </c>
      <c r="C40" s="2270">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2264" t="s">
        <v>631</v>
      </c>
      <c r="C58" s="1166">
        <v>0</v>
      </c>
      <c r="D58" s="1166">
        <v>0</v>
      </c>
      <c r="E58" s="1901">
        <v>0</v>
      </c>
      <c r="F58" s="638">
        <v>0</v>
      </c>
      <c r="G58" s="1166">
        <v>0</v>
      </c>
      <c r="H58" s="1166">
        <v>0</v>
      </c>
      <c r="I58" s="1899">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1169">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v>0</v>
      </c>
      <c r="E61" s="638">
        <v>20675</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246249</v>
      </c>
      <c r="F65" s="638">
        <v>0</v>
      </c>
      <c r="G65" s="638">
        <v>0</v>
      </c>
      <c r="H65" s="638">
        <v>0</v>
      </c>
      <c r="I65" s="640">
        <v>266667</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29333</v>
      </c>
      <c r="F66" s="638">
        <v>0</v>
      </c>
      <c r="G66" s="638">
        <v>0</v>
      </c>
      <c r="H66" s="638">
        <v>0</v>
      </c>
      <c r="I66" s="640">
        <v>29333</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38">
        <v>0</v>
      </c>
      <c r="E69" s="638">
        <v>0</v>
      </c>
      <c r="F69" s="638">
        <v>0</v>
      </c>
      <c r="G69" s="638">
        <v>0</v>
      </c>
      <c r="H69" s="638">
        <v>681300</v>
      </c>
      <c r="I69" s="640">
        <v>681300</v>
      </c>
      <c r="J69" s="1159"/>
      <c r="K69" s="1159"/>
      <c r="L69" s="848"/>
    </row>
    <row r="70" spans="1:24" s="9" customFormat="1" ht="16.5" customHeight="1" thickBot="1" x14ac:dyDescent="0.3">
      <c r="A70" s="1145"/>
      <c r="B70" s="232" t="s">
        <v>43</v>
      </c>
      <c r="C70" s="1177">
        <v>214393</v>
      </c>
      <c r="D70" s="1177">
        <v>0</v>
      </c>
      <c r="E70" s="1177">
        <v>557342</v>
      </c>
      <c r="F70" s="1177">
        <v>0</v>
      </c>
      <c r="G70" s="1177">
        <v>0</v>
      </c>
      <c r="H70" s="1177">
        <v>681300</v>
      </c>
      <c r="I70" s="1177">
        <v>1453035</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613809.08111999999</v>
      </c>
      <c r="D72" s="655">
        <v>13184</v>
      </c>
      <c r="E72" s="655">
        <v>1048309.6</v>
      </c>
      <c r="F72" s="655">
        <v>8084502</v>
      </c>
      <c r="G72" s="655">
        <v>88540</v>
      </c>
      <c r="H72" s="655">
        <v>13057</v>
      </c>
      <c r="I72" s="1033">
        <v>9861401.6811199989</v>
      </c>
      <c r="L72" s="141"/>
      <c r="M72" s="49"/>
      <c r="N72" s="49"/>
    </row>
    <row r="73" spans="1:24" ht="21" customHeight="1" x14ac:dyDescent="0.3">
      <c r="A73" s="21"/>
      <c r="B73" s="1034" t="s">
        <v>8</v>
      </c>
      <c r="C73" s="657">
        <v>579690.81888000004</v>
      </c>
      <c r="D73" s="657">
        <v>23177</v>
      </c>
      <c r="E73" s="657">
        <v>591509.4</v>
      </c>
      <c r="F73" s="657">
        <v>3376689</v>
      </c>
      <c r="G73" s="657">
        <v>31248</v>
      </c>
      <c r="H73" s="657">
        <v>24958</v>
      </c>
      <c r="I73" s="2299">
        <v>4627272.2188799996</v>
      </c>
      <c r="J73" s="521"/>
      <c r="L73" s="141"/>
      <c r="M73" s="49"/>
      <c r="N73" s="49"/>
    </row>
    <row r="74" spans="1:24" ht="21" customHeight="1" thickBot="1" x14ac:dyDescent="0.35">
      <c r="A74" s="86"/>
      <c r="B74" s="1036" t="s">
        <v>12</v>
      </c>
      <c r="C74" s="659">
        <v>214393</v>
      </c>
      <c r="D74" s="659">
        <v>0</v>
      </c>
      <c r="E74" s="659">
        <v>526284</v>
      </c>
      <c r="F74" s="659">
        <v>0</v>
      </c>
      <c r="G74" s="659">
        <v>0</v>
      </c>
      <c r="H74" s="659">
        <v>681300</v>
      </c>
      <c r="I74" s="1037">
        <v>1421977</v>
      </c>
      <c r="L74" s="141"/>
      <c r="M74" s="49"/>
      <c r="N74" s="49"/>
    </row>
    <row r="75" spans="1:24" ht="21" thickBot="1" x14ac:dyDescent="0.35">
      <c r="A75" s="83"/>
      <c r="B75" s="648" t="s">
        <v>58</v>
      </c>
      <c r="C75" s="649">
        <v>1407892.9</v>
      </c>
      <c r="D75" s="649">
        <v>36361</v>
      </c>
      <c r="E75" s="649">
        <v>2166103</v>
      </c>
      <c r="F75" s="649">
        <v>11461191</v>
      </c>
      <c r="G75" s="649">
        <v>119788</v>
      </c>
      <c r="H75" s="649">
        <v>719315</v>
      </c>
      <c r="I75" s="649">
        <v>15910650.899999999</v>
      </c>
      <c r="L75" s="141"/>
      <c r="M75" s="49"/>
      <c r="N75" s="49"/>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61" right="0.31" top="0.2" bottom="0.43" header="0.2" footer="0.18"/>
  <pageSetup scale="59" orientation="landscape" r:id="rId1"/>
  <headerFooter alignWithMargins="0">
    <oddFooter>&amp;R
&amp;C&amp;"Arial"&amp;11&amp;K000000&amp;14
Totals may vary due to rounding&amp;12
_x000D_&amp;1#&amp;"Calibri"&amp;12&amp;K008000Internal Use</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indexed="47"/>
  </sheetPr>
  <dimension ref="A1:F43"/>
  <sheetViews>
    <sheetView topLeftCell="A4" workbookViewId="0">
      <selection activeCell="A3" sqref="A3:E3"/>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627</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t="e">
        <f>+'CNG Table C 2016'!C75</f>
        <v>#REF!</v>
      </c>
      <c r="D34" s="236" t="e">
        <f t="shared" ref="D34:D39" si="0">SUM(B34/$B$41)</f>
        <v>#REF!</v>
      </c>
    </row>
    <row r="35" spans="1:4" x14ac:dyDescent="0.2">
      <c r="A35" t="s">
        <v>19</v>
      </c>
      <c r="B35" s="14">
        <f>+'CNG Table C 2016'!D75</f>
        <v>36361</v>
      </c>
      <c r="D35" s="236" t="e">
        <f t="shared" si="0"/>
        <v>#REF!</v>
      </c>
    </row>
    <row r="36" spans="1:4" x14ac:dyDescent="0.2">
      <c r="A36" t="s">
        <v>4</v>
      </c>
      <c r="B36" s="14" t="e">
        <f>+'CNG Table C 2016'!E75</f>
        <v>#REF!</v>
      </c>
      <c r="D36" s="236" t="e">
        <f t="shared" si="0"/>
        <v>#REF!</v>
      </c>
    </row>
    <row r="37" spans="1:4" x14ac:dyDescent="0.2">
      <c r="A37" t="s">
        <v>2</v>
      </c>
      <c r="B37" s="14">
        <f>+'CNG Table C 2016'!F75</f>
        <v>13973924</v>
      </c>
      <c r="D37" s="236" t="e">
        <f t="shared" si="0"/>
        <v>#REF!</v>
      </c>
    </row>
    <row r="38" spans="1:4" x14ac:dyDescent="0.2">
      <c r="A38" t="s">
        <v>14</v>
      </c>
      <c r="B38" s="14">
        <f>+'CNG Table C 2016'!G75</f>
        <v>119788</v>
      </c>
      <c r="D38" s="236" t="e">
        <f t="shared" si="0"/>
        <v>#REF!</v>
      </c>
    </row>
    <row r="39" spans="1:4" x14ac:dyDescent="0.2">
      <c r="A39" t="s">
        <v>15</v>
      </c>
      <c r="B39" s="933" t="e">
        <f>+'CNG Table C 2016'!H75</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1">
    <tabColor indexed="44"/>
    <pageSetUpPr fitToPage="1"/>
  </sheetPr>
  <dimension ref="A1:AA51"/>
  <sheetViews>
    <sheetView topLeftCell="B1" zoomScale="75" zoomScaleNormal="75" workbookViewId="0">
      <pane xSplit="1" topLeftCell="C1" activePane="topRight" state="frozen"/>
      <selection activeCell="J23" sqref="J23"/>
      <selection pane="topRight" activeCell="J23" sqref="J23"/>
    </sheetView>
  </sheetViews>
  <sheetFormatPr defaultRowHeight="12.75" x14ac:dyDescent="0.2"/>
  <cols>
    <col min="1" max="1" width="7.140625" style="49" customWidth="1"/>
    <col min="2" max="2" width="56.85546875" style="49" bestFit="1"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15.42578125" style="50" customWidth="1"/>
    <col min="11" max="11" width="17" style="50" customWidth="1"/>
    <col min="12" max="12" width="15.42578125" style="50" customWidth="1"/>
    <col min="13" max="13" width="25.5703125" style="50" customWidth="1"/>
    <col min="14" max="16" width="8.7109375" style="50" customWidth="1"/>
    <col min="17" max="22" width="8.7109375" style="49" customWidth="1"/>
    <col min="23" max="16384" width="9.140625" style="49"/>
  </cols>
  <sheetData>
    <row r="1" spans="1:22" ht="25.5" x14ac:dyDescent="0.35">
      <c r="B1" s="2944" t="s">
        <v>82</v>
      </c>
      <c r="C1" s="2944"/>
      <c r="D1" s="2944"/>
      <c r="E1" s="2944"/>
      <c r="F1" s="2944"/>
      <c r="G1" s="2944"/>
      <c r="H1" s="2944"/>
      <c r="I1" s="2944"/>
    </row>
    <row r="2" spans="1:22" ht="25.5" x14ac:dyDescent="0.35">
      <c r="B2" s="2944" t="s">
        <v>491</v>
      </c>
      <c r="C2" s="2944"/>
      <c r="D2" s="2944"/>
      <c r="E2" s="2944"/>
      <c r="F2" s="2944"/>
      <c r="G2" s="2944"/>
      <c r="H2" s="2944"/>
      <c r="I2" s="2944"/>
    </row>
    <row r="3" spans="1:22" ht="6.75" customHeight="1" x14ac:dyDescent="0.25">
      <c r="B3" s="11"/>
      <c r="C3" s="10"/>
      <c r="D3" s="8"/>
      <c r="E3" s="8"/>
      <c r="F3" s="9"/>
      <c r="G3" s="9"/>
      <c r="H3" s="9"/>
      <c r="I3" s="9"/>
    </row>
    <row r="4" spans="1:22" ht="6.75" customHeight="1" thickBot="1" x14ac:dyDescent="0.3">
      <c r="B4" s="11"/>
      <c r="C4" s="10"/>
      <c r="D4" s="8"/>
      <c r="E4" s="8"/>
      <c r="F4" s="9"/>
      <c r="G4" s="9"/>
      <c r="H4" s="9"/>
      <c r="I4" s="9"/>
    </row>
    <row r="5" spans="1:22" ht="48.75" thickBot="1" x14ac:dyDescent="0.35">
      <c r="A5" s="21"/>
      <c r="B5" s="630" t="s">
        <v>42</v>
      </c>
      <c r="C5" s="631" t="s">
        <v>53</v>
      </c>
      <c r="D5" s="631" t="s">
        <v>13</v>
      </c>
      <c r="E5" s="631" t="s">
        <v>4</v>
      </c>
      <c r="F5" s="631" t="s">
        <v>2</v>
      </c>
      <c r="G5" s="631" t="s">
        <v>14</v>
      </c>
      <c r="H5" s="631" t="s">
        <v>15</v>
      </c>
      <c r="I5" s="631" t="s">
        <v>16</v>
      </c>
      <c r="J5" s="45"/>
      <c r="K5" s="45"/>
      <c r="L5" s="45"/>
      <c r="M5" s="45"/>
    </row>
    <row r="6" spans="1:22" ht="21" thickBot="1" x14ac:dyDescent="0.35">
      <c r="A6" s="21"/>
      <c r="B6" s="2888" t="s">
        <v>5</v>
      </c>
      <c r="C6" s="2889"/>
      <c r="D6" s="2889"/>
      <c r="E6" s="2889"/>
      <c r="F6" s="2889"/>
      <c r="G6" s="2889"/>
      <c r="H6" s="2889"/>
      <c r="I6" s="2890"/>
      <c r="J6" s="45"/>
      <c r="K6" s="45"/>
      <c r="L6" s="45"/>
      <c r="M6" s="82"/>
    </row>
    <row r="7" spans="1:22" ht="24.6" customHeight="1" x14ac:dyDescent="0.3">
      <c r="A7" s="83"/>
      <c r="B7" s="156" t="s">
        <v>222</v>
      </c>
      <c r="C7" s="633">
        <v>148494</v>
      </c>
      <c r="D7" s="633">
        <v>3960</v>
      </c>
      <c r="E7" s="633">
        <v>63753</v>
      </c>
      <c r="F7" s="633">
        <v>1328464</v>
      </c>
      <c r="G7" s="633">
        <v>12535</v>
      </c>
      <c r="H7" s="633">
        <v>2970</v>
      </c>
      <c r="I7" s="634">
        <f>SUM(C7:H7)</f>
        <v>1560176</v>
      </c>
      <c r="J7" s="85"/>
      <c r="K7" s="2039"/>
      <c r="L7" s="2039"/>
      <c r="M7" s="517"/>
      <c r="N7" s="581"/>
      <c r="O7" s="581"/>
      <c r="P7" s="581"/>
      <c r="Q7" s="581"/>
      <c r="R7" s="581"/>
      <c r="S7" s="581"/>
      <c r="T7" s="582"/>
      <c r="U7" s="582"/>
      <c r="V7" s="582"/>
    </row>
    <row r="8" spans="1:22" ht="24.6" customHeight="1" x14ac:dyDescent="0.3">
      <c r="A8" s="83"/>
      <c r="B8" s="972" t="s">
        <v>149</v>
      </c>
      <c r="C8" s="661">
        <v>209482</v>
      </c>
      <c r="D8" s="661">
        <v>5040</v>
      </c>
      <c r="E8" s="661">
        <v>68263</v>
      </c>
      <c r="F8" s="661">
        <v>1411229</v>
      </c>
      <c r="G8" s="661">
        <v>25000</v>
      </c>
      <c r="H8" s="661">
        <v>7560</v>
      </c>
      <c r="I8" s="926">
        <f>SUM(C8:H8)</f>
        <v>1726574</v>
      </c>
      <c r="J8" s="2040"/>
      <c r="K8" s="2039"/>
      <c r="L8" s="2039"/>
      <c r="M8" s="517"/>
      <c r="N8" s="581"/>
      <c r="O8" s="581"/>
      <c r="P8" s="581"/>
      <c r="Q8" s="581"/>
      <c r="R8" s="581"/>
      <c r="S8" s="581"/>
      <c r="T8" s="582"/>
      <c r="U8" s="582"/>
      <c r="V8" s="582"/>
    </row>
    <row r="9" spans="1:22" ht="24.6" customHeight="1" x14ac:dyDescent="0.3">
      <c r="A9" s="83"/>
      <c r="B9" s="614" t="s">
        <v>227</v>
      </c>
      <c r="C9" s="638">
        <v>33250</v>
      </c>
      <c r="D9" s="638">
        <v>719.99999999999989</v>
      </c>
      <c r="E9" s="638">
        <v>45690</v>
      </c>
      <c r="F9" s="638">
        <v>251545</v>
      </c>
      <c r="G9" s="638">
        <v>7080</v>
      </c>
      <c r="H9" s="638">
        <v>2400</v>
      </c>
      <c r="I9" s="640">
        <f>SUM(C9:H9)</f>
        <v>340685</v>
      </c>
      <c r="J9" s="613"/>
      <c r="K9" s="2039"/>
      <c r="L9" s="2039"/>
      <c r="M9" s="517"/>
      <c r="N9" s="581"/>
      <c r="O9" s="581"/>
      <c r="P9" s="581"/>
      <c r="Q9" s="581"/>
      <c r="R9" s="581"/>
      <c r="S9" s="581"/>
      <c r="T9" s="582"/>
      <c r="U9" s="582"/>
      <c r="V9" s="582"/>
    </row>
    <row r="10" spans="1:22" ht="24.6" customHeight="1" thickBot="1" x14ac:dyDescent="0.35">
      <c r="A10" s="84"/>
      <c r="B10" s="616" t="s">
        <v>150</v>
      </c>
      <c r="C10" s="641">
        <v>5000</v>
      </c>
      <c r="D10" s="641">
        <v>496.1</v>
      </c>
      <c r="E10" s="641">
        <v>2637.8</v>
      </c>
      <c r="F10" s="641">
        <v>28600</v>
      </c>
      <c r="G10" s="641">
        <v>7476.5887900000007</v>
      </c>
      <c r="H10" s="641">
        <v>2000</v>
      </c>
      <c r="I10" s="643">
        <f>SUM(C10:H10)</f>
        <v>46210.488790000003</v>
      </c>
      <c r="J10" s="85"/>
      <c r="K10" s="2039"/>
      <c r="L10" s="2039"/>
      <c r="M10" s="517"/>
      <c r="N10" s="581"/>
      <c r="O10" s="581"/>
      <c r="P10" s="581"/>
      <c r="Q10" s="581"/>
      <c r="R10" s="581"/>
      <c r="S10" s="581"/>
      <c r="T10" s="582"/>
      <c r="U10" s="582"/>
      <c r="V10" s="582"/>
    </row>
    <row r="11" spans="1:22" ht="24.6" customHeight="1" thickBot="1" x14ac:dyDescent="0.35">
      <c r="A11" s="84"/>
      <c r="B11" s="232" t="s">
        <v>30</v>
      </c>
      <c r="C11" s="662">
        <f t="shared" ref="C11:I11" si="0">SUM(C7:C10)</f>
        <v>396226</v>
      </c>
      <c r="D11" s="662">
        <f t="shared" si="0"/>
        <v>10216.1</v>
      </c>
      <c r="E11" s="662">
        <f t="shared" si="0"/>
        <v>180343.8</v>
      </c>
      <c r="F11" s="662">
        <f t="shared" si="0"/>
        <v>3019838</v>
      </c>
      <c r="G11" s="662">
        <f t="shared" si="0"/>
        <v>52091.588790000002</v>
      </c>
      <c r="H11" s="662">
        <f t="shared" si="0"/>
        <v>14930</v>
      </c>
      <c r="I11" s="662">
        <f t="shared" si="0"/>
        <v>3673645.4887899999</v>
      </c>
      <c r="J11" s="85"/>
      <c r="K11" s="2039"/>
      <c r="L11" s="2039"/>
      <c r="M11" s="166"/>
      <c r="N11" s="581"/>
      <c r="O11" s="581"/>
      <c r="P11" s="581"/>
      <c r="Q11" s="582"/>
      <c r="R11" s="582"/>
      <c r="S11" s="582"/>
      <c r="T11" s="582"/>
      <c r="U11" s="582"/>
      <c r="V11" s="582"/>
    </row>
    <row r="12" spans="1:22" s="51" customFormat="1" ht="24.6" customHeight="1" x14ac:dyDescent="0.3">
      <c r="B12" s="663"/>
      <c r="C12" s="664"/>
      <c r="D12" s="622"/>
      <c r="E12" s="622"/>
      <c r="F12" s="665"/>
      <c r="G12" s="665"/>
      <c r="H12" s="665"/>
      <c r="I12" s="666"/>
      <c r="J12" s="52"/>
      <c r="K12" s="2039"/>
      <c r="L12" s="2039"/>
      <c r="M12" s="52"/>
      <c r="N12" s="580"/>
      <c r="O12" s="580"/>
      <c r="P12" s="580"/>
      <c r="Q12" s="590"/>
      <c r="R12" s="590"/>
      <c r="S12" s="590"/>
      <c r="T12" s="590"/>
      <c r="U12" s="590"/>
      <c r="V12" s="590"/>
    </row>
    <row r="13" spans="1:22" ht="24.6" customHeight="1" thickBot="1" x14ac:dyDescent="0.35">
      <c r="A13" s="84"/>
      <c r="B13" s="2885" t="s">
        <v>151</v>
      </c>
      <c r="C13" s="2886"/>
      <c r="D13" s="2886"/>
      <c r="E13" s="2886"/>
      <c r="F13" s="2886"/>
      <c r="G13" s="2886"/>
      <c r="H13" s="2886"/>
      <c r="I13" s="2887"/>
      <c r="J13" s="142"/>
      <c r="K13" s="2039"/>
      <c r="L13" s="2039"/>
      <c r="M13" s="166"/>
      <c r="N13" s="581"/>
      <c r="O13" s="581"/>
      <c r="P13" s="581"/>
      <c r="Q13" s="582"/>
      <c r="R13" s="582"/>
      <c r="S13" s="582"/>
      <c r="T13" s="582"/>
      <c r="U13" s="582"/>
      <c r="V13" s="582"/>
    </row>
    <row r="14" spans="1:22" ht="24.6" customHeight="1" thickBot="1" x14ac:dyDescent="0.35">
      <c r="A14" s="83"/>
      <c r="B14" s="100" t="s">
        <v>154</v>
      </c>
      <c r="C14" s="644">
        <v>145290</v>
      </c>
      <c r="D14" s="644">
        <v>324</v>
      </c>
      <c r="E14" s="644">
        <v>106844</v>
      </c>
      <c r="F14" s="644">
        <v>887651</v>
      </c>
      <c r="G14" s="644">
        <v>3213</v>
      </c>
      <c r="H14" s="644">
        <v>6678</v>
      </c>
      <c r="I14" s="634">
        <f>SUM(C14:H14)</f>
        <v>1150000</v>
      </c>
      <c r="J14" s="85"/>
      <c r="K14" s="2039"/>
      <c r="L14" s="2039"/>
      <c r="M14" s="517"/>
      <c r="N14" s="581"/>
      <c r="O14" s="581"/>
      <c r="P14" s="581"/>
      <c r="Q14" s="581"/>
      <c r="R14" s="581"/>
      <c r="S14" s="581"/>
      <c r="T14" s="582"/>
      <c r="U14" s="582"/>
      <c r="V14" s="582"/>
    </row>
    <row r="15" spans="1:22" ht="24.6" customHeight="1" thickBot="1" x14ac:dyDescent="0.35">
      <c r="A15" s="84"/>
      <c r="B15" s="26" t="s">
        <v>152</v>
      </c>
      <c r="C15" s="645">
        <f>SUM(C14)</f>
        <v>145290</v>
      </c>
      <c r="D15" s="645">
        <f t="shared" ref="D15:I15" si="1">SUM(D14)</f>
        <v>324</v>
      </c>
      <c r="E15" s="645">
        <f t="shared" si="1"/>
        <v>106844</v>
      </c>
      <c r="F15" s="645">
        <f t="shared" si="1"/>
        <v>887651</v>
      </c>
      <c r="G15" s="645">
        <f t="shared" si="1"/>
        <v>3213</v>
      </c>
      <c r="H15" s="645">
        <f t="shared" si="1"/>
        <v>6678</v>
      </c>
      <c r="I15" s="645">
        <f t="shared" si="1"/>
        <v>1150000</v>
      </c>
      <c r="J15" s="85"/>
      <c r="K15" s="2039"/>
      <c r="L15" s="2039"/>
      <c r="N15" s="745"/>
      <c r="O15" s="745"/>
      <c r="P15" s="581"/>
      <c r="Q15" s="582"/>
      <c r="R15" s="582"/>
      <c r="S15" s="582"/>
    </row>
    <row r="16" spans="1:22" s="51" customFormat="1" ht="24.6" customHeight="1" x14ac:dyDescent="0.3">
      <c r="A16" s="83"/>
      <c r="B16" s="2894"/>
      <c r="C16" s="2895"/>
      <c r="D16" s="2895"/>
      <c r="E16" s="2895"/>
      <c r="F16" s="2895"/>
      <c r="G16" s="2895"/>
      <c r="H16" s="2895"/>
      <c r="I16" s="2896"/>
      <c r="J16" s="142"/>
      <c r="K16" s="2039"/>
      <c r="L16" s="2039"/>
      <c r="N16" s="580"/>
      <c r="O16" s="580"/>
      <c r="P16" s="580"/>
      <c r="Q16" s="590"/>
      <c r="R16" s="590"/>
      <c r="S16" s="590"/>
    </row>
    <row r="17" spans="1:21" ht="24.6" customHeight="1" thickBot="1" x14ac:dyDescent="0.35">
      <c r="A17" s="84"/>
      <c r="B17" s="2885" t="s">
        <v>153</v>
      </c>
      <c r="C17" s="2886"/>
      <c r="D17" s="2886"/>
      <c r="E17" s="2886"/>
      <c r="F17" s="2886"/>
      <c r="G17" s="2886"/>
      <c r="H17" s="2886"/>
      <c r="I17" s="2887"/>
      <c r="J17" s="142"/>
      <c r="K17" s="2039"/>
      <c r="L17" s="2039"/>
      <c r="M17" s="45"/>
      <c r="N17" s="581"/>
      <c r="O17" s="581"/>
      <c r="P17" s="581"/>
      <c r="Q17" s="582"/>
      <c r="R17" s="582"/>
      <c r="S17" s="582"/>
    </row>
    <row r="18" spans="1:21" ht="24.6" customHeight="1" x14ac:dyDescent="0.3">
      <c r="A18" s="83"/>
      <c r="B18" s="156" t="s">
        <v>155</v>
      </c>
      <c r="C18" s="633">
        <v>81820</v>
      </c>
      <c r="D18" s="633">
        <v>228</v>
      </c>
      <c r="E18" s="633">
        <v>63783</v>
      </c>
      <c r="F18" s="633">
        <v>645133</v>
      </c>
      <c r="G18" s="633">
        <v>2256</v>
      </c>
      <c r="H18" s="633">
        <v>6780</v>
      </c>
      <c r="I18" s="634">
        <f>SUM(C18:H18)</f>
        <v>800000</v>
      </c>
      <c r="J18" s="85"/>
      <c r="K18" s="2039"/>
      <c r="L18" s="2039"/>
      <c r="M18" s="142"/>
      <c r="N18" s="746"/>
      <c r="O18" s="746"/>
      <c r="P18" s="746"/>
      <c r="Q18" s="746"/>
      <c r="R18" s="746"/>
      <c r="S18" s="746"/>
    </row>
    <row r="19" spans="1:21" ht="24.6" customHeight="1" thickBot="1" x14ac:dyDescent="0.35">
      <c r="A19" s="83"/>
      <c r="B19" s="1024" t="s">
        <v>156</v>
      </c>
      <c r="C19" s="635">
        <v>25180</v>
      </c>
      <c r="D19" s="635">
        <v>100</v>
      </c>
      <c r="E19" s="635">
        <v>10000</v>
      </c>
      <c r="F19" s="635">
        <v>63220</v>
      </c>
      <c r="G19" s="635">
        <v>500</v>
      </c>
      <c r="H19" s="635">
        <v>1000</v>
      </c>
      <c r="I19" s="1025">
        <f>SUM(C19:H19)</f>
        <v>100000</v>
      </c>
      <c r="J19" s="85"/>
      <c r="K19" s="2039"/>
      <c r="L19" s="2039"/>
      <c r="M19" s="603"/>
      <c r="N19" s="746"/>
      <c r="O19" s="746"/>
      <c r="P19" s="746"/>
      <c r="Q19" s="746"/>
      <c r="R19" s="746"/>
      <c r="S19" s="746"/>
    </row>
    <row r="20" spans="1:21" ht="24.6" customHeight="1" thickBot="1" x14ac:dyDescent="0.35">
      <c r="A20" s="84"/>
      <c r="B20" s="921" t="s">
        <v>152</v>
      </c>
      <c r="C20" s="645">
        <f t="shared" ref="C20:H20" si="2">C18+C19</f>
        <v>107000</v>
      </c>
      <c r="D20" s="645">
        <f t="shared" si="2"/>
        <v>328</v>
      </c>
      <c r="E20" s="645">
        <f t="shared" si="2"/>
        <v>73783</v>
      </c>
      <c r="F20" s="645">
        <f t="shared" si="2"/>
        <v>708353</v>
      </c>
      <c r="G20" s="645">
        <f t="shared" si="2"/>
        <v>2756</v>
      </c>
      <c r="H20" s="645">
        <f t="shared" si="2"/>
        <v>7780</v>
      </c>
      <c r="I20" s="932">
        <f>SUM(I18:I19)</f>
        <v>900000</v>
      </c>
      <c r="J20" s="85"/>
      <c r="K20" s="2039"/>
      <c r="L20" s="2039"/>
      <c r="M20" s="603"/>
      <c r="N20" s="581"/>
      <c r="O20" s="581"/>
      <c r="P20" s="581"/>
      <c r="Q20" s="582"/>
      <c r="R20" s="582"/>
      <c r="S20" s="582"/>
    </row>
    <row r="21" spans="1:21" ht="24.6" customHeight="1" thickBot="1" x14ac:dyDescent="0.35">
      <c r="A21" s="84"/>
      <c r="B21" s="930" t="s">
        <v>245</v>
      </c>
      <c r="C21" s="703">
        <v>10664.289975168358</v>
      </c>
      <c r="D21" s="703">
        <v>135.48303060522667</v>
      </c>
      <c r="E21" s="703">
        <v>1680.0559520856341</v>
      </c>
      <c r="F21" s="644">
        <v>76900.582329793746</v>
      </c>
      <c r="G21" s="703">
        <v>995.58871234704236</v>
      </c>
      <c r="H21" s="703">
        <v>9624</v>
      </c>
      <c r="I21" s="931">
        <f>SUM(C21:H21)</f>
        <v>100000.00000000001</v>
      </c>
      <c r="J21" s="85"/>
      <c r="K21" s="2039"/>
      <c r="L21" s="2039"/>
      <c r="N21" s="581"/>
      <c r="O21" s="581"/>
      <c r="P21" s="581"/>
      <c r="Q21" s="582"/>
      <c r="R21" s="582"/>
      <c r="S21" s="582"/>
    </row>
    <row r="22" spans="1:21" ht="24.6" customHeight="1" thickBot="1" x14ac:dyDescent="0.35">
      <c r="A22" s="84"/>
      <c r="B22" s="26" t="s">
        <v>31</v>
      </c>
      <c r="C22" s="645">
        <f>C15+C20+C21</f>
        <v>262954.28997516836</v>
      </c>
      <c r="D22" s="645">
        <f t="shared" ref="D22:I22" si="3">D15+D20+D21</f>
        <v>787.48303060522665</v>
      </c>
      <c r="E22" s="645">
        <f t="shared" si="3"/>
        <v>182307.05595208565</v>
      </c>
      <c r="F22" s="645">
        <f t="shared" si="3"/>
        <v>1672904.5823297938</v>
      </c>
      <c r="G22" s="645">
        <f t="shared" si="3"/>
        <v>6964.588712347042</v>
      </c>
      <c r="H22" s="645">
        <f t="shared" si="3"/>
        <v>24082</v>
      </c>
      <c r="I22" s="645">
        <f t="shared" si="3"/>
        <v>2150000</v>
      </c>
      <c r="J22" s="85"/>
      <c r="K22" s="2039"/>
      <c r="L22" s="2039"/>
      <c r="M22" s="142"/>
      <c r="N22" s="141"/>
    </row>
    <row r="23" spans="1:21" s="51" customFormat="1" ht="24.6" customHeight="1" x14ac:dyDescent="0.3">
      <c r="A23" s="83"/>
      <c r="B23" s="2894"/>
      <c r="C23" s="2895"/>
      <c r="D23" s="2895"/>
      <c r="E23" s="2895"/>
      <c r="F23" s="2895"/>
      <c r="G23" s="2895"/>
      <c r="H23" s="2895"/>
      <c r="I23" s="2896"/>
      <c r="J23" s="142"/>
      <c r="K23" s="142"/>
      <c r="L23" s="142"/>
      <c r="N23" s="167"/>
      <c r="O23" s="52"/>
      <c r="P23" s="52"/>
    </row>
    <row r="24" spans="1:21" ht="21" thickBot="1" x14ac:dyDescent="0.35">
      <c r="A24" s="83"/>
      <c r="B24" s="2885" t="s">
        <v>158</v>
      </c>
      <c r="C24" s="2886"/>
      <c r="D24" s="2886"/>
      <c r="E24" s="2886"/>
      <c r="F24" s="2886"/>
      <c r="G24" s="2886"/>
      <c r="H24" s="2886"/>
      <c r="I24" s="2887"/>
      <c r="O24" s="141"/>
      <c r="P24" s="49"/>
    </row>
    <row r="25" spans="1:21" s="9" customFormat="1" ht="16.5" customHeight="1" thickBot="1" x14ac:dyDescent="0.3">
      <c r="A25" s="1145"/>
      <c r="B25" s="2926" t="s">
        <v>393</v>
      </c>
      <c r="C25" s="2927"/>
      <c r="D25" s="2927"/>
      <c r="E25" s="2927"/>
      <c r="F25" s="2927"/>
      <c r="G25" s="2927"/>
      <c r="H25" s="2927"/>
      <c r="I25" s="2928"/>
      <c r="J25" s="1146"/>
      <c r="K25" s="1146"/>
      <c r="L25" s="1146"/>
      <c r="M25" s="517"/>
      <c r="N25" s="1147"/>
      <c r="O25" s="1147"/>
      <c r="P25" s="1148"/>
      <c r="T25" s="1149"/>
    </row>
    <row r="26" spans="1:21" s="9" customFormat="1" ht="16.5" customHeight="1" x14ac:dyDescent="0.25">
      <c r="A26" s="1150"/>
      <c r="B26" s="1151" t="s">
        <v>394</v>
      </c>
      <c r="C26" s="669"/>
      <c r="D26" s="669"/>
      <c r="E26" s="669">
        <v>0</v>
      </c>
      <c r="F26" s="669"/>
      <c r="G26" s="669"/>
      <c r="H26" s="669"/>
      <c r="I26" s="668">
        <f>SUM(C26:H26)</f>
        <v>0</v>
      </c>
      <c r="J26" s="1146"/>
      <c r="K26" s="1146"/>
      <c r="L26" s="1146"/>
      <c r="M26" s="1152"/>
      <c r="N26" s="1153"/>
      <c r="O26" s="1154"/>
      <c r="P26" s="1154"/>
      <c r="Q26" s="1155"/>
      <c r="R26" s="1155"/>
      <c r="S26" s="1156"/>
      <c r="T26" s="1149"/>
    </row>
    <row r="27" spans="1:21" s="9" customFormat="1" ht="16.5" customHeight="1" thickBot="1" x14ac:dyDescent="0.3">
      <c r="A27" s="1150"/>
      <c r="B27" s="2041" t="s">
        <v>492</v>
      </c>
      <c r="C27" s="669">
        <v>6000</v>
      </c>
      <c r="D27" s="669"/>
      <c r="E27" s="669">
        <v>44000</v>
      </c>
      <c r="F27" s="669"/>
      <c r="G27" s="669"/>
      <c r="H27" s="669"/>
      <c r="I27" s="1157">
        <f>SUM(C27:H27)</f>
        <v>50000</v>
      </c>
      <c r="J27" s="1146"/>
      <c r="K27" s="1146"/>
      <c r="L27" s="1146"/>
      <c r="M27" s="1158"/>
      <c r="O27" s="1147"/>
      <c r="P27" s="1147"/>
      <c r="Q27" s="1156"/>
      <c r="R27" s="1156"/>
      <c r="S27" s="1156"/>
      <c r="T27" s="1156"/>
      <c r="U27" s="1159"/>
    </row>
    <row r="28" spans="1:21" s="9" customFormat="1" ht="16.5" customHeight="1" thickBot="1" x14ac:dyDescent="0.3">
      <c r="A28" s="1150"/>
      <c r="B28" s="1160" t="s">
        <v>395</v>
      </c>
      <c r="C28" s="1161">
        <f t="shared" ref="C28:I28" si="4">SUM(C26:C27)</f>
        <v>6000</v>
      </c>
      <c r="D28" s="1161">
        <f t="shared" si="4"/>
        <v>0</v>
      </c>
      <c r="E28" s="1161">
        <f t="shared" si="4"/>
        <v>44000</v>
      </c>
      <c r="F28" s="1161">
        <f t="shared" si="4"/>
        <v>0</v>
      </c>
      <c r="G28" s="1161">
        <f t="shared" si="4"/>
        <v>0</v>
      </c>
      <c r="H28" s="1161">
        <f t="shared" si="4"/>
        <v>0</v>
      </c>
      <c r="I28" s="1161">
        <f t="shared" si="4"/>
        <v>50000</v>
      </c>
      <c r="J28" s="1146"/>
      <c r="K28" s="1146"/>
      <c r="L28" s="1146"/>
      <c r="M28" s="517"/>
      <c r="N28" s="1147"/>
      <c r="O28" s="1147"/>
      <c r="P28" s="1147"/>
      <c r="Q28" s="1156"/>
      <c r="R28" s="1156"/>
      <c r="U28" s="1159"/>
    </row>
    <row r="29" spans="1:21" s="1164" customFormat="1" ht="16.5" customHeight="1" thickBot="1" x14ac:dyDescent="0.3">
      <c r="A29" s="1150"/>
      <c r="B29" s="2929" t="s">
        <v>396</v>
      </c>
      <c r="C29" s="2930"/>
      <c r="D29" s="2930"/>
      <c r="E29" s="2930"/>
      <c r="F29" s="2930"/>
      <c r="G29" s="2930"/>
      <c r="H29" s="2930"/>
      <c r="I29" s="2931"/>
      <c r="J29" s="1146"/>
      <c r="K29" s="1146"/>
      <c r="L29" s="1146"/>
      <c r="M29" s="517"/>
      <c r="N29" s="1162"/>
      <c r="O29" s="1162"/>
      <c r="P29" s="1162"/>
      <c r="Q29" s="1163"/>
      <c r="R29" s="1163"/>
      <c r="U29" s="1165"/>
    </row>
    <row r="30" spans="1:21" s="9" customFormat="1" ht="16.5" customHeight="1" x14ac:dyDescent="0.25">
      <c r="A30" s="1150"/>
      <c r="B30" s="156" t="s">
        <v>278</v>
      </c>
      <c r="C30" s="1166">
        <v>0</v>
      </c>
      <c r="D30" s="1166">
        <v>0</v>
      </c>
      <c r="E30" s="667">
        <v>75000</v>
      </c>
      <c r="F30" s="1166">
        <v>0</v>
      </c>
      <c r="G30" s="1166">
        <v>0</v>
      </c>
      <c r="H30" s="1166">
        <v>0</v>
      </c>
      <c r="I30" s="668">
        <f>SUM(E30:H30)</f>
        <v>75000</v>
      </c>
      <c r="J30" s="1146"/>
      <c r="K30" s="1146"/>
      <c r="L30" s="1146"/>
      <c r="M30" s="852"/>
      <c r="N30" s="1147"/>
      <c r="O30" s="1147"/>
      <c r="P30" s="1147"/>
      <c r="Q30" s="1156"/>
      <c r="R30" s="1156"/>
      <c r="T30" s="1149"/>
    </row>
    <row r="31" spans="1:21" s="9" customFormat="1" ht="16.5" customHeight="1" x14ac:dyDescent="0.25">
      <c r="A31" s="1150"/>
      <c r="B31" s="693" t="s">
        <v>279</v>
      </c>
      <c r="C31" s="1166">
        <v>0</v>
      </c>
      <c r="D31" s="1166">
        <v>0</v>
      </c>
      <c r="E31" s="669">
        <v>90000</v>
      </c>
      <c r="F31" s="1166">
        <v>0</v>
      </c>
      <c r="G31" s="1166">
        <v>0</v>
      </c>
      <c r="H31" s="1166">
        <v>0</v>
      </c>
      <c r="I31" s="670">
        <f>SUM(E31:H31)</f>
        <v>90000</v>
      </c>
      <c r="J31" s="1146"/>
      <c r="K31" s="1146"/>
      <c r="L31" s="1146"/>
      <c r="M31" s="852"/>
      <c r="N31" s="1147"/>
      <c r="O31" s="1147"/>
      <c r="P31" s="1147"/>
      <c r="Q31" s="1156"/>
      <c r="R31" s="1156"/>
      <c r="T31" s="1149"/>
    </row>
    <row r="32" spans="1:21" s="9" customFormat="1" ht="16.5" customHeight="1" thickBot="1" x14ac:dyDescent="0.3">
      <c r="A32" s="1150"/>
      <c r="B32" s="1167" t="s">
        <v>280</v>
      </c>
      <c r="C32" s="1166">
        <v>0</v>
      </c>
      <c r="D32" s="1166">
        <v>0</v>
      </c>
      <c r="E32" s="913">
        <v>50000</v>
      </c>
      <c r="F32" s="1166">
        <v>0</v>
      </c>
      <c r="G32" s="1166">
        <v>0</v>
      </c>
      <c r="H32" s="1166">
        <v>0</v>
      </c>
      <c r="I32" s="1157">
        <f>SUM(C32:H32)</f>
        <v>50000</v>
      </c>
      <c r="J32" s="1146"/>
      <c r="K32" s="1146"/>
      <c r="L32" s="1146"/>
      <c r="M32" s="852"/>
      <c r="N32" s="1147"/>
      <c r="O32" s="1147"/>
      <c r="P32" s="1147"/>
      <c r="Q32" s="1156"/>
      <c r="R32" s="1156"/>
      <c r="T32" s="1149"/>
    </row>
    <row r="33" spans="1:27" s="1164" customFormat="1" ht="16.5" customHeight="1" thickBot="1" x14ac:dyDescent="0.3">
      <c r="A33" s="1150"/>
      <c r="B33" s="1168" t="s">
        <v>397</v>
      </c>
      <c r="C33" s="1169">
        <f t="shared" ref="C33:I33" si="5">SUM(C30:C32)</f>
        <v>0</v>
      </c>
      <c r="D33" s="1169">
        <f t="shared" si="5"/>
        <v>0</v>
      </c>
      <c r="E33" s="1169">
        <f t="shared" si="5"/>
        <v>215000</v>
      </c>
      <c r="F33" s="1169">
        <f t="shared" si="5"/>
        <v>0</v>
      </c>
      <c r="G33" s="1169">
        <f t="shared" si="5"/>
        <v>0</v>
      </c>
      <c r="H33" s="1169">
        <f t="shared" si="5"/>
        <v>0</v>
      </c>
      <c r="I33" s="1169">
        <f t="shared" si="5"/>
        <v>215000</v>
      </c>
      <c r="J33" s="1146"/>
      <c r="K33" s="1146"/>
      <c r="L33" s="1146"/>
      <c r="M33" s="852"/>
      <c r="N33" s="1162"/>
      <c r="O33" s="1162"/>
      <c r="P33" s="1162"/>
      <c r="Q33" s="1163"/>
      <c r="R33" s="1163"/>
      <c r="T33" s="1170"/>
    </row>
    <row r="34" spans="1:27" s="1164" customFormat="1" ht="16.5" customHeight="1" thickBot="1" x14ac:dyDescent="0.3">
      <c r="A34" s="1150"/>
      <c r="B34" s="2929" t="s">
        <v>398</v>
      </c>
      <c r="C34" s="2930"/>
      <c r="D34" s="2930"/>
      <c r="E34" s="2930"/>
      <c r="F34" s="2930"/>
      <c r="G34" s="2930"/>
      <c r="H34" s="2930"/>
      <c r="I34" s="2931"/>
      <c r="J34" s="1146"/>
      <c r="K34" s="1146"/>
      <c r="L34" s="1146"/>
      <c r="M34" s="852"/>
      <c r="N34" s="1162"/>
      <c r="O34" s="1162"/>
      <c r="P34" s="1162"/>
      <c r="Q34" s="1163"/>
      <c r="R34" s="1163"/>
      <c r="T34" s="1170"/>
    </row>
    <row r="35" spans="1:27" s="9" customFormat="1" ht="16.5" customHeight="1" x14ac:dyDescent="0.25">
      <c r="A35" s="1150"/>
      <c r="B35" s="953" t="s">
        <v>399</v>
      </c>
      <c r="C35" s="1171">
        <v>0</v>
      </c>
      <c r="D35" s="1171">
        <v>0</v>
      </c>
      <c r="E35" s="1171">
        <v>50000</v>
      </c>
      <c r="F35" s="1171">
        <v>0</v>
      </c>
      <c r="G35" s="1171">
        <v>0</v>
      </c>
      <c r="H35" s="1171">
        <v>0</v>
      </c>
      <c r="I35" s="668">
        <f>SUM(C35:H35)</f>
        <v>50000</v>
      </c>
      <c r="J35" s="1146"/>
      <c r="K35" s="1146"/>
      <c r="L35" s="1146"/>
      <c r="M35" s="1172"/>
      <c r="N35" s="1172"/>
      <c r="O35" s="1172"/>
      <c r="P35" s="1172"/>
      <c r="Q35" s="1172"/>
      <c r="R35" s="1172"/>
      <c r="S35" s="1172"/>
      <c r="T35" s="1172"/>
      <c r="U35" s="1172"/>
    </row>
    <row r="36" spans="1:27" s="9" customFormat="1" ht="16.5" customHeight="1" thickBot="1" x14ac:dyDescent="0.3">
      <c r="A36" s="1150"/>
      <c r="B36" s="1173" t="s">
        <v>400</v>
      </c>
      <c r="C36" s="1174">
        <f t="shared" ref="C36:I36" si="6">SUM(C35)</f>
        <v>0</v>
      </c>
      <c r="D36" s="1174">
        <f t="shared" si="6"/>
        <v>0</v>
      </c>
      <c r="E36" s="1174">
        <f t="shared" si="6"/>
        <v>50000</v>
      </c>
      <c r="F36" s="1174">
        <f t="shared" si="6"/>
        <v>0</v>
      </c>
      <c r="G36" s="1174">
        <f t="shared" si="6"/>
        <v>0</v>
      </c>
      <c r="H36" s="1174">
        <f t="shared" si="6"/>
        <v>0</v>
      </c>
      <c r="I36" s="1174">
        <f t="shared" si="6"/>
        <v>50000</v>
      </c>
      <c r="J36" s="1146"/>
      <c r="K36" s="1146"/>
      <c r="L36" s="1146"/>
      <c r="M36" s="852"/>
      <c r="N36" s="1147"/>
      <c r="O36" s="1147"/>
      <c r="P36" s="1147"/>
      <c r="Q36" s="1156"/>
      <c r="R36" s="1156"/>
      <c r="T36" s="1149"/>
    </row>
    <row r="37" spans="1:27" s="9" customFormat="1" ht="16.5" customHeight="1" x14ac:dyDescent="0.3">
      <c r="A37" s="1150"/>
      <c r="B37" s="2941" t="s">
        <v>401</v>
      </c>
      <c r="C37" s="2942"/>
      <c r="D37" s="2942"/>
      <c r="E37" s="2942"/>
      <c r="F37" s="2942"/>
      <c r="G37" s="2942"/>
      <c r="H37" s="2942"/>
      <c r="I37" s="2943"/>
      <c r="J37" s="1146"/>
      <c r="K37" s="1146"/>
      <c r="L37" s="1146"/>
      <c r="M37" s="1175"/>
      <c r="N37" s="1175"/>
      <c r="O37" s="1175"/>
      <c r="P37" s="1175"/>
      <c r="Q37" s="1175"/>
      <c r="R37" s="1175"/>
      <c r="T37" s="1149"/>
    </row>
    <row r="38" spans="1:27" s="9" customFormat="1" ht="16.5" customHeight="1" x14ac:dyDescent="0.25">
      <c r="A38" s="1150"/>
      <c r="B38" s="615" t="s">
        <v>402</v>
      </c>
      <c r="C38" s="638">
        <v>50000</v>
      </c>
      <c r="D38" s="638"/>
      <c r="E38" s="638">
        <v>10000</v>
      </c>
      <c r="F38" s="638"/>
      <c r="G38" s="638"/>
      <c r="H38" s="638"/>
      <c r="I38" s="640">
        <f>SUM(C38:H38)</f>
        <v>60000</v>
      </c>
      <c r="J38" s="1146"/>
      <c r="K38" s="1146"/>
      <c r="L38" s="1146"/>
      <c r="M38" s="582"/>
      <c r="N38" s="582"/>
      <c r="O38" s="582"/>
      <c r="P38" s="582"/>
      <c r="Q38" s="582"/>
      <c r="R38" s="584"/>
      <c r="S38" s="1156"/>
      <c r="T38" s="1149"/>
    </row>
    <row r="39" spans="1:27" s="9" customFormat="1" ht="16.5" customHeight="1" x14ac:dyDescent="0.25">
      <c r="A39" s="1150"/>
      <c r="B39" s="615" t="s">
        <v>403</v>
      </c>
      <c r="C39" s="638"/>
      <c r="D39" s="638"/>
      <c r="E39" s="638">
        <v>50000</v>
      </c>
      <c r="F39" s="638"/>
      <c r="G39" s="638"/>
      <c r="H39" s="638"/>
      <c r="I39" s="640">
        <f t="shared" ref="I39:I44" si="7">SUM(C39:H39)</f>
        <v>50000</v>
      </c>
      <c r="J39" s="1146"/>
      <c r="K39" s="1146"/>
      <c r="L39" s="1146"/>
      <c r="M39" s="582"/>
      <c r="N39" s="582"/>
      <c r="O39" s="582"/>
      <c r="P39" s="582"/>
      <c r="Q39" s="582"/>
      <c r="R39" s="584"/>
      <c r="S39" s="1156"/>
      <c r="T39" s="1149"/>
    </row>
    <row r="40" spans="1:27" s="9" customFormat="1" ht="16.5" customHeight="1" x14ac:dyDescent="0.25">
      <c r="A40" s="1150"/>
      <c r="B40" s="615" t="s">
        <v>404</v>
      </c>
      <c r="C40" s="638"/>
      <c r="D40" s="638"/>
      <c r="E40" s="638">
        <v>45000</v>
      </c>
      <c r="F40" s="638"/>
      <c r="G40" s="638"/>
      <c r="H40" s="638"/>
      <c r="I40" s="640">
        <f t="shared" si="7"/>
        <v>45000</v>
      </c>
      <c r="J40" s="1146"/>
      <c r="K40" s="1146"/>
      <c r="L40" s="1146"/>
      <c r="M40" s="582"/>
      <c r="N40" s="582"/>
      <c r="O40" s="582"/>
      <c r="P40" s="582"/>
      <c r="Q40" s="582"/>
      <c r="R40" s="584"/>
      <c r="S40" s="1156"/>
    </row>
    <row r="41" spans="1:27" s="9" customFormat="1" ht="16.5" customHeight="1" x14ac:dyDescent="0.25">
      <c r="A41" s="1150"/>
      <c r="B41" s="615" t="s">
        <v>281</v>
      </c>
      <c r="C41" s="638">
        <v>60000</v>
      </c>
      <c r="D41" s="638"/>
      <c r="E41" s="638"/>
      <c r="F41" s="638"/>
      <c r="G41" s="638"/>
      <c r="H41" s="638"/>
      <c r="I41" s="640">
        <f t="shared" si="7"/>
        <v>60000</v>
      </c>
      <c r="J41" s="1146"/>
      <c r="K41" s="1146"/>
      <c r="L41" s="1146"/>
      <c r="M41" s="582"/>
      <c r="N41" s="582"/>
      <c r="O41" s="582"/>
      <c r="P41" s="582"/>
      <c r="Q41" s="582"/>
      <c r="R41" s="584"/>
      <c r="S41" s="1156"/>
      <c r="T41" s="1164"/>
      <c r="U41" s="1159"/>
    </row>
    <row r="42" spans="1:27" s="1159" customFormat="1" ht="16.5" customHeight="1" x14ac:dyDescent="0.25">
      <c r="A42" s="1145"/>
      <c r="B42" s="615" t="s">
        <v>405</v>
      </c>
      <c r="C42" s="638">
        <v>25270</v>
      </c>
      <c r="D42" s="638"/>
      <c r="E42" s="638">
        <v>279730</v>
      </c>
      <c r="F42" s="638"/>
      <c r="G42" s="638"/>
      <c r="H42" s="638"/>
      <c r="I42" s="640">
        <f t="shared" si="7"/>
        <v>305000</v>
      </c>
      <c r="J42" s="1146"/>
      <c r="K42" s="1146"/>
      <c r="L42" s="1146"/>
      <c r="M42" s="582"/>
      <c r="N42" s="582"/>
      <c r="O42" s="582"/>
      <c r="P42" s="582"/>
      <c r="Q42" s="582"/>
      <c r="R42" s="584"/>
      <c r="S42" s="1163"/>
      <c r="T42" s="9"/>
      <c r="U42" s="9"/>
      <c r="V42" s="9"/>
      <c r="W42" s="9"/>
      <c r="X42" s="9"/>
      <c r="Y42" s="9"/>
      <c r="Z42" s="9"/>
      <c r="AA42" s="9"/>
    </row>
    <row r="43" spans="1:27" s="9" customFormat="1" ht="16.5" customHeight="1" x14ac:dyDescent="0.25">
      <c r="A43" s="1145"/>
      <c r="B43" s="615" t="s">
        <v>406</v>
      </c>
      <c r="C43" s="638"/>
      <c r="D43" s="638"/>
      <c r="E43" s="638">
        <v>24750</v>
      </c>
      <c r="F43" s="638"/>
      <c r="G43" s="638"/>
      <c r="H43" s="638"/>
      <c r="I43" s="640">
        <f t="shared" si="7"/>
        <v>24750</v>
      </c>
      <c r="J43" s="1146"/>
      <c r="K43" s="1146"/>
      <c r="L43" s="1146"/>
      <c r="M43" s="1159"/>
      <c r="N43" s="1159"/>
      <c r="O43" s="848"/>
      <c r="R43" s="1176"/>
    </row>
    <row r="44" spans="1:27" s="9" customFormat="1" ht="16.5" customHeight="1" thickBot="1" x14ac:dyDescent="0.3">
      <c r="A44" s="1145"/>
      <c r="B44" s="616" t="s">
        <v>407</v>
      </c>
      <c r="C44" s="638"/>
      <c r="D44" s="638"/>
      <c r="E44" s="638"/>
      <c r="F44" s="638"/>
      <c r="G44" s="638"/>
      <c r="H44" s="638">
        <v>332932</v>
      </c>
      <c r="I44" s="640">
        <f t="shared" si="7"/>
        <v>332932</v>
      </c>
      <c r="J44" s="1146"/>
      <c r="K44" s="1146"/>
      <c r="L44" s="1146"/>
      <c r="M44" s="1159"/>
      <c r="N44" s="1159"/>
      <c r="O44" s="848"/>
    </row>
    <row r="45" spans="1:27" s="9" customFormat="1" ht="16.5" customHeight="1" thickBot="1" x14ac:dyDescent="0.3">
      <c r="A45" s="1145"/>
      <c r="B45" s="232" t="s">
        <v>43</v>
      </c>
      <c r="C45" s="1177">
        <f t="shared" ref="C45:I45" si="8">SUM(C38:C44)</f>
        <v>135270</v>
      </c>
      <c r="D45" s="1177">
        <f t="shared" si="8"/>
        <v>0</v>
      </c>
      <c r="E45" s="1177">
        <f t="shared" si="8"/>
        <v>409480</v>
      </c>
      <c r="F45" s="1177">
        <f t="shared" si="8"/>
        <v>0</v>
      </c>
      <c r="G45" s="1177">
        <f t="shared" si="8"/>
        <v>0</v>
      </c>
      <c r="H45" s="1177">
        <f t="shared" si="8"/>
        <v>332932</v>
      </c>
      <c r="I45" s="1177">
        <f t="shared" si="8"/>
        <v>877682</v>
      </c>
      <c r="J45" s="1146"/>
      <c r="K45" s="1146"/>
      <c r="L45" s="1146"/>
      <c r="M45" s="1159"/>
      <c r="N45" s="1159"/>
      <c r="O45" s="848"/>
    </row>
    <row r="46" spans="1:27" ht="19.5" customHeight="1" thickBot="1" x14ac:dyDescent="0.35">
      <c r="A46" s="83"/>
      <c r="B46" s="2891" t="s">
        <v>28</v>
      </c>
      <c r="C46" s="2892"/>
      <c r="D46" s="2892"/>
      <c r="E46" s="2892"/>
      <c r="F46" s="2892"/>
      <c r="G46" s="2892"/>
      <c r="H46" s="2892"/>
      <c r="I46" s="2893"/>
      <c r="J46" s="166"/>
      <c r="K46" s="166"/>
      <c r="L46" s="166"/>
      <c r="M46" s="52"/>
      <c r="O46" s="141"/>
      <c r="P46" s="49"/>
    </row>
    <row r="47" spans="1:27" ht="21" customHeight="1" x14ac:dyDescent="0.3">
      <c r="A47" s="83"/>
      <c r="B47" s="1032" t="s">
        <v>7</v>
      </c>
      <c r="C47" s="655">
        <f>+C11+((C28+C39)*0.8)+C30+C31</f>
        <v>401026</v>
      </c>
      <c r="D47" s="655">
        <f t="shared" ref="D47:I47" si="9">+D11+((D28+D39)*0.8)+D30+D31</f>
        <v>10216.1</v>
      </c>
      <c r="E47" s="655">
        <f t="shared" si="9"/>
        <v>420543.8</v>
      </c>
      <c r="F47" s="655">
        <f t="shared" si="9"/>
        <v>3019838</v>
      </c>
      <c r="G47" s="655">
        <f t="shared" si="9"/>
        <v>52091.588790000002</v>
      </c>
      <c r="H47" s="655">
        <f t="shared" si="9"/>
        <v>14930</v>
      </c>
      <c r="I47" s="1033">
        <f t="shared" si="9"/>
        <v>3918645.4887899999</v>
      </c>
      <c r="J47" s="522"/>
      <c r="K47" s="522"/>
      <c r="L47" s="522"/>
      <c r="O47" s="141"/>
      <c r="P47" s="49"/>
    </row>
    <row r="48" spans="1:27" ht="21" customHeight="1" x14ac:dyDescent="0.3">
      <c r="A48" s="21"/>
      <c r="B48" s="1034" t="s">
        <v>8</v>
      </c>
      <c r="C48" s="657">
        <f>+C22+((C28+C39)*0.2)+C32</f>
        <v>264154.28997516836</v>
      </c>
      <c r="D48" s="657">
        <f t="shared" ref="D48:I48" si="10">+D22+((D28+D39)*0.2)+D32</f>
        <v>787.48303060522665</v>
      </c>
      <c r="E48" s="657">
        <f t="shared" si="10"/>
        <v>251107.05595208565</v>
      </c>
      <c r="F48" s="657">
        <f t="shared" si="10"/>
        <v>1672904.5823297938</v>
      </c>
      <c r="G48" s="657">
        <f t="shared" si="10"/>
        <v>6964.588712347042</v>
      </c>
      <c r="H48" s="657">
        <f t="shared" si="10"/>
        <v>24082</v>
      </c>
      <c r="I48" s="1035">
        <f t="shared" si="10"/>
        <v>2220000</v>
      </c>
      <c r="J48" s="522"/>
      <c r="K48" s="522"/>
      <c r="L48" s="522"/>
      <c r="M48" s="521"/>
      <c r="O48" s="141"/>
      <c r="P48" s="49"/>
    </row>
    <row r="49" spans="1:16" ht="21" customHeight="1" thickBot="1" x14ac:dyDescent="0.35">
      <c r="A49" s="86"/>
      <c r="B49" s="1036" t="s">
        <v>12</v>
      </c>
      <c r="C49" s="659">
        <f>+C38+C40+C41+C42+C43+C44+C35</f>
        <v>135270</v>
      </c>
      <c r="D49" s="659">
        <f t="shared" ref="D49:I49" si="11">+D38+D40+D41+D42+D43+D44+D35</f>
        <v>0</v>
      </c>
      <c r="E49" s="659">
        <f t="shared" si="11"/>
        <v>409480</v>
      </c>
      <c r="F49" s="659">
        <f t="shared" si="11"/>
        <v>0</v>
      </c>
      <c r="G49" s="659">
        <f t="shared" si="11"/>
        <v>0</v>
      </c>
      <c r="H49" s="659">
        <f t="shared" si="11"/>
        <v>332932</v>
      </c>
      <c r="I49" s="1037">
        <f t="shared" si="11"/>
        <v>877682</v>
      </c>
      <c r="J49" s="45"/>
      <c r="K49" s="45"/>
      <c r="L49" s="45"/>
      <c r="O49" s="141"/>
      <c r="P49" s="49"/>
    </row>
    <row r="50" spans="1:16" ht="21" thickBot="1" x14ac:dyDescent="0.35">
      <c r="A50" s="83"/>
      <c r="B50" s="648" t="s">
        <v>58</v>
      </c>
      <c r="C50" s="649">
        <f t="shared" ref="C50:I50" si="12">SUM(C47:C49)</f>
        <v>800450.28997516842</v>
      </c>
      <c r="D50" s="649">
        <f t="shared" si="12"/>
        <v>11003.583030605227</v>
      </c>
      <c r="E50" s="649">
        <f t="shared" si="12"/>
        <v>1081130.8559520857</v>
      </c>
      <c r="F50" s="649">
        <f t="shared" si="12"/>
        <v>4692742.5823297938</v>
      </c>
      <c r="G50" s="649">
        <f t="shared" si="12"/>
        <v>59056.17750234704</v>
      </c>
      <c r="H50" s="649">
        <f t="shared" si="12"/>
        <v>371944</v>
      </c>
      <c r="I50" s="649">
        <f t="shared" si="12"/>
        <v>7016327.4887899999</v>
      </c>
      <c r="J50" s="45"/>
      <c r="K50" s="45"/>
      <c r="L50" s="45"/>
      <c r="O50" s="141"/>
      <c r="P50" s="49"/>
    </row>
    <row r="51" spans="1:16" ht="15.75" x14ac:dyDescent="0.25">
      <c r="B51" s="144"/>
    </row>
  </sheetData>
  <mergeCells count="13">
    <mergeCell ref="B17:I17"/>
    <mergeCell ref="B23:I23"/>
    <mergeCell ref="B24:I24"/>
    <mergeCell ref="B1:I1"/>
    <mergeCell ref="B2:I2"/>
    <mergeCell ref="B6:I6"/>
    <mergeCell ref="B13:I13"/>
    <mergeCell ref="B16:I16"/>
    <mergeCell ref="B25:I25"/>
    <mergeCell ref="B29:I29"/>
    <mergeCell ref="B34:I34"/>
    <mergeCell ref="B37:I37"/>
    <mergeCell ref="B46:I46"/>
  </mergeCells>
  <phoneticPr fontId="10" type="noConversion"/>
  <printOptions horizontalCentered="1" verticalCentered="1"/>
  <pageMargins left="0.5" right="0.06" top="0.2" bottom="0.18" header="0.2" footer="0.25"/>
  <pageSetup scale="58" orientation="landscape" r:id="rId1"/>
  <headerFooter alignWithMargins="0">
    <oddFooter>&amp;C&amp;"Arial"&amp;11&amp;K000000&amp;14
Totals may vary due to rounding&amp;12
_x000D_&amp;1#&amp;"Calibri"&amp;12&amp;K008000Internal Use</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3">
    <tabColor indexed="44"/>
  </sheetPr>
  <dimension ref="A1:F43"/>
  <sheetViews>
    <sheetView workbookViewId="0">
      <selection activeCell="F39" sqref="F39"/>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313</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'SCG Table C 2013'!C50</f>
        <v>800450.28997516842</v>
      </c>
      <c r="C34" s="841"/>
      <c r="D34" s="236">
        <f t="shared" ref="D34:D39" si="0">SUM(B34/$B$41)</f>
        <v>0.11408394081576856</v>
      </c>
    </row>
    <row r="35" spans="1:4" x14ac:dyDescent="0.2">
      <c r="A35" t="s">
        <v>19</v>
      </c>
      <c r="B35" s="14">
        <f>'SCG Table C 2013'!D50</f>
        <v>11003.583030605227</v>
      </c>
      <c r="D35" s="236">
        <f t="shared" si="0"/>
        <v>1.5682824167181011E-3</v>
      </c>
    </row>
    <row r="36" spans="1:4" x14ac:dyDescent="0.2">
      <c r="A36" t="s">
        <v>4</v>
      </c>
      <c r="B36" s="14">
        <f>'SCG Table C 2013'!E50</f>
        <v>1081130.8559520857</v>
      </c>
      <c r="D36" s="236">
        <f t="shared" si="0"/>
        <v>0.15408785545991269</v>
      </c>
    </row>
    <row r="37" spans="1:4" x14ac:dyDescent="0.2">
      <c r="A37" t="s">
        <v>2</v>
      </c>
      <c r="B37" s="14">
        <f>'SCG Table C 2013'!F50</f>
        <v>4692742.5823297938</v>
      </c>
      <c r="D37" s="236">
        <f t="shared" si="0"/>
        <v>0.66883174849341021</v>
      </c>
    </row>
    <row r="38" spans="1:4" x14ac:dyDescent="0.2">
      <c r="A38" t="s">
        <v>14</v>
      </c>
      <c r="B38" s="14">
        <f>'SCG Table C 2013'!G50</f>
        <v>59056.17750234704</v>
      </c>
      <c r="D38" s="236">
        <f t="shared" si="0"/>
        <v>8.4169642304611943E-3</v>
      </c>
    </row>
    <row r="39" spans="1:4" x14ac:dyDescent="0.2">
      <c r="A39" t="s">
        <v>15</v>
      </c>
      <c r="B39" s="933">
        <f>'SCG Table C 2013'!H50</f>
        <v>371944</v>
      </c>
      <c r="D39" s="934">
        <f t="shared" si="0"/>
        <v>5.3011208583729257E-2</v>
      </c>
    </row>
    <row r="40" spans="1:4" x14ac:dyDescent="0.2">
      <c r="D40" s="47"/>
    </row>
    <row r="41" spans="1:4" x14ac:dyDescent="0.2">
      <c r="A41" s="629" t="s">
        <v>0</v>
      </c>
      <c r="B41" s="178">
        <f>SUM(B34:B39)</f>
        <v>7016327.4887899999</v>
      </c>
      <c r="D41" s="127">
        <f>SUM(D34:D39)</f>
        <v>1</v>
      </c>
    </row>
    <row r="43" spans="1:4" x14ac:dyDescent="0.2">
      <c r="A43" s="46"/>
    </row>
  </sheetData>
  <mergeCells count="3">
    <mergeCell ref="A1:E1"/>
    <mergeCell ref="A2:E2"/>
    <mergeCell ref="A3:E3"/>
  </mergeCells>
  <phoneticPr fontId="10" type="noConversion"/>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5">
    <tabColor indexed="44"/>
    <pageSetUpPr fitToPage="1"/>
  </sheetPr>
  <dimension ref="A1:Z53"/>
  <sheetViews>
    <sheetView zoomScale="70" workbookViewId="0">
      <selection sqref="A1:S1"/>
    </sheetView>
  </sheetViews>
  <sheetFormatPr defaultRowHeight="12.75" x14ac:dyDescent="0.2"/>
  <cols>
    <col min="1" max="1" width="7.140625" style="49" customWidth="1"/>
    <col min="2" max="2" width="56.85546875" style="49" bestFit="1" customWidth="1"/>
    <col min="3" max="3" width="21" style="64" bestFit="1" customWidth="1"/>
    <col min="4" max="4" width="15.7109375" style="63" customWidth="1"/>
    <col min="5" max="5" width="17.28515625" style="63" customWidth="1"/>
    <col min="6" max="6" width="19" style="49" customWidth="1"/>
    <col min="7" max="7" width="18" style="49" customWidth="1"/>
    <col min="8" max="8" width="21.7109375" style="49" customWidth="1"/>
    <col min="9" max="9" width="18.42578125" style="49" customWidth="1"/>
    <col min="10" max="10" width="9.7109375" style="50" customWidth="1"/>
    <col min="11" max="11" width="25.5703125" style="50" customWidth="1"/>
    <col min="12" max="12" width="12" style="50" customWidth="1"/>
    <col min="13" max="14" width="8.7109375" style="50" customWidth="1"/>
    <col min="15" max="15" width="12.7109375" style="49" customWidth="1"/>
    <col min="16" max="20" width="8.7109375" style="49" customWidth="1"/>
    <col min="21" max="16384" width="9.140625" style="49"/>
  </cols>
  <sheetData>
    <row r="1" spans="1:26" ht="25.5" x14ac:dyDescent="0.35">
      <c r="B1" s="2944" t="s">
        <v>82</v>
      </c>
      <c r="C1" s="2944"/>
      <c r="D1" s="2944"/>
      <c r="E1" s="2944"/>
      <c r="F1" s="2944"/>
      <c r="G1" s="2944"/>
      <c r="H1" s="2944"/>
      <c r="I1" s="2944"/>
    </row>
    <row r="2" spans="1:26" ht="25.5" x14ac:dyDescent="0.35">
      <c r="B2" s="2944" t="s">
        <v>256</v>
      </c>
      <c r="C2" s="2944"/>
      <c r="D2" s="2944"/>
      <c r="E2" s="2944"/>
      <c r="F2" s="2944"/>
      <c r="G2" s="2944"/>
      <c r="H2" s="2944"/>
      <c r="I2" s="2944"/>
    </row>
    <row r="3" spans="1:26" ht="25.5" x14ac:dyDescent="0.35">
      <c r="B3" s="2944" t="s">
        <v>301</v>
      </c>
      <c r="C3" s="2944"/>
      <c r="D3" s="2944"/>
      <c r="E3" s="2944"/>
      <c r="F3" s="2944"/>
      <c r="G3" s="2944"/>
      <c r="H3" s="2944"/>
      <c r="I3" s="2944"/>
    </row>
    <row r="4" spans="1:26" ht="6.75" customHeight="1" thickBot="1" x14ac:dyDescent="0.3">
      <c r="B4" s="11"/>
      <c r="C4" s="10"/>
      <c r="D4" s="8"/>
      <c r="E4" s="8"/>
      <c r="F4" s="9"/>
      <c r="G4" s="9"/>
      <c r="H4" s="9"/>
      <c r="I4" s="9"/>
    </row>
    <row r="5" spans="1:26" ht="48.75" thickBot="1" x14ac:dyDescent="0.35">
      <c r="A5" s="21"/>
      <c r="B5" s="630" t="s">
        <v>42</v>
      </c>
      <c r="C5" s="631" t="s">
        <v>53</v>
      </c>
      <c r="D5" s="631" t="s">
        <v>13</v>
      </c>
      <c r="E5" s="631" t="s">
        <v>4</v>
      </c>
      <c r="F5" s="631" t="s">
        <v>2</v>
      </c>
      <c r="G5" s="631" t="s">
        <v>14</v>
      </c>
      <c r="H5" s="631" t="s">
        <v>15</v>
      </c>
      <c r="I5" s="631" t="s">
        <v>16</v>
      </c>
      <c r="J5" s="45"/>
      <c r="K5" s="45"/>
    </row>
    <row r="6" spans="1:26" ht="21" thickBot="1" x14ac:dyDescent="0.35">
      <c r="A6" s="21"/>
      <c r="B6" s="2888" t="s">
        <v>5</v>
      </c>
      <c r="C6" s="2889"/>
      <c r="D6" s="2889"/>
      <c r="E6" s="2889"/>
      <c r="F6" s="2889"/>
      <c r="G6" s="2889"/>
      <c r="H6" s="2889"/>
      <c r="I6" s="2890"/>
      <c r="J6" s="45"/>
      <c r="K6" s="82"/>
    </row>
    <row r="7" spans="1:26" ht="20.25" x14ac:dyDescent="0.3">
      <c r="A7" s="83"/>
      <c r="B7" s="100" t="s">
        <v>222</v>
      </c>
      <c r="C7" s="633">
        <v>164994</v>
      </c>
      <c r="D7" s="633">
        <v>3960</v>
      </c>
      <c r="E7" s="633">
        <v>45550</v>
      </c>
      <c r="F7" s="633">
        <v>2091114</v>
      </c>
      <c r="G7" s="633">
        <v>8910</v>
      </c>
      <c r="H7" s="633">
        <v>2970</v>
      </c>
      <c r="I7" s="634">
        <f>SUM(C7:H7)</f>
        <v>2317498</v>
      </c>
      <c r="J7" s="85"/>
      <c r="K7" s="517"/>
      <c r="L7" s="581">
        <v>0.10271111111111111</v>
      </c>
      <c r="M7" s="581">
        <v>3.632370332826491E-3</v>
      </c>
      <c r="N7" s="581">
        <v>6.9022446299902479E-2</v>
      </c>
      <c r="O7" s="581">
        <f>82.1862690177039%-0.0027</f>
        <v>0.81916269017703902</v>
      </c>
      <c r="P7" s="581">
        <v>2.7239072508099104E-3</v>
      </c>
      <c r="Q7" s="581">
        <v>2.7239072508099104E-3</v>
      </c>
      <c r="R7" s="582"/>
      <c r="S7" s="582"/>
      <c r="T7" s="582"/>
    </row>
    <row r="8" spans="1:26" ht="21" thickBot="1" x14ac:dyDescent="0.35">
      <c r="A8" s="83"/>
      <c r="B8" s="924" t="s">
        <v>223</v>
      </c>
      <c r="C8" s="925"/>
      <c r="D8" s="925"/>
      <c r="E8" s="925">
        <v>25803</v>
      </c>
      <c r="F8" s="925"/>
      <c r="G8" s="925"/>
      <c r="H8" s="925"/>
      <c r="I8" s="789">
        <f>SUM(C8:H8)</f>
        <v>25803</v>
      </c>
      <c r="J8" s="85"/>
      <c r="K8" s="517"/>
      <c r="L8" s="581"/>
      <c r="M8" s="581"/>
      <c r="N8" s="581">
        <v>1</v>
      </c>
      <c r="O8" s="582"/>
      <c r="P8" s="582"/>
      <c r="Q8" s="582"/>
      <c r="R8" s="582"/>
      <c r="S8" s="582"/>
      <c r="T8" s="582"/>
    </row>
    <row r="9" spans="1:26" ht="21" thickBot="1" x14ac:dyDescent="0.35">
      <c r="A9" s="83"/>
      <c r="B9" s="791" t="s">
        <v>236</v>
      </c>
      <c r="C9" s="636">
        <f>SUM(C7:C8)</f>
        <v>164994</v>
      </c>
      <c r="D9" s="636">
        <f t="shared" ref="D9:I9" si="0">SUM(D7:D8)</f>
        <v>3960</v>
      </c>
      <c r="E9" s="636">
        <f t="shared" si="0"/>
        <v>71353</v>
      </c>
      <c r="F9" s="636">
        <f t="shared" si="0"/>
        <v>2091114</v>
      </c>
      <c r="G9" s="636">
        <f t="shared" si="0"/>
        <v>8910</v>
      </c>
      <c r="H9" s="636">
        <f t="shared" si="0"/>
        <v>2970</v>
      </c>
      <c r="I9" s="842">
        <f t="shared" si="0"/>
        <v>2343301</v>
      </c>
      <c r="J9" s="85"/>
      <c r="K9" s="52"/>
      <c r="L9" s="581"/>
      <c r="M9" s="581"/>
      <c r="N9" s="581"/>
      <c r="O9" s="582"/>
      <c r="P9" s="582"/>
      <c r="Q9" s="582"/>
      <c r="R9" s="582"/>
      <c r="S9" s="582"/>
      <c r="T9" s="582"/>
    </row>
    <row r="10" spans="1:26" ht="20.25" x14ac:dyDescent="0.3">
      <c r="A10" s="83"/>
      <c r="B10" s="155" t="s">
        <v>149</v>
      </c>
      <c r="C10" s="661">
        <v>297920</v>
      </c>
      <c r="D10" s="661">
        <v>5040</v>
      </c>
      <c r="E10" s="661">
        <v>249704</v>
      </c>
      <c r="F10" s="661">
        <v>2495793</v>
      </c>
      <c r="G10" s="661">
        <v>37644</v>
      </c>
      <c r="H10" s="661">
        <v>7560</v>
      </c>
      <c r="I10" s="926">
        <f>SUM(C10:H10)</f>
        <v>3093661</v>
      </c>
      <c r="J10" s="825"/>
      <c r="K10" s="833"/>
      <c r="L10" s="581">
        <v>0.12147329285438305</v>
      </c>
      <c r="M10" s="581">
        <v>2.8571428571428571E-3</v>
      </c>
      <c r="N10" s="581">
        <v>0.34285714285714286</v>
      </c>
      <c r="O10" s="581">
        <f>1-SUM(L10,M10,N10,P10,Q10)</f>
        <v>0.52138385000275989</v>
      </c>
      <c r="P10" s="581">
        <v>7.1428571428571426E-3</v>
      </c>
      <c r="Q10" s="581">
        <v>4.2857142857142859E-3</v>
      </c>
      <c r="R10" s="582"/>
      <c r="S10" s="582"/>
      <c r="T10" s="582"/>
    </row>
    <row r="11" spans="1:26" ht="20.25" x14ac:dyDescent="0.3">
      <c r="A11" s="83"/>
      <c r="B11" s="155" t="s">
        <v>227</v>
      </c>
      <c r="C11" s="638">
        <v>33250</v>
      </c>
      <c r="D11" s="638">
        <v>720</v>
      </c>
      <c r="E11" s="638">
        <v>45690</v>
      </c>
      <c r="F11" s="638">
        <v>210860</v>
      </c>
      <c r="G11" s="638">
        <v>7080</v>
      </c>
      <c r="H11" s="638">
        <v>2400</v>
      </c>
      <c r="I11" s="640">
        <f>SUM(C11:H11)</f>
        <v>300000</v>
      </c>
      <c r="J11" s="613"/>
      <c r="K11" s="517"/>
      <c r="L11" s="581">
        <v>0.10639999999999999</v>
      </c>
      <c r="M11" s="581">
        <v>2.3999999999999998E-3</v>
      </c>
      <c r="N11" s="581">
        <v>0.15229999999999999</v>
      </c>
      <c r="O11" s="581">
        <f>1-SUM(L11,M11,N11,P11,Q11)</f>
        <v>0.70730000000000004</v>
      </c>
      <c r="P11" s="581">
        <v>2.3599999999999999E-2</v>
      </c>
      <c r="Q11" s="581">
        <v>8.0000000000000002E-3</v>
      </c>
      <c r="R11" s="582"/>
      <c r="S11" s="582"/>
      <c r="T11" s="582"/>
    </row>
    <row r="12" spans="1:26" ht="21" thickBot="1" x14ac:dyDescent="0.35">
      <c r="A12" s="84"/>
      <c r="B12" s="140" t="s">
        <v>150</v>
      </c>
      <c r="C12" s="641">
        <v>5000</v>
      </c>
      <c r="D12" s="641">
        <v>496</v>
      </c>
      <c r="E12" s="641">
        <v>2638</v>
      </c>
      <c r="F12" s="641">
        <v>28600</v>
      </c>
      <c r="G12" s="641">
        <v>7477</v>
      </c>
      <c r="H12" s="641">
        <v>2000</v>
      </c>
      <c r="I12" s="643">
        <f>SUM(C12:H12)</f>
        <v>46211</v>
      </c>
      <c r="J12" s="85"/>
      <c r="K12" s="517"/>
      <c r="L12" s="581">
        <v>0.15388429752066116</v>
      </c>
      <c r="M12" s="581">
        <v>4.1000000000000003E-3</v>
      </c>
      <c r="N12" s="581">
        <v>2.18E-2</v>
      </c>
      <c r="O12" s="581">
        <v>0.7419</v>
      </c>
      <c r="P12" s="581">
        <v>6.1800000000000001E-2</v>
      </c>
      <c r="Q12" s="581">
        <v>1.6528925619834711E-2</v>
      </c>
      <c r="R12" s="582"/>
      <c r="S12" s="582"/>
      <c r="T12" s="582"/>
    </row>
    <row r="13" spans="1:26" ht="21" thickBot="1" x14ac:dyDescent="0.35">
      <c r="A13" s="84"/>
      <c r="B13" s="232" t="s">
        <v>30</v>
      </c>
      <c r="C13" s="662">
        <f>C9+C10+C11+C12</f>
        <v>501164</v>
      </c>
      <c r="D13" s="662">
        <f t="shared" ref="D13:I13" si="1">D9+D10+D11+D12</f>
        <v>10216</v>
      </c>
      <c r="E13" s="662">
        <f t="shared" si="1"/>
        <v>369385</v>
      </c>
      <c r="F13" s="662">
        <f t="shared" si="1"/>
        <v>4826367</v>
      </c>
      <c r="G13" s="662">
        <f t="shared" si="1"/>
        <v>61111</v>
      </c>
      <c r="H13" s="662">
        <f t="shared" si="1"/>
        <v>14930</v>
      </c>
      <c r="I13" s="662">
        <f t="shared" si="1"/>
        <v>5783173</v>
      </c>
      <c r="J13" s="85"/>
      <c r="K13" s="166"/>
      <c r="L13" s="581"/>
      <c r="M13" s="581"/>
      <c r="N13" s="581"/>
      <c r="O13" s="582"/>
      <c r="P13" s="582"/>
      <c r="Q13" s="582"/>
      <c r="R13" s="582"/>
      <c r="S13" s="580"/>
      <c r="T13" s="580"/>
      <c r="U13" s="52"/>
      <c r="V13" s="52"/>
      <c r="W13" s="52"/>
    </row>
    <row r="14" spans="1:26" s="51" customFormat="1" ht="15" x14ac:dyDescent="0.2">
      <c r="B14" s="663"/>
      <c r="C14" s="664"/>
      <c r="D14" s="622"/>
      <c r="E14" s="622"/>
      <c r="F14" s="665"/>
      <c r="G14" s="665"/>
      <c r="H14" s="665"/>
      <c r="I14" s="666"/>
      <c r="J14" s="52"/>
      <c r="K14" s="52"/>
      <c r="L14" s="580"/>
      <c r="M14" s="580"/>
      <c r="N14" s="580"/>
      <c r="O14" s="590"/>
      <c r="P14" s="590"/>
      <c r="Q14" s="590"/>
      <c r="R14" s="590"/>
      <c r="S14" s="580"/>
      <c r="T14" s="580"/>
      <c r="U14" s="580"/>
      <c r="V14" s="52"/>
      <c r="W14" s="52"/>
    </row>
    <row r="15" spans="1:26" ht="21" thickBot="1" x14ac:dyDescent="0.35">
      <c r="A15" s="84"/>
      <c r="B15" s="2885" t="s">
        <v>151</v>
      </c>
      <c r="C15" s="2886"/>
      <c r="D15" s="2886"/>
      <c r="E15" s="2886"/>
      <c r="F15" s="2886"/>
      <c r="G15" s="2886"/>
      <c r="H15" s="2886"/>
      <c r="I15" s="2887"/>
      <c r="J15" s="142"/>
      <c r="K15" s="166"/>
      <c r="L15" s="581"/>
      <c r="M15" s="581"/>
      <c r="N15" s="581"/>
      <c r="O15" s="582"/>
      <c r="P15" s="582"/>
      <c r="Q15" s="582"/>
      <c r="R15" s="582"/>
      <c r="S15" s="580"/>
      <c r="T15" s="52"/>
      <c r="U15" s="52"/>
      <c r="V15" s="52"/>
      <c r="W15" s="52"/>
      <c r="X15" s="51"/>
      <c r="Y15" s="51"/>
      <c r="Z15" s="51"/>
    </row>
    <row r="16" spans="1:26" ht="21" thickBot="1" x14ac:dyDescent="0.35">
      <c r="A16" s="83"/>
      <c r="B16" s="100" t="s">
        <v>154</v>
      </c>
      <c r="C16" s="644">
        <v>273145</v>
      </c>
      <c r="D16" s="644">
        <v>618</v>
      </c>
      <c r="E16" s="644">
        <v>200867</v>
      </c>
      <c r="F16" s="644">
        <v>1587227</v>
      </c>
      <c r="G16" s="644">
        <v>6040</v>
      </c>
      <c r="H16" s="644">
        <v>12565</v>
      </c>
      <c r="I16" s="634">
        <f>SUM(C16:H16)</f>
        <v>2080462</v>
      </c>
      <c r="J16" s="85"/>
      <c r="K16" s="517"/>
      <c r="L16" s="857">
        <v>1150000</v>
      </c>
      <c r="M16" s="858">
        <v>1.88</v>
      </c>
      <c r="N16" s="572"/>
      <c r="O16" s="859">
        <f>I16</f>
        <v>2080462</v>
      </c>
      <c r="P16" s="572"/>
      <c r="Q16" s="572"/>
      <c r="R16" s="582"/>
      <c r="S16" s="580"/>
      <c r="T16" s="790"/>
      <c r="U16" s="790"/>
      <c r="V16" s="790"/>
      <c r="W16" s="790"/>
      <c r="X16" s="790"/>
      <c r="Y16" s="790"/>
      <c r="Z16" s="831"/>
    </row>
    <row r="17" spans="1:26" ht="21" thickBot="1" x14ac:dyDescent="0.35">
      <c r="A17" s="84"/>
      <c r="B17" s="26" t="s">
        <v>152</v>
      </c>
      <c r="C17" s="645">
        <f>SUM(C16)</f>
        <v>273145</v>
      </c>
      <c r="D17" s="645">
        <f t="shared" ref="D17:I17" si="2">SUM(D16)</f>
        <v>618</v>
      </c>
      <c r="E17" s="645">
        <f t="shared" si="2"/>
        <v>200867</v>
      </c>
      <c r="F17" s="645">
        <f t="shared" si="2"/>
        <v>1587227</v>
      </c>
      <c r="G17" s="645">
        <f t="shared" si="2"/>
        <v>6040</v>
      </c>
      <c r="H17" s="645">
        <f t="shared" si="2"/>
        <v>12565</v>
      </c>
      <c r="I17" s="645">
        <f t="shared" si="2"/>
        <v>2080462</v>
      </c>
      <c r="J17" s="85"/>
      <c r="L17" s="860"/>
      <c r="M17" s="834"/>
      <c r="N17" s="835"/>
      <c r="O17" s="861"/>
      <c r="P17" s="836"/>
      <c r="Q17" s="836"/>
      <c r="S17" s="52"/>
      <c r="T17" s="52"/>
      <c r="U17" s="52"/>
      <c r="V17" s="52"/>
      <c r="W17" s="52"/>
      <c r="X17" s="51"/>
      <c r="Y17" s="51"/>
      <c r="Z17" s="51"/>
    </row>
    <row r="18" spans="1:26" s="51" customFormat="1" ht="20.25" x14ac:dyDescent="0.3">
      <c r="A18" s="83"/>
      <c r="B18" s="2894"/>
      <c r="C18" s="2895"/>
      <c r="D18" s="2895"/>
      <c r="E18" s="2895"/>
      <c r="F18" s="2895"/>
      <c r="G18" s="2895"/>
      <c r="H18" s="2895"/>
      <c r="I18" s="2896"/>
      <c r="J18" s="142"/>
      <c r="L18" s="862"/>
      <c r="M18" s="837"/>
      <c r="N18" s="837"/>
      <c r="O18" s="863"/>
      <c r="P18" s="838"/>
      <c r="Q18" s="838"/>
      <c r="S18" s="52"/>
      <c r="T18" s="52"/>
      <c r="U18" s="52"/>
      <c r="V18" s="52"/>
      <c r="W18" s="52"/>
    </row>
    <row r="19" spans="1:26" ht="21" thickBot="1" x14ac:dyDescent="0.35">
      <c r="A19" s="84"/>
      <c r="B19" s="2885" t="s">
        <v>153</v>
      </c>
      <c r="C19" s="2886"/>
      <c r="D19" s="2886"/>
      <c r="E19" s="2886"/>
      <c r="F19" s="2886"/>
      <c r="G19" s="2886"/>
      <c r="H19" s="2886"/>
      <c r="I19" s="2887"/>
      <c r="J19" s="142"/>
      <c r="K19" s="45"/>
      <c r="L19" s="864"/>
      <c r="M19" s="835"/>
      <c r="N19" s="835"/>
      <c r="O19" s="861"/>
      <c r="P19" s="836"/>
      <c r="Q19" s="836"/>
      <c r="S19" s="52"/>
      <c r="T19" s="52"/>
      <c r="U19" s="52"/>
      <c r="V19" s="52"/>
      <c r="W19" s="52"/>
      <c r="X19" s="51"/>
      <c r="Y19" s="51"/>
      <c r="Z19" s="51"/>
    </row>
    <row r="20" spans="1:26" ht="21" thickBot="1" x14ac:dyDescent="0.35">
      <c r="A20" s="83"/>
      <c r="B20" s="100" t="s">
        <v>155</v>
      </c>
      <c r="C20" s="644">
        <v>156500</v>
      </c>
      <c r="D20" s="644">
        <v>2250</v>
      </c>
      <c r="E20" s="644">
        <v>119500</v>
      </c>
      <c r="F20" s="644">
        <v>1153576</v>
      </c>
      <c r="G20" s="644">
        <v>6700</v>
      </c>
      <c r="H20" s="644">
        <v>18760</v>
      </c>
      <c r="I20" s="634">
        <f>SUM(C20:H20)</f>
        <v>1457286</v>
      </c>
      <c r="J20" s="85"/>
      <c r="K20" s="142"/>
      <c r="L20" s="865">
        <v>800000</v>
      </c>
      <c r="M20" s="858">
        <v>1.88</v>
      </c>
      <c r="N20" s="839"/>
      <c r="O20" s="859">
        <f>I20</f>
        <v>1457286</v>
      </c>
      <c r="P20" s="839"/>
      <c r="Q20" s="839"/>
      <c r="S20" s="52"/>
      <c r="T20" s="790"/>
      <c r="U20" s="790"/>
      <c r="V20" s="790"/>
      <c r="W20" s="790"/>
      <c r="X20" s="790"/>
      <c r="Y20" s="790"/>
      <c r="Z20" s="831"/>
    </row>
    <row r="21" spans="1:26" ht="21" thickBot="1" x14ac:dyDescent="0.35">
      <c r="A21" s="83"/>
      <c r="B21" s="100" t="s">
        <v>156</v>
      </c>
      <c r="C21" s="644">
        <v>47339</v>
      </c>
      <c r="D21" s="644">
        <v>188</v>
      </c>
      <c r="E21" s="644">
        <v>18800</v>
      </c>
      <c r="F21" s="644">
        <v>113045</v>
      </c>
      <c r="G21" s="644">
        <v>940</v>
      </c>
      <c r="H21" s="644">
        <v>3738</v>
      </c>
      <c r="I21" s="634">
        <f>SUM(C21:H21)</f>
        <v>184050</v>
      </c>
      <c r="J21" s="85"/>
      <c r="K21" s="603"/>
      <c r="L21" s="865">
        <v>100000</v>
      </c>
      <c r="M21" s="858">
        <v>1.88</v>
      </c>
      <c r="N21" s="839"/>
      <c r="O21" s="859">
        <f>I21</f>
        <v>184050</v>
      </c>
      <c r="P21" s="839"/>
      <c r="Q21" s="839"/>
      <c r="S21" s="52"/>
      <c r="T21" s="790"/>
      <c r="U21" s="790"/>
      <c r="V21" s="790"/>
      <c r="W21" s="790"/>
      <c r="X21" s="790"/>
      <c r="Y21" s="790"/>
      <c r="Z21" s="831"/>
    </row>
    <row r="22" spans="1:26" ht="21" thickBot="1" x14ac:dyDescent="0.35">
      <c r="A22" s="84"/>
      <c r="B22" s="26" t="s">
        <v>299</v>
      </c>
      <c r="C22" s="645">
        <f t="shared" ref="C22:H22" si="3">C20+C21</f>
        <v>203839</v>
      </c>
      <c r="D22" s="645">
        <f t="shared" si="3"/>
        <v>2438</v>
      </c>
      <c r="E22" s="645">
        <f t="shared" si="3"/>
        <v>138300</v>
      </c>
      <c r="F22" s="645">
        <f t="shared" si="3"/>
        <v>1266621</v>
      </c>
      <c r="G22" s="645">
        <f t="shared" si="3"/>
        <v>7640</v>
      </c>
      <c r="H22" s="645">
        <f t="shared" si="3"/>
        <v>22498</v>
      </c>
      <c r="I22" s="645">
        <f>SUM(I20:I21)</f>
        <v>1641336</v>
      </c>
      <c r="J22" s="85"/>
      <c r="K22" s="603"/>
      <c r="L22" s="864"/>
      <c r="O22" s="859" t="s">
        <v>3</v>
      </c>
      <c r="S22" s="52"/>
      <c r="T22" s="52"/>
      <c r="U22" s="52"/>
      <c r="V22" s="52"/>
      <c r="W22" s="52"/>
      <c r="X22" s="51"/>
      <c r="Y22" s="51"/>
      <c r="Z22" s="51"/>
    </row>
    <row r="23" spans="1:26" ht="21" thickBot="1" x14ac:dyDescent="0.35">
      <c r="A23" s="84"/>
      <c r="B23" s="690" t="s">
        <v>245</v>
      </c>
      <c r="C23" s="703">
        <v>20954</v>
      </c>
      <c r="D23" s="703">
        <v>2250</v>
      </c>
      <c r="E23" s="703">
        <v>6300</v>
      </c>
      <c r="F23" s="644">
        <v>137508</v>
      </c>
      <c r="G23" s="703">
        <v>2200</v>
      </c>
      <c r="H23" s="703">
        <v>18551</v>
      </c>
      <c r="I23" s="703">
        <f>SUM(C23:H23)</f>
        <v>187763</v>
      </c>
      <c r="J23" s="85"/>
      <c r="L23" s="864">
        <v>100000</v>
      </c>
      <c r="M23" s="50">
        <v>1.9650000000000001</v>
      </c>
      <c r="O23" s="859">
        <f>I23</f>
        <v>187763</v>
      </c>
      <c r="S23" s="52"/>
      <c r="T23" s="790"/>
      <c r="U23" s="790"/>
      <c r="V23" s="790"/>
      <c r="W23" s="790"/>
      <c r="X23" s="790"/>
      <c r="Y23" s="790"/>
      <c r="Z23" s="831"/>
    </row>
    <row r="24" spans="1:26" ht="21" thickBot="1" x14ac:dyDescent="0.35">
      <c r="A24" s="84"/>
      <c r="B24" s="26" t="s">
        <v>31</v>
      </c>
      <c r="C24" s="645">
        <f>C17+C22+C23</f>
        <v>497938</v>
      </c>
      <c r="D24" s="645">
        <f t="shared" ref="D24:I24" si="4">D17+D22+D23</f>
        <v>5306</v>
      </c>
      <c r="E24" s="645">
        <f t="shared" si="4"/>
        <v>345467</v>
      </c>
      <c r="F24" s="645">
        <f t="shared" si="4"/>
        <v>2991356</v>
      </c>
      <c r="G24" s="645">
        <f t="shared" si="4"/>
        <v>15880</v>
      </c>
      <c r="H24" s="645">
        <f t="shared" si="4"/>
        <v>53614</v>
      </c>
      <c r="I24" s="645">
        <f t="shared" si="4"/>
        <v>3909561</v>
      </c>
      <c r="J24" s="85"/>
      <c r="K24" s="142"/>
      <c r="L24" s="141"/>
      <c r="S24" s="52"/>
      <c r="T24" s="52"/>
      <c r="U24" s="52"/>
      <c r="V24" s="52"/>
      <c r="W24" s="52"/>
      <c r="X24" s="51"/>
      <c r="Y24" s="51"/>
      <c r="Z24" s="51"/>
    </row>
    <row r="25" spans="1:26" s="51" customFormat="1" ht="20.25" x14ac:dyDescent="0.3">
      <c r="A25" s="83"/>
      <c r="B25" s="2894"/>
      <c r="C25" s="2895"/>
      <c r="D25" s="2895"/>
      <c r="E25" s="2895"/>
      <c r="F25" s="2895"/>
      <c r="G25" s="2895"/>
      <c r="H25" s="2895"/>
      <c r="I25" s="2896"/>
      <c r="J25" s="142"/>
      <c r="L25" s="167"/>
      <c r="M25" s="52"/>
      <c r="N25" s="52"/>
      <c r="S25" s="52"/>
      <c r="T25" s="52"/>
      <c r="U25" s="52"/>
      <c r="V25" s="52"/>
      <c r="W25" s="52"/>
    </row>
    <row r="26" spans="1:26" ht="21" thickBot="1" x14ac:dyDescent="0.35">
      <c r="A26" s="83"/>
      <c r="B26" s="2891" t="s">
        <v>158</v>
      </c>
      <c r="C26" s="2886"/>
      <c r="D26" s="2886"/>
      <c r="E26" s="2886"/>
      <c r="F26" s="2886"/>
      <c r="G26" s="2886"/>
      <c r="H26" s="2886"/>
      <c r="I26" s="2887"/>
      <c r="J26" s="85"/>
      <c r="N26" s="141"/>
      <c r="S26" s="52"/>
      <c r="T26" s="52"/>
      <c r="U26" s="52"/>
      <c r="V26" s="52"/>
      <c r="W26" s="52"/>
    </row>
    <row r="27" spans="1:26" ht="21" customHeight="1" x14ac:dyDescent="0.3">
      <c r="A27" s="84"/>
      <c r="B27" s="155" t="s">
        <v>159</v>
      </c>
      <c r="C27" s="866"/>
      <c r="D27" s="667"/>
      <c r="E27" s="667">
        <v>75000</v>
      </c>
      <c r="F27" s="667"/>
      <c r="G27" s="667"/>
      <c r="H27" s="667"/>
      <c r="I27" s="668">
        <f t="shared" ref="I27:I33" si="5">C27+D27+E27+F27+G27+H27</f>
        <v>75000</v>
      </c>
      <c r="J27" s="85"/>
      <c r="K27" s="604"/>
      <c r="N27" s="141"/>
    </row>
    <row r="28" spans="1:26" ht="21" customHeight="1" x14ac:dyDescent="0.3">
      <c r="A28" s="84"/>
      <c r="B28" s="155" t="s">
        <v>178</v>
      </c>
      <c r="C28" s="867"/>
      <c r="D28" s="669"/>
      <c r="E28" s="669">
        <v>135000</v>
      </c>
      <c r="F28" s="669"/>
      <c r="G28" s="669"/>
      <c r="H28" s="669"/>
      <c r="I28" s="670">
        <f t="shared" si="5"/>
        <v>135000</v>
      </c>
      <c r="J28" s="85"/>
      <c r="K28" s="604"/>
      <c r="N28" s="141"/>
    </row>
    <row r="29" spans="1:26" ht="21" customHeight="1" x14ac:dyDescent="0.3">
      <c r="A29" s="84"/>
      <c r="B29" s="155" t="s">
        <v>180</v>
      </c>
      <c r="C29" s="867"/>
      <c r="D29" s="669"/>
      <c r="E29" s="669">
        <v>75000</v>
      </c>
      <c r="F29" s="669"/>
      <c r="G29" s="669"/>
      <c r="H29" s="669"/>
      <c r="I29" s="670">
        <f t="shared" si="5"/>
        <v>75000</v>
      </c>
      <c r="J29" s="85"/>
      <c r="K29" s="605"/>
      <c r="N29" s="141"/>
    </row>
    <row r="30" spans="1:26" ht="23.25" customHeight="1" x14ac:dyDescent="0.3">
      <c r="A30" s="84"/>
      <c r="B30" s="155" t="s">
        <v>168</v>
      </c>
      <c r="C30" s="867"/>
      <c r="D30" s="669"/>
      <c r="E30" s="669">
        <v>45000</v>
      </c>
      <c r="F30" s="669"/>
      <c r="G30" s="669"/>
      <c r="H30" s="669"/>
      <c r="I30" s="670">
        <f t="shared" si="5"/>
        <v>45000</v>
      </c>
      <c r="J30" s="85"/>
      <c r="K30" s="604"/>
      <c r="N30" s="141"/>
    </row>
    <row r="31" spans="1:26" ht="21" customHeight="1" x14ac:dyDescent="0.3">
      <c r="A31" s="84"/>
      <c r="B31" s="155" t="s">
        <v>121</v>
      </c>
      <c r="C31" s="867">
        <v>76500</v>
      </c>
      <c r="D31" s="669"/>
      <c r="E31" s="669"/>
      <c r="F31" s="669"/>
      <c r="G31" s="669"/>
      <c r="H31" s="669"/>
      <c r="I31" s="670">
        <f t="shared" si="5"/>
        <v>76500</v>
      </c>
      <c r="J31" s="85"/>
      <c r="K31" s="606"/>
      <c r="N31" s="141"/>
    </row>
    <row r="32" spans="1:26" s="50" customFormat="1" ht="21" customHeight="1" x14ac:dyDescent="0.3">
      <c r="A32" s="83"/>
      <c r="B32" s="99" t="s">
        <v>157</v>
      </c>
      <c r="C32" s="868">
        <v>25270</v>
      </c>
      <c r="D32" s="671"/>
      <c r="E32" s="669">
        <v>361730</v>
      </c>
      <c r="F32" s="671"/>
      <c r="G32" s="671"/>
      <c r="H32" s="671"/>
      <c r="I32" s="670">
        <f t="shared" si="5"/>
        <v>387000</v>
      </c>
      <c r="J32" s="85"/>
      <c r="K32" s="606"/>
      <c r="L32" s="241">
        <v>0.36290322580645162</v>
      </c>
      <c r="M32" s="241">
        <v>0</v>
      </c>
      <c r="N32" s="241">
        <v>0.63709677419354838</v>
      </c>
    </row>
    <row r="33" spans="1:14" ht="21" customHeight="1" thickBot="1" x14ac:dyDescent="0.35">
      <c r="A33" s="83"/>
      <c r="B33" s="869" t="s">
        <v>221</v>
      </c>
      <c r="C33" s="870"/>
      <c r="D33" s="672"/>
      <c r="E33" s="673">
        <v>24750</v>
      </c>
      <c r="F33" s="672"/>
      <c r="G33" s="672"/>
      <c r="H33" s="672"/>
      <c r="I33" s="674">
        <f t="shared" si="5"/>
        <v>24750</v>
      </c>
      <c r="J33" s="85"/>
      <c r="K33" s="606"/>
      <c r="L33" s="141"/>
      <c r="N33" s="141"/>
    </row>
    <row r="34" spans="1:14" ht="21" thickBot="1" x14ac:dyDescent="0.35">
      <c r="A34" s="83"/>
      <c r="B34" s="648" t="s">
        <v>43</v>
      </c>
      <c r="C34" s="650">
        <f>SUM(C27:C33)</f>
        <v>101770</v>
      </c>
      <c r="D34" s="650">
        <f t="shared" ref="D34:I34" si="6">SUM(D27:D33)</f>
        <v>0</v>
      </c>
      <c r="E34" s="650">
        <f t="shared" si="6"/>
        <v>716480</v>
      </c>
      <c r="F34" s="650">
        <f t="shared" si="6"/>
        <v>0</v>
      </c>
      <c r="G34" s="650">
        <f t="shared" si="6"/>
        <v>0</v>
      </c>
      <c r="H34" s="650">
        <f t="shared" si="6"/>
        <v>0</v>
      </c>
      <c r="I34" s="650">
        <f t="shared" si="6"/>
        <v>818250</v>
      </c>
      <c r="J34" s="85"/>
      <c r="N34" s="141"/>
    </row>
    <row r="35" spans="1:14" s="50" customFormat="1" ht="20.25" x14ac:dyDescent="0.3">
      <c r="A35" s="83"/>
      <c r="B35" s="651"/>
      <c r="C35" s="652"/>
      <c r="D35" s="652"/>
      <c r="E35" s="652"/>
      <c r="F35" s="652"/>
      <c r="G35" s="652"/>
      <c r="H35" s="652"/>
      <c r="I35" s="653"/>
      <c r="J35" s="142"/>
      <c r="K35" s="45"/>
      <c r="N35" s="141"/>
    </row>
    <row r="36" spans="1:14" ht="16.5" customHeight="1" thickBot="1" x14ac:dyDescent="0.35">
      <c r="A36" s="83"/>
      <c r="B36" s="2891" t="s">
        <v>28</v>
      </c>
      <c r="C36" s="2892"/>
      <c r="D36" s="2892"/>
      <c r="E36" s="2892"/>
      <c r="F36" s="2892"/>
      <c r="G36" s="2892"/>
      <c r="H36" s="2892"/>
      <c r="I36" s="2893"/>
      <c r="J36" s="166"/>
      <c r="K36" s="166"/>
      <c r="L36" s="52"/>
      <c r="N36" s="141"/>
    </row>
    <row r="37" spans="1:14" ht="21" customHeight="1" x14ac:dyDescent="0.3">
      <c r="A37" s="83"/>
      <c r="B37" s="654" t="s">
        <v>7</v>
      </c>
      <c r="C37" s="655">
        <f>C13</f>
        <v>501164</v>
      </c>
      <c r="D37" s="655">
        <f>D13+D27</f>
        <v>10216</v>
      </c>
      <c r="E37" s="655">
        <f>E13+E27+E28</f>
        <v>579385</v>
      </c>
      <c r="F37" s="655">
        <f>F13+F27</f>
        <v>4826367</v>
      </c>
      <c r="G37" s="655">
        <f>G13+G27</f>
        <v>61111</v>
      </c>
      <c r="H37" s="655">
        <f>H13+H27</f>
        <v>14930</v>
      </c>
      <c r="I37" s="675">
        <f>I13+I27+I28</f>
        <v>5993173</v>
      </c>
      <c r="J37" s="45"/>
      <c r="K37" s="45"/>
      <c r="N37" s="141"/>
    </row>
    <row r="38" spans="1:14" ht="21" customHeight="1" x14ac:dyDescent="0.3">
      <c r="A38" s="21"/>
      <c r="B38" s="656" t="s">
        <v>8</v>
      </c>
      <c r="C38" s="657">
        <f>C24</f>
        <v>497938</v>
      </c>
      <c r="D38" s="657">
        <f>D24</f>
        <v>5306</v>
      </c>
      <c r="E38" s="657">
        <f>E24+E29</f>
        <v>420467</v>
      </c>
      <c r="F38" s="657">
        <f>F24</f>
        <v>2991356</v>
      </c>
      <c r="G38" s="657">
        <f>G24</f>
        <v>15880</v>
      </c>
      <c r="H38" s="657">
        <f>H24</f>
        <v>53614</v>
      </c>
      <c r="I38" s="676">
        <f>I24+I29</f>
        <v>3984561</v>
      </c>
      <c r="J38" s="45"/>
      <c r="K38" s="45"/>
      <c r="N38" s="141"/>
    </row>
    <row r="39" spans="1:14" ht="21" customHeight="1" thickBot="1" x14ac:dyDescent="0.35">
      <c r="A39" s="86"/>
      <c r="B39" s="658" t="s">
        <v>12</v>
      </c>
      <c r="C39" s="659">
        <f>C34</f>
        <v>101770</v>
      </c>
      <c r="D39" s="659">
        <f>SUM(D31:D33)</f>
        <v>0</v>
      </c>
      <c r="E39" s="659">
        <f>E30+E32+E33</f>
        <v>431480</v>
      </c>
      <c r="F39" s="659">
        <f>SUM(F31:F33)</f>
        <v>0</v>
      </c>
      <c r="G39" s="659">
        <f>SUM(G31:G33)</f>
        <v>0</v>
      </c>
      <c r="H39" s="659">
        <f>SUM(H31:H33)</f>
        <v>0</v>
      </c>
      <c r="I39" s="677">
        <f>SUM(I31:I33)+I30</f>
        <v>533250</v>
      </c>
      <c r="J39" s="45"/>
      <c r="K39" s="45"/>
      <c r="N39" s="141"/>
    </row>
    <row r="40" spans="1:14" ht="21" thickBot="1" x14ac:dyDescent="0.35">
      <c r="A40" s="83"/>
      <c r="B40" s="648" t="s">
        <v>58</v>
      </c>
      <c r="C40" s="649">
        <f t="shared" ref="C40:I40" si="7">SUM(C37:C39)</f>
        <v>1100872</v>
      </c>
      <c r="D40" s="649">
        <f t="shared" si="7"/>
        <v>15522</v>
      </c>
      <c r="E40" s="649">
        <f t="shared" si="7"/>
        <v>1431332</v>
      </c>
      <c r="F40" s="649">
        <f t="shared" si="7"/>
        <v>7817723</v>
      </c>
      <c r="G40" s="649">
        <f t="shared" si="7"/>
        <v>76991</v>
      </c>
      <c r="H40" s="649">
        <f t="shared" si="7"/>
        <v>68544</v>
      </c>
      <c r="I40" s="649">
        <f t="shared" si="7"/>
        <v>10510984</v>
      </c>
      <c r="J40" s="85"/>
      <c r="K40" s="45"/>
      <c r="N40" s="141"/>
    </row>
    <row r="41" spans="1:14" ht="20.25" x14ac:dyDescent="0.3">
      <c r="A41" s="87"/>
      <c r="B41" s="88"/>
      <c r="C41" s="89"/>
      <c r="D41" s="22"/>
      <c r="E41" s="22"/>
      <c r="F41" s="21"/>
      <c r="G41" s="21"/>
      <c r="H41" s="21"/>
      <c r="I41" s="135"/>
      <c r="J41" s="45"/>
      <c r="K41" s="45"/>
    </row>
    <row r="42" spans="1:14" ht="20.25" x14ac:dyDescent="0.3">
      <c r="A42" s="87"/>
      <c r="B42" s="90"/>
      <c r="C42" s="22"/>
      <c r="D42" s="22"/>
      <c r="E42" s="22"/>
      <c r="F42" s="22"/>
      <c r="G42" s="22"/>
      <c r="H42" s="22"/>
      <c r="I42" s="135"/>
      <c r="J42" s="45"/>
      <c r="K42" s="136"/>
    </row>
    <row r="43" spans="1:14" ht="20.25" x14ac:dyDescent="0.3">
      <c r="A43" s="81"/>
      <c r="B43" s="143"/>
      <c r="C43" s="134"/>
    </row>
    <row r="44" spans="1:14" ht="20.25" x14ac:dyDescent="0.3">
      <c r="A44" s="81"/>
      <c r="B44" s="143"/>
    </row>
    <row r="45" spans="1:14" ht="15.75" x14ac:dyDescent="0.25">
      <c r="A45" s="81"/>
      <c r="B45" s="144"/>
      <c r="D45" s="64"/>
      <c r="E45" s="64"/>
    </row>
    <row r="46" spans="1:14" ht="15.75" x14ac:dyDescent="0.25">
      <c r="B46" s="144"/>
    </row>
    <row r="47" spans="1:14" ht="15.75" x14ac:dyDescent="0.25">
      <c r="B47" s="144"/>
    </row>
    <row r="48" spans="1:14" ht="15.75" x14ac:dyDescent="0.25">
      <c r="B48" s="144"/>
    </row>
    <row r="49" spans="1:26" ht="15.75" x14ac:dyDescent="0.25">
      <c r="B49" s="144"/>
    </row>
    <row r="50" spans="1:26" s="64" customFormat="1" ht="15.75" x14ac:dyDescent="0.25">
      <c r="A50" s="49"/>
      <c r="B50" s="144"/>
      <c r="D50" s="63"/>
      <c r="E50" s="63"/>
      <c r="F50" s="49"/>
      <c r="G50" s="49"/>
      <c r="H50" s="49"/>
      <c r="I50" s="49"/>
      <c r="J50" s="50"/>
      <c r="K50" s="50"/>
      <c r="L50" s="50"/>
      <c r="M50" s="50"/>
      <c r="N50" s="50"/>
      <c r="O50" s="49"/>
      <c r="P50" s="49"/>
      <c r="Q50" s="49"/>
      <c r="R50" s="49"/>
      <c r="S50" s="49"/>
      <c r="T50" s="49"/>
      <c r="U50" s="49"/>
      <c r="V50" s="49"/>
      <c r="W50" s="49"/>
      <c r="X50" s="49"/>
      <c r="Y50" s="49"/>
      <c r="Z50" s="49"/>
    </row>
    <row r="51" spans="1:26" s="64" customFormat="1" ht="15.75" x14ac:dyDescent="0.25">
      <c r="A51" s="49"/>
      <c r="B51" s="144"/>
      <c r="D51" s="63"/>
      <c r="E51" s="63"/>
      <c r="F51" s="49"/>
      <c r="G51" s="49"/>
      <c r="H51" s="49"/>
      <c r="I51" s="49"/>
      <c r="J51" s="50"/>
      <c r="K51" s="50"/>
      <c r="L51" s="50"/>
      <c r="M51" s="50"/>
      <c r="N51" s="50"/>
      <c r="O51" s="49"/>
      <c r="P51" s="49"/>
      <c r="Q51" s="49"/>
      <c r="R51" s="49"/>
      <c r="S51" s="49"/>
      <c r="T51" s="49"/>
      <c r="U51" s="49"/>
      <c r="V51" s="49"/>
      <c r="W51" s="49"/>
      <c r="X51" s="49"/>
      <c r="Y51" s="49"/>
      <c r="Z51" s="49"/>
    </row>
    <row r="52" spans="1:26" s="64" customFormat="1" ht="15.75" x14ac:dyDescent="0.25">
      <c r="A52" s="49"/>
      <c r="B52" s="144"/>
      <c r="D52" s="63"/>
      <c r="E52" s="63"/>
      <c r="F52" s="49"/>
      <c r="G52" s="49"/>
      <c r="H52" s="49"/>
      <c r="I52" s="49"/>
      <c r="J52" s="50"/>
      <c r="K52" s="50"/>
      <c r="L52" s="50"/>
      <c r="M52" s="50"/>
      <c r="N52" s="50"/>
      <c r="O52" s="49"/>
      <c r="P52" s="49"/>
      <c r="Q52" s="49"/>
      <c r="R52" s="49"/>
      <c r="S52" s="49"/>
      <c r="T52" s="49"/>
      <c r="U52" s="49"/>
      <c r="V52" s="49"/>
      <c r="W52" s="49"/>
      <c r="X52" s="49"/>
      <c r="Y52" s="49"/>
      <c r="Z52" s="49"/>
    </row>
    <row r="53" spans="1:26" s="64" customFormat="1" ht="15.75" x14ac:dyDescent="0.25">
      <c r="A53" s="49"/>
      <c r="B53" s="144"/>
      <c r="D53" s="63"/>
      <c r="E53" s="63"/>
      <c r="F53" s="49"/>
      <c r="G53" s="49"/>
      <c r="H53" s="49"/>
      <c r="I53" s="49"/>
      <c r="J53" s="50"/>
      <c r="K53" s="50"/>
      <c r="L53" s="50"/>
      <c r="M53" s="50"/>
      <c r="N53" s="50"/>
      <c r="O53" s="49"/>
      <c r="P53" s="49"/>
      <c r="Q53" s="49"/>
      <c r="R53" s="49"/>
      <c r="S53" s="49"/>
      <c r="T53" s="49"/>
      <c r="U53" s="49"/>
      <c r="V53" s="49"/>
      <c r="W53" s="49"/>
      <c r="X53" s="49"/>
      <c r="Y53" s="49"/>
      <c r="Z53" s="49"/>
    </row>
  </sheetData>
  <mergeCells count="10">
    <mergeCell ref="B36:I36"/>
    <mergeCell ref="B15:I15"/>
    <mergeCell ref="B18:I18"/>
    <mergeCell ref="B19:I19"/>
    <mergeCell ref="B25:I25"/>
    <mergeCell ref="B1:I1"/>
    <mergeCell ref="B2:I2"/>
    <mergeCell ref="B3:I3"/>
    <mergeCell ref="B6:I6"/>
    <mergeCell ref="B26:I26"/>
  </mergeCells>
  <phoneticPr fontId="10" type="noConversion"/>
  <pageMargins left="0.5" right="0.5" top="0.2" bottom="0.5" header="0.2" footer="0.5"/>
  <pageSetup scale="67" orientation="landscape" r:id="rId1"/>
  <headerFooter alignWithMargins="0">
    <oddFooter>&amp;C&amp;1#&amp;"Calibri"&amp;12&amp;K008000Internal Use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rgb="FF00B0F0"/>
  </sheetPr>
  <dimension ref="A1:M52"/>
  <sheetViews>
    <sheetView topLeftCell="A16" workbookViewId="0">
      <selection activeCell="C30" sqref="C30"/>
    </sheetView>
  </sheetViews>
  <sheetFormatPr defaultRowHeight="12.75" x14ac:dyDescent="0.2"/>
  <cols>
    <col min="1" max="1" width="32.5703125" style="1039" customWidth="1"/>
    <col min="2" max="2" width="3.5703125" style="1039" customWidth="1"/>
    <col min="3" max="3" width="14.42578125" style="1039" customWidth="1"/>
    <col min="4" max="6" width="13.28515625" style="1039" customWidth="1"/>
    <col min="7" max="7" width="14" style="1039" customWidth="1"/>
    <col min="8" max="8" width="12.28515625" style="1039" bestFit="1" customWidth="1"/>
    <col min="9" max="9" width="12" style="1039" customWidth="1"/>
    <col min="10" max="10" width="12.140625" style="1039" customWidth="1"/>
    <col min="11" max="11" width="11.140625" style="1039" customWidth="1"/>
    <col min="12" max="12" width="10" style="1039" customWidth="1"/>
    <col min="13" max="13" width="11.5703125" style="1039" customWidth="1"/>
    <col min="14" max="16384" width="9.140625" style="1039"/>
  </cols>
  <sheetData>
    <row r="1" spans="1:6" ht="15" x14ac:dyDescent="0.25">
      <c r="A1" s="2856" t="s">
        <v>441</v>
      </c>
      <c r="B1" s="2856"/>
      <c r="C1" s="2856"/>
      <c r="D1" s="2856"/>
      <c r="E1" s="2856"/>
      <c r="F1" s="1187"/>
    </row>
    <row r="2" spans="1:6" ht="15" x14ac:dyDescent="0.25">
      <c r="A2" s="2856" t="s">
        <v>34</v>
      </c>
      <c r="B2" s="2856"/>
      <c r="C2" s="2856"/>
      <c r="D2" s="2856"/>
      <c r="E2" s="2856"/>
    </row>
    <row r="23" spans="1:13" ht="13.5" customHeight="1" x14ac:dyDescent="0.2"/>
    <row r="24" spans="1:13" ht="13.5" customHeight="1" x14ac:dyDescent="0.2"/>
    <row r="25" spans="1:13" s="1188" customFormat="1" ht="13.5" customHeight="1" x14ac:dyDescent="0.2"/>
    <row r="26" spans="1:13" s="1188" customFormat="1" ht="13.5" customHeight="1" x14ac:dyDescent="0.2"/>
    <row r="28" spans="1:13" ht="44.25" customHeight="1" x14ac:dyDescent="0.2">
      <c r="A28" s="1196" t="s">
        <v>20</v>
      </c>
      <c r="B28" s="1196"/>
      <c r="C28" s="1196" t="s">
        <v>35</v>
      </c>
      <c r="D28" s="1196" t="s">
        <v>57</v>
      </c>
      <c r="E28" s="1604" t="s">
        <v>21</v>
      </c>
      <c r="F28" s="1605"/>
      <c r="G28" s="1197"/>
      <c r="H28" s="1606"/>
      <c r="J28" s="1197"/>
      <c r="K28" s="1197"/>
      <c r="L28" s="1197"/>
      <c r="M28" s="1188"/>
    </row>
    <row r="29" spans="1:13" x14ac:dyDescent="0.2">
      <c r="A29" s="1607" t="s">
        <v>228</v>
      </c>
      <c r="B29" s="1607"/>
      <c r="C29" s="1240" t="e">
        <f>'2013-2015 Combined Table A1'!N12+'2013-2015 Combined Table A1'!N40</f>
        <v>#REF!</v>
      </c>
      <c r="D29" s="1608" t="e">
        <f>C29/C43</f>
        <v>#REF!</v>
      </c>
      <c r="E29" s="1395" t="e">
        <f>C29/C37</f>
        <v>#REF!</v>
      </c>
      <c r="F29" s="1608"/>
      <c r="G29" s="1608"/>
      <c r="J29" s="1188"/>
      <c r="K29" s="1188"/>
      <c r="L29" s="1188"/>
      <c r="M29" s="1188"/>
    </row>
    <row r="30" spans="1:13" x14ac:dyDescent="0.2">
      <c r="A30" s="1607" t="s">
        <v>229</v>
      </c>
      <c r="B30" s="1607"/>
      <c r="C30" s="1240" t="e">
        <f>'2013-2015 Combined Table A1'!N60-'2015 Table A1 Pies '!C29</f>
        <v>#REF!</v>
      </c>
      <c r="D30" s="1608" t="e">
        <f>C30/C43</f>
        <v>#REF!</v>
      </c>
      <c r="E30" s="1395" t="e">
        <f>C30/C37</f>
        <v>#REF!</v>
      </c>
      <c r="F30" s="1608"/>
      <c r="G30" s="1608"/>
      <c r="J30" s="1188"/>
      <c r="K30" s="1609"/>
      <c r="L30" s="1609"/>
      <c r="M30" s="1188"/>
    </row>
    <row r="31" spans="1:13" x14ac:dyDescent="0.2">
      <c r="A31" s="1209" t="s">
        <v>22</v>
      </c>
      <c r="B31" s="1610"/>
      <c r="C31" s="1611" t="e">
        <f>SUM(C29:C30)</f>
        <v>#REF!</v>
      </c>
      <c r="D31" s="1612" t="e">
        <f>SUM(D29:D30)</f>
        <v>#REF!</v>
      </c>
      <c r="E31" s="1612" t="e">
        <f>SUM(E29:E30)</f>
        <v>#REF!</v>
      </c>
      <c r="F31" s="1608"/>
      <c r="G31" s="1608"/>
      <c r="J31" s="1613"/>
      <c r="K31" s="1613"/>
      <c r="L31" s="1613"/>
      <c r="M31" s="1188"/>
    </row>
    <row r="32" spans="1:13" x14ac:dyDescent="0.2">
      <c r="A32" s="1607"/>
      <c r="B32" s="1607"/>
      <c r="C32" s="1240"/>
      <c r="D32" s="1608"/>
      <c r="E32" s="1395"/>
      <c r="F32" s="1608"/>
      <c r="G32" s="1608"/>
      <c r="H32" s="1242"/>
      <c r="J32" s="1614"/>
      <c r="K32" s="1614"/>
      <c r="L32" s="1614"/>
      <c r="M32" s="1188"/>
    </row>
    <row r="33" spans="1:13" x14ac:dyDescent="0.2">
      <c r="A33" s="1202" t="s">
        <v>56</v>
      </c>
      <c r="B33" s="1607"/>
      <c r="C33" s="1240" t="e">
        <f>'2013-2015 Combined Table A1'!N61</f>
        <v>#REF!</v>
      </c>
      <c r="D33" s="1608" t="e">
        <f>C33/C43</f>
        <v>#REF!</v>
      </c>
      <c r="E33" s="1395" t="e">
        <f>C33/C37</f>
        <v>#REF!</v>
      </c>
      <c r="F33" s="1608"/>
      <c r="G33" s="1608"/>
      <c r="J33" s="1613"/>
      <c r="K33" s="1613"/>
      <c r="L33" s="1613"/>
      <c r="M33" s="1188"/>
    </row>
    <row r="34" spans="1:13" x14ac:dyDescent="0.2">
      <c r="A34" s="1607"/>
      <c r="B34" s="1607"/>
      <c r="C34" s="1240"/>
      <c r="D34" s="1608"/>
      <c r="E34" s="1395"/>
      <c r="F34" s="1608"/>
      <c r="G34" s="1608"/>
      <c r="J34" s="1613"/>
      <c r="K34" s="1613"/>
      <c r="L34" s="1613"/>
      <c r="M34" s="1188"/>
    </row>
    <row r="35" spans="1:13" x14ac:dyDescent="0.2">
      <c r="A35" s="1209" t="s">
        <v>23</v>
      </c>
      <c r="B35" s="1610"/>
      <c r="C35" s="1611" t="e">
        <f>SUM(C32:C34)</f>
        <v>#REF!</v>
      </c>
      <c r="D35" s="1612" t="e">
        <f>SUM(D32:D34)</f>
        <v>#REF!</v>
      </c>
      <c r="E35" s="1612" t="e">
        <f>SUM(E32:E34)</f>
        <v>#REF!</v>
      </c>
      <c r="F35" s="1608"/>
      <c r="G35" s="1608"/>
      <c r="J35" s="1613"/>
      <c r="K35" s="1613"/>
      <c r="L35" s="1613"/>
      <c r="M35" s="1188"/>
    </row>
    <row r="36" spans="1:13" x14ac:dyDescent="0.2">
      <c r="D36" s="1391"/>
      <c r="E36" s="1391"/>
      <c r="F36" s="1608"/>
      <c r="G36" s="1615"/>
      <c r="I36" s="1188"/>
      <c r="J36" s="1188"/>
      <c r="K36" s="1188"/>
      <c r="L36" s="1188"/>
      <c r="M36" s="1188"/>
    </row>
    <row r="37" spans="1:13" x14ac:dyDescent="0.2">
      <c r="A37" s="1209" t="s">
        <v>29</v>
      </c>
      <c r="B37" s="1209"/>
      <c r="C37" s="1611" t="e">
        <f>C31+C35</f>
        <v>#REF!</v>
      </c>
      <c r="D37" s="1612" t="e">
        <f>D31+D35</f>
        <v>#REF!</v>
      </c>
      <c r="E37" s="1612" t="e">
        <f>E31+E35</f>
        <v>#REF!</v>
      </c>
      <c r="F37" s="1608"/>
      <c r="G37" s="1608"/>
      <c r="I37" s="1188"/>
    </row>
    <row r="38" spans="1:13" x14ac:dyDescent="0.2">
      <c r="A38" s="1607"/>
      <c r="B38" s="1607"/>
      <c r="C38" s="1240"/>
      <c r="D38" s="1395"/>
      <c r="E38" s="1395"/>
      <c r="F38" s="1608"/>
      <c r="G38" s="1608"/>
      <c r="I38" s="1188"/>
    </row>
    <row r="39" spans="1:13" s="1229" customFormat="1" ht="15" customHeight="1" x14ac:dyDescent="0.2">
      <c r="A39" s="1223" t="s">
        <v>24</v>
      </c>
      <c r="B39" s="1223"/>
      <c r="C39" s="1616"/>
      <c r="D39" s="1617"/>
      <c r="F39" s="1616"/>
      <c r="G39" s="1618"/>
    </row>
    <row r="40" spans="1:13" s="1229" customFormat="1" ht="15" customHeight="1" x14ac:dyDescent="0.2">
      <c r="A40" s="1607" t="s">
        <v>24</v>
      </c>
      <c r="B40" s="1607"/>
      <c r="C40" s="1240" t="e">
        <f>'2013-2015 Combined Table A1'!N62</f>
        <v>#REF!</v>
      </c>
      <c r="D40" s="1608" t="e">
        <f>C40/C43</f>
        <v>#REF!</v>
      </c>
      <c r="F40" s="1616"/>
      <c r="G40" s="1618"/>
      <c r="J40" s="1619"/>
    </row>
    <row r="41" spans="1:13" s="1229" customFormat="1" ht="15" customHeight="1" x14ac:dyDescent="0.2">
      <c r="A41" s="1620" t="s">
        <v>25</v>
      </c>
      <c r="B41" s="1620"/>
      <c r="C41" s="1621" t="e">
        <f>SUM(C40)</f>
        <v>#REF!</v>
      </c>
      <c r="D41" s="1622" t="e">
        <f>SUM(D40)</f>
        <v>#REF!</v>
      </c>
      <c r="E41" s="1623"/>
      <c r="F41" s="1616"/>
      <c r="G41" s="1624"/>
      <c r="I41" s="1619"/>
    </row>
    <row r="42" spans="1:13" s="1229" customFormat="1" x14ac:dyDescent="0.2">
      <c r="A42" s="1239"/>
      <c r="B42" s="1239"/>
      <c r="C42" s="122"/>
      <c r="D42" s="123"/>
      <c r="E42" s="124"/>
      <c r="F42" s="199"/>
      <c r="G42" s="1625"/>
    </row>
    <row r="43" spans="1:13" s="1229" customFormat="1" x14ac:dyDescent="0.2">
      <c r="A43" s="1626" t="s">
        <v>55</v>
      </c>
      <c r="B43" s="1626"/>
      <c r="C43" s="126" t="e">
        <f>C41+C37</f>
        <v>#REF!</v>
      </c>
      <c r="D43" s="1627" t="e">
        <f>D37+D41</f>
        <v>#REF!</v>
      </c>
      <c r="F43" s="1286"/>
      <c r="G43" s="1286"/>
      <c r="I43" s="128"/>
      <c r="J43" s="128"/>
    </row>
    <row r="44" spans="1:13" s="1229" customFormat="1" x14ac:dyDescent="0.2">
      <c r="A44" s="1628" t="s">
        <v>54</v>
      </c>
      <c r="B44" s="1628"/>
      <c r="C44" s="122">
        <f>'2013-2015 Combined Table A1'!K63</f>
        <v>17041050</v>
      </c>
      <c r="D44" s="1629" t="e">
        <f>C44/C43</f>
        <v>#REF!</v>
      </c>
    </row>
    <row r="45" spans="1:13" s="1241" customFormat="1" x14ac:dyDescent="0.2">
      <c r="A45" s="1628" t="s">
        <v>37</v>
      </c>
      <c r="B45" s="1630"/>
      <c r="C45" s="122" t="e">
        <f>+'2013-2015 Combined Table A1'!L63</f>
        <v>#REF!</v>
      </c>
      <c r="D45" s="1629" t="e">
        <f>C45/C43</f>
        <v>#REF!</v>
      </c>
      <c r="F45" s="1633"/>
    </row>
    <row r="46" spans="1:13" s="1241" customFormat="1" x14ac:dyDescent="0.2">
      <c r="A46" s="1569" t="s">
        <v>38</v>
      </c>
      <c r="B46" s="1569"/>
      <c r="C46" s="122" t="e">
        <f>+'2013-2015 Combined Table A1'!M63</f>
        <v>#REF!</v>
      </c>
      <c r="D46" s="1629" t="e">
        <f>C46/C43</f>
        <v>#REF!</v>
      </c>
      <c r="E46" s="1569"/>
      <c r="F46" s="1633"/>
    </row>
    <row r="47" spans="1:13" s="1241" customFormat="1" x14ac:dyDescent="0.2">
      <c r="A47" s="1569"/>
      <c r="B47" s="1569"/>
      <c r="C47" s="1569"/>
      <c r="D47" s="1569"/>
      <c r="E47" s="1569"/>
    </row>
    <row r="48" spans="1:13" s="1241" customFormat="1" x14ac:dyDescent="0.2">
      <c r="A48" s="1399"/>
      <c r="B48" s="1239"/>
      <c r="C48" s="38"/>
      <c r="D48" s="39"/>
      <c r="E48" s="39"/>
      <c r="F48" s="1243"/>
      <c r="G48" s="1244"/>
    </row>
    <row r="49" spans="1:7" s="1241" customFormat="1" x14ac:dyDescent="0.2">
      <c r="A49" s="1239"/>
      <c r="B49" s="1239"/>
      <c r="C49" s="38"/>
      <c r="D49" s="1244"/>
      <c r="E49" s="1244"/>
      <c r="F49" s="1244"/>
      <c r="G49" s="1244"/>
    </row>
    <row r="50" spans="1:7" s="1241" customFormat="1" x14ac:dyDescent="0.2">
      <c r="A50" s="1239"/>
      <c r="B50" s="1239"/>
      <c r="C50" s="38"/>
      <c r="D50" s="1229"/>
      <c r="E50" s="1229"/>
      <c r="F50" s="1229"/>
      <c r="G50" s="1229"/>
    </row>
    <row r="51" spans="1:7" x14ac:dyDescent="0.2">
      <c r="A51" s="1245"/>
      <c r="B51" s="1245"/>
      <c r="C51" s="42"/>
      <c r="D51" s="1199"/>
      <c r="E51" s="1199"/>
      <c r="F51" s="1199"/>
      <c r="G51" s="1199"/>
    </row>
    <row r="52" spans="1:7" x14ac:dyDescent="0.2">
      <c r="A52" s="1199"/>
      <c r="B52" s="1199"/>
      <c r="C52" s="1246"/>
      <c r="D52" s="1199"/>
      <c r="E52" s="1199"/>
      <c r="F52" s="1199"/>
      <c r="G52" s="1199"/>
    </row>
  </sheetData>
  <mergeCells count="2">
    <mergeCell ref="A1:E1"/>
    <mergeCell ref="A2:E2"/>
  </mergeCells>
  <pageMargins left="0.7" right="0.7" top="0.75" bottom="0.75" header="0.3" footer="0.3"/>
  <pageSetup orientation="portrait" r:id="rId1"/>
  <headerFooter>
    <oddFooter>&amp;C&amp;1#&amp;"Calibri"&amp;12&amp;K008000Internal Use</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6">
    <tabColor indexed="44"/>
  </sheetPr>
  <dimension ref="A1:G49"/>
  <sheetViews>
    <sheetView topLeftCell="A16" workbookViewId="0">
      <selection sqref="A1:S1"/>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7" ht="20.25" x14ac:dyDescent="0.3">
      <c r="A1" s="2883" t="s">
        <v>38</v>
      </c>
      <c r="B1" s="2883"/>
      <c r="C1" s="2883"/>
      <c r="D1" s="2883"/>
      <c r="E1" s="2883"/>
      <c r="F1" s="23"/>
    </row>
    <row r="2" spans="1:7" ht="20.25" x14ac:dyDescent="0.3">
      <c r="A2" s="2883" t="s">
        <v>254</v>
      </c>
      <c r="B2" s="2883"/>
      <c r="C2" s="2883"/>
      <c r="D2" s="2883"/>
      <c r="E2" s="2883"/>
      <c r="F2" s="23"/>
    </row>
    <row r="3" spans="1:7" ht="20.25" x14ac:dyDescent="0.3">
      <c r="A3" s="2883" t="s">
        <v>60</v>
      </c>
      <c r="B3" s="2883"/>
      <c r="C3" s="2883"/>
      <c r="D3" s="2883"/>
      <c r="E3" s="2883"/>
      <c r="F3" s="23"/>
    </row>
    <row r="4" spans="1:7" ht="15.75" x14ac:dyDescent="0.25">
      <c r="B4" s="2883" t="s">
        <v>295</v>
      </c>
      <c r="C4" s="2883"/>
      <c r="D4" s="2883"/>
      <c r="E4" s="840"/>
      <c r="F4" s="840"/>
      <c r="G4" s="840"/>
    </row>
    <row r="32" spans="1:4" x14ac:dyDescent="0.2">
      <c r="A32" s="7" t="s">
        <v>17</v>
      </c>
      <c r="B32" s="211" t="s">
        <v>1</v>
      </c>
      <c r="C32" s="7"/>
      <c r="D32" s="212" t="s">
        <v>18</v>
      </c>
    </row>
    <row r="33" spans="1:4" x14ac:dyDescent="0.2">
      <c r="B33" s="24"/>
      <c r="D33" s="2"/>
    </row>
    <row r="34" spans="1:4" x14ac:dyDescent="0.2">
      <c r="A34" t="s">
        <v>53</v>
      </c>
      <c r="B34" s="14">
        <f>'SCG Table C 2012 Incr. Sav'!C40</f>
        <v>1100872</v>
      </c>
      <c r="D34" s="236">
        <f t="shared" ref="D34:D39" si="0">SUM(B34/$B$41)</f>
        <v>0.10473538918906165</v>
      </c>
    </row>
    <row r="35" spans="1:4" x14ac:dyDescent="0.2">
      <c r="A35" t="s">
        <v>19</v>
      </c>
      <c r="B35" s="14">
        <f>'SCG Table C 2012 Incr. Sav'!D40</f>
        <v>15522</v>
      </c>
      <c r="D35" s="236">
        <f t="shared" si="0"/>
        <v>1.4767409026595418E-3</v>
      </c>
    </row>
    <row r="36" spans="1:4" x14ac:dyDescent="0.2">
      <c r="A36" t="s">
        <v>4</v>
      </c>
      <c r="B36" s="14">
        <f>'SCG Table C 2012 Incr. Sav'!E40</f>
        <v>1431332</v>
      </c>
      <c r="D36" s="236">
        <f t="shared" si="0"/>
        <v>0.13617488143831252</v>
      </c>
    </row>
    <row r="37" spans="1:4" x14ac:dyDescent="0.2">
      <c r="A37" t="s">
        <v>2</v>
      </c>
      <c r="B37" s="14">
        <f>'SCG Table C 2012 Incr. Sav'!F40</f>
        <v>7817723</v>
      </c>
      <c r="D37" s="236">
        <f t="shared" si="0"/>
        <v>0.74376699650575051</v>
      </c>
    </row>
    <row r="38" spans="1:4" x14ac:dyDescent="0.2">
      <c r="A38" t="s">
        <v>14</v>
      </c>
      <c r="B38" s="14">
        <f>'SCG Table C 2012 Incr. Sav'!G40</f>
        <v>76991</v>
      </c>
      <c r="D38" s="236">
        <f t="shared" si="0"/>
        <v>7.3248137377052427E-3</v>
      </c>
    </row>
    <row r="39" spans="1:4" x14ac:dyDescent="0.2">
      <c r="A39" t="s">
        <v>15</v>
      </c>
      <c r="B39" s="933">
        <f>'SCG Table C 2012 Incr. Sav'!H40</f>
        <v>68544</v>
      </c>
      <c r="D39" s="934">
        <f t="shared" si="0"/>
        <v>6.5211782265104769E-3</v>
      </c>
    </row>
    <row r="40" spans="1:4" x14ac:dyDescent="0.2">
      <c r="D40" s="47"/>
    </row>
    <row r="41" spans="1:4" x14ac:dyDescent="0.2">
      <c r="A41" s="629" t="s">
        <v>0</v>
      </c>
      <c r="B41" s="178">
        <f>SUM(B34:B39)</f>
        <v>10510984</v>
      </c>
      <c r="D41" s="127">
        <f>SUM(D34:D39)</f>
        <v>0.99999999999999989</v>
      </c>
    </row>
    <row r="43" spans="1:4" x14ac:dyDescent="0.2">
      <c r="A43" s="46"/>
    </row>
    <row r="48" spans="1:4" ht="44.25" customHeight="1" x14ac:dyDescent="0.2"/>
    <row r="49" ht="42.75" customHeight="1" x14ac:dyDescent="0.2"/>
  </sheetData>
  <mergeCells count="4">
    <mergeCell ref="B4:D4"/>
    <mergeCell ref="A1:E1"/>
    <mergeCell ref="A2:E2"/>
    <mergeCell ref="A3:E3"/>
  </mergeCells>
  <phoneticPr fontId="10" type="noConversion"/>
  <pageMargins left="0.75" right="0.75" top="1" bottom="1" header="0.5" footer="0.5"/>
  <pageSetup orientation="portrait" r:id="rId1"/>
  <headerFooter alignWithMargins="0">
    <oddFooter>&amp;C&amp;1#&amp;"Calibri"&amp;12&amp;K008000Internal Use</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indexed="44"/>
    <pageSetUpPr fitToPage="1"/>
  </sheetPr>
  <dimension ref="A1:Y67"/>
  <sheetViews>
    <sheetView topLeftCell="A16" zoomScale="75" workbookViewId="0">
      <selection activeCell="J31" sqref="J31:J34"/>
    </sheetView>
  </sheetViews>
  <sheetFormatPr defaultRowHeight="12.75" x14ac:dyDescent="0.2"/>
  <cols>
    <col min="1" max="1" width="7.140625" style="49" customWidth="1"/>
    <col min="2" max="2" width="56.85546875" style="49" bestFit="1"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42578125" style="50" customWidth="1"/>
    <col min="11" max="11" width="25.5703125" style="50" customWidth="1"/>
    <col min="12" max="12" width="12.7109375" style="50" bestFit="1" customWidth="1"/>
    <col min="13"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466</v>
      </c>
      <c r="C2" s="2944"/>
      <c r="D2" s="2944"/>
      <c r="E2" s="2944"/>
      <c r="F2" s="2944"/>
      <c r="G2" s="2944"/>
      <c r="H2" s="2944"/>
      <c r="I2" s="2944"/>
    </row>
    <row r="3" spans="1:20" ht="6.75" customHeight="1" x14ac:dyDescent="0.25">
      <c r="B3" s="11"/>
      <c r="C3" s="10"/>
      <c r="D3" s="8"/>
      <c r="E3" s="8"/>
      <c r="F3" s="9"/>
      <c r="G3" s="9"/>
      <c r="H3" s="9"/>
      <c r="I3" s="9"/>
    </row>
    <row r="4" spans="1:20" ht="6.75" customHeight="1" thickBot="1" x14ac:dyDescent="0.3">
      <c r="B4" s="11"/>
      <c r="C4" s="10"/>
      <c r="D4" s="8"/>
      <c r="E4" s="8"/>
      <c r="F4" s="9"/>
      <c r="G4" s="9"/>
      <c r="H4" s="9"/>
      <c r="I4" s="9"/>
    </row>
    <row r="5" spans="1:20" ht="6.75" hidden="1" customHeight="1" x14ac:dyDescent="0.25">
      <c r="B5" s="11"/>
      <c r="C5" s="10"/>
      <c r="D5" s="8"/>
      <c r="E5" s="8"/>
      <c r="F5" s="9"/>
      <c r="G5" s="9"/>
      <c r="H5" s="9"/>
      <c r="I5" s="9"/>
    </row>
    <row r="6" spans="1:20" ht="6.75" hidden="1" customHeight="1" x14ac:dyDescent="0.25">
      <c r="B6" s="11"/>
      <c r="C6" s="10"/>
      <c r="D6" s="8"/>
      <c r="E6" s="8"/>
      <c r="F6" s="9"/>
      <c r="G6" s="9"/>
      <c r="H6" s="9"/>
      <c r="I6" s="9"/>
    </row>
    <row r="7" spans="1:20" ht="6.75" hidden="1" customHeight="1" x14ac:dyDescent="0.25">
      <c r="B7" s="11"/>
      <c r="C7" s="10"/>
      <c r="D7" s="8"/>
      <c r="E7" s="8"/>
      <c r="F7" s="9"/>
      <c r="G7" s="9"/>
      <c r="H7" s="9"/>
      <c r="I7" s="9"/>
    </row>
    <row r="8" spans="1:20" ht="6.75" hidden="1" customHeight="1" x14ac:dyDescent="0.25">
      <c r="B8" s="11"/>
      <c r="C8" s="10"/>
      <c r="D8" s="8"/>
      <c r="E8" s="8"/>
      <c r="F8" s="9"/>
      <c r="G8" s="9"/>
      <c r="H8" s="9"/>
      <c r="I8" s="9"/>
    </row>
    <row r="9" spans="1:20" ht="6.75" hidden="1" customHeight="1" thickBot="1" x14ac:dyDescent="0.3">
      <c r="B9" s="11"/>
      <c r="C9" s="10"/>
      <c r="D9" s="8"/>
      <c r="E9" s="8"/>
      <c r="F9" s="9"/>
      <c r="G9" s="9"/>
      <c r="H9" s="9"/>
      <c r="I9" s="9"/>
    </row>
    <row r="10" spans="1:20" ht="48.75" thickBot="1" x14ac:dyDescent="0.35">
      <c r="A10" s="21"/>
      <c r="B10" s="630" t="s">
        <v>42</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222</v>
      </c>
      <c r="C12" s="633">
        <v>213070</v>
      </c>
      <c r="D12" s="633">
        <v>2500</v>
      </c>
      <c r="E12" s="633">
        <v>50000</v>
      </c>
      <c r="F12" s="633">
        <f>2180076-276570+500000</f>
        <v>2403506</v>
      </c>
      <c r="G12" s="633">
        <v>9500</v>
      </c>
      <c r="H12" s="633">
        <v>1500</v>
      </c>
      <c r="I12" s="634">
        <f>SUM(C12:H12)</f>
        <v>2680076</v>
      </c>
      <c r="J12" s="85"/>
      <c r="K12" s="517"/>
      <c r="L12" s="581"/>
      <c r="M12" s="581"/>
      <c r="N12" s="581"/>
      <c r="O12" s="581"/>
      <c r="P12" s="581"/>
      <c r="Q12" s="581"/>
      <c r="R12" s="582"/>
      <c r="S12" s="582"/>
      <c r="T12" s="582"/>
    </row>
    <row r="13" spans="1:20" ht="24.6" customHeight="1" x14ac:dyDescent="0.3">
      <c r="A13" s="83"/>
      <c r="B13" s="972" t="s">
        <v>149</v>
      </c>
      <c r="C13" s="661">
        <v>268433</v>
      </c>
      <c r="D13" s="661">
        <v>2000</v>
      </c>
      <c r="E13" s="661">
        <v>150000</v>
      </c>
      <c r="F13" s="661">
        <f>3802154-459433-500000-15000-200000-541800</f>
        <v>2085921</v>
      </c>
      <c r="G13" s="661">
        <v>35000</v>
      </c>
      <c r="H13" s="661">
        <v>4000</v>
      </c>
      <c r="I13" s="926">
        <f>SUM(C13:H13)</f>
        <v>2545354</v>
      </c>
      <c r="J13" s="796"/>
      <c r="K13" s="585"/>
      <c r="L13" s="1178"/>
      <c r="M13" s="581"/>
      <c r="N13" s="581"/>
      <c r="O13" s="581"/>
      <c r="P13" s="581"/>
      <c r="Q13" s="581"/>
      <c r="R13" s="582"/>
      <c r="S13" s="582"/>
      <c r="T13" s="582"/>
    </row>
    <row r="14" spans="1:20" ht="24.6" customHeight="1" x14ac:dyDescent="0.3">
      <c r="A14" s="83"/>
      <c r="B14" s="972" t="s">
        <v>529</v>
      </c>
      <c r="C14" s="661">
        <v>10000</v>
      </c>
      <c r="D14" s="661">
        <v>3750</v>
      </c>
      <c r="E14" s="661">
        <v>450050</v>
      </c>
      <c r="F14" s="661">
        <v>0</v>
      </c>
      <c r="G14" s="661">
        <v>75000</v>
      </c>
      <c r="H14" s="661">
        <v>3000</v>
      </c>
      <c r="I14" s="926">
        <f>SUM(C14:H14)</f>
        <v>541800</v>
      </c>
      <c r="J14" s="796"/>
      <c r="K14" s="585"/>
      <c r="L14" s="1178"/>
      <c r="M14" s="581"/>
      <c r="N14" s="581"/>
      <c r="O14" s="581"/>
      <c r="P14" s="581"/>
      <c r="Q14" s="581"/>
      <c r="R14" s="582"/>
      <c r="S14" s="582"/>
      <c r="T14" s="582"/>
    </row>
    <row r="15" spans="1:20" ht="24.6" customHeight="1" x14ac:dyDescent="0.3">
      <c r="A15" s="83"/>
      <c r="B15" s="614" t="s">
        <v>227</v>
      </c>
      <c r="C15" s="638">
        <v>30928</v>
      </c>
      <c r="D15" s="638">
        <v>720</v>
      </c>
      <c r="E15" s="638">
        <f>336535-291773-20000</f>
        <v>24762</v>
      </c>
      <c r="F15" s="638">
        <f>251545+20000</f>
        <v>271545</v>
      </c>
      <c r="G15" s="638">
        <f>7080+15000</f>
        <v>22080</v>
      </c>
      <c r="H15" s="638">
        <v>1500</v>
      </c>
      <c r="I15" s="640">
        <f>SUM(C15:H15)</f>
        <v>351535</v>
      </c>
      <c r="J15" s="749"/>
      <c r="K15" s="585"/>
      <c r="L15" s="1178"/>
      <c r="M15" s="581"/>
      <c r="N15" s="581"/>
      <c r="O15" s="581"/>
      <c r="P15" s="581"/>
      <c r="Q15" s="581"/>
      <c r="R15" s="582"/>
      <c r="S15" s="582"/>
      <c r="T15" s="582"/>
    </row>
    <row r="16" spans="1:20" ht="24.6" customHeight="1" thickBot="1" x14ac:dyDescent="0.35">
      <c r="A16" s="84"/>
      <c r="B16" s="616" t="s">
        <v>150</v>
      </c>
      <c r="C16" s="641">
        <v>14053</v>
      </c>
      <c r="D16" s="641">
        <v>300</v>
      </c>
      <c r="E16" s="641">
        <v>2900</v>
      </c>
      <c r="F16" s="641">
        <f>76800+200000</f>
        <v>276800</v>
      </c>
      <c r="G16" s="641">
        <v>5000</v>
      </c>
      <c r="H16" s="641">
        <f>50238-49053</f>
        <v>1185</v>
      </c>
      <c r="I16" s="643">
        <f>SUM(C16:H16)</f>
        <v>300238</v>
      </c>
      <c r="J16" s="85"/>
      <c r="K16" s="517"/>
      <c r="L16" s="2046"/>
      <c r="M16" s="2046"/>
      <c r="N16" s="2046"/>
      <c r="O16" s="2046"/>
      <c r="P16" s="2046"/>
      <c r="Q16" s="581"/>
      <c r="R16" s="582"/>
      <c r="S16" s="582"/>
      <c r="T16" s="582"/>
    </row>
    <row r="17" spans="1:20" ht="24.6" customHeight="1" thickBot="1" x14ac:dyDescent="0.35">
      <c r="A17" s="84"/>
      <c r="B17" s="232" t="s">
        <v>30</v>
      </c>
      <c r="C17" s="662">
        <f t="shared" ref="C17:I17" si="0">SUM(C12:C16)</f>
        <v>536484</v>
      </c>
      <c r="D17" s="662">
        <f t="shared" si="0"/>
        <v>9270</v>
      </c>
      <c r="E17" s="662">
        <f t="shared" si="0"/>
        <v>677712</v>
      </c>
      <c r="F17" s="662">
        <f t="shared" si="0"/>
        <v>5037772</v>
      </c>
      <c r="G17" s="662">
        <f t="shared" si="0"/>
        <v>146580</v>
      </c>
      <c r="H17" s="662">
        <f t="shared" si="0"/>
        <v>11185</v>
      </c>
      <c r="I17" s="662">
        <f t="shared" si="0"/>
        <v>6419003</v>
      </c>
      <c r="J17" s="85"/>
      <c r="K17" s="166"/>
      <c r="L17" s="581"/>
      <c r="M17" s="581"/>
      <c r="N17" s="581"/>
      <c r="O17" s="582"/>
      <c r="P17" s="582"/>
      <c r="Q17" s="582"/>
      <c r="R17" s="582"/>
      <c r="S17" s="582"/>
      <c r="T17" s="582"/>
    </row>
    <row r="18" spans="1:20" s="51" customFormat="1" ht="24.6" customHeight="1" x14ac:dyDescent="0.2">
      <c r="B18" s="663"/>
      <c r="C18" s="664"/>
      <c r="D18" s="622"/>
      <c r="E18" s="622"/>
      <c r="F18" s="665"/>
      <c r="G18" s="665"/>
      <c r="H18" s="665"/>
      <c r="I18" s="666"/>
      <c r="J18" s="52"/>
      <c r="K18" s="52"/>
      <c r="L18" s="580"/>
      <c r="M18" s="580"/>
      <c r="N18" s="580"/>
      <c r="O18" s="590"/>
      <c r="P18" s="590"/>
      <c r="Q18" s="590"/>
      <c r="R18" s="590"/>
      <c r="S18" s="590"/>
      <c r="T18" s="590"/>
    </row>
    <row r="19" spans="1:20" ht="24.6" customHeight="1" thickBot="1" x14ac:dyDescent="0.35">
      <c r="A19" s="84"/>
      <c r="B19" s="2885" t="s">
        <v>151</v>
      </c>
      <c r="C19" s="2886"/>
      <c r="D19" s="2886"/>
      <c r="E19" s="2886"/>
      <c r="F19" s="2886"/>
      <c r="G19" s="2886"/>
      <c r="H19" s="2886"/>
      <c r="I19" s="2887"/>
      <c r="J19" s="142"/>
      <c r="K19" s="166"/>
      <c r="L19" s="581"/>
      <c r="M19" s="581"/>
      <c r="N19" s="581"/>
      <c r="O19" s="582"/>
      <c r="P19" s="582"/>
      <c r="Q19" s="582"/>
      <c r="R19" s="582"/>
      <c r="S19" s="582"/>
      <c r="T19" s="582"/>
    </row>
    <row r="20" spans="1:20" ht="24.6" customHeight="1" thickBot="1" x14ac:dyDescent="0.35">
      <c r="A20" s="83"/>
      <c r="B20" s="100" t="s">
        <v>154</v>
      </c>
      <c r="C20" s="644">
        <v>161852</v>
      </c>
      <c r="D20" s="644">
        <v>2500</v>
      </c>
      <c r="E20" s="644">
        <v>50000</v>
      </c>
      <c r="F20" s="644">
        <v>1113432</v>
      </c>
      <c r="G20" s="644">
        <v>25000</v>
      </c>
      <c r="H20" s="644">
        <v>5000</v>
      </c>
      <c r="I20" s="634">
        <f>SUM(C20:H20)</f>
        <v>1357784</v>
      </c>
      <c r="J20" s="85"/>
      <c r="K20" s="517"/>
      <c r="L20" s="581"/>
      <c r="M20" s="581"/>
      <c r="N20" s="581"/>
      <c r="O20" s="581"/>
      <c r="P20" s="581"/>
      <c r="Q20" s="581"/>
      <c r="R20" s="582"/>
      <c r="S20" s="582"/>
      <c r="T20" s="582"/>
    </row>
    <row r="21" spans="1:20" ht="24.6" customHeight="1" thickBot="1" x14ac:dyDescent="0.35">
      <c r="A21" s="84"/>
      <c r="B21" s="26" t="s">
        <v>152</v>
      </c>
      <c r="C21" s="645">
        <f>SUM(C20)</f>
        <v>161852</v>
      </c>
      <c r="D21" s="645">
        <f t="shared" ref="D21:I21" si="1">SUM(D20)</f>
        <v>2500</v>
      </c>
      <c r="E21" s="645">
        <f t="shared" si="1"/>
        <v>50000</v>
      </c>
      <c r="F21" s="645">
        <f t="shared" si="1"/>
        <v>1113432</v>
      </c>
      <c r="G21" s="645">
        <f t="shared" si="1"/>
        <v>25000</v>
      </c>
      <c r="H21" s="645">
        <f t="shared" si="1"/>
        <v>5000</v>
      </c>
      <c r="I21" s="645">
        <f t="shared" si="1"/>
        <v>1357784</v>
      </c>
      <c r="J21" s="85"/>
      <c r="L21" s="745"/>
      <c r="M21" s="745"/>
      <c r="N21" s="581"/>
      <c r="O21" s="582"/>
      <c r="P21" s="582"/>
      <c r="Q21" s="582"/>
    </row>
    <row r="22" spans="1:20" s="51" customFormat="1" ht="24.6" customHeight="1" x14ac:dyDescent="0.3">
      <c r="A22" s="83"/>
      <c r="B22" s="2894"/>
      <c r="C22" s="2895"/>
      <c r="D22" s="2895"/>
      <c r="E22" s="2895"/>
      <c r="F22" s="2895"/>
      <c r="G22" s="2895"/>
      <c r="H22" s="2895"/>
      <c r="I22" s="2896"/>
      <c r="J22" s="142"/>
      <c r="L22" s="580"/>
      <c r="M22" s="580"/>
      <c r="N22" s="580"/>
      <c r="O22" s="590"/>
      <c r="P22" s="590"/>
      <c r="Q22" s="590"/>
    </row>
    <row r="23" spans="1:20" ht="24.6" customHeight="1" thickBot="1" x14ac:dyDescent="0.35">
      <c r="A23" s="84"/>
      <c r="B23" s="2885" t="s">
        <v>153</v>
      </c>
      <c r="C23" s="2886"/>
      <c r="D23" s="2886"/>
      <c r="E23" s="2886"/>
      <c r="F23" s="2886"/>
      <c r="G23" s="2886"/>
      <c r="H23" s="2886"/>
      <c r="I23" s="2887"/>
      <c r="J23" s="142"/>
      <c r="K23" s="45"/>
      <c r="L23" s="581"/>
      <c r="M23" s="581"/>
      <c r="N23" s="581"/>
      <c r="O23" s="582"/>
      <c r="P23" s="582"/>
      <c r="Q23" s="582"/>
    </row>
    <row r="24" spans="1:20" ht="24.6" customHeight="1" x14ac:dyDescent="0.3">
      <c r="A24" s="83"/>
      <c r="B24" s="156" t="s">
        <v>155</v>
      </c>
      <c r="C24" s="633">
        <v>120957</v>
      </c>
      <c r="D24" s="633">
        <v>2500</v>
      </c>
      <c r="E24" s="633">
        <v>50000</v>
      </c>
      <c r="F24" s="633">
        <v>437905</v>
      </c>
      <c r="G24" s="633">
        <v>12500</v>
      </c>
      <c r="H24" s="633">
        <v>5000</v>
      </c>
      <c r="I24" s="634">
        <f>SUM(C24:H24)</f>
        <v>628862</v>
      </c>
      <c r="J24" s="85"/>
      <c r="K24" s="142"/>
      <c r="L24" s="746"/>
      <c r="M24" s="746"/>
      <c r="N24" s="746"/>
      <c r="O24" s="746"/>
      <c r="P24" s="746"/>
      <c r="Q24" s="746"/>
    </row>
    <row r="25" spans="1:20" ht="24.6" customHeight="1" thickBot="1" x14ac:dyDescent="0.35">
      <c r="A25" s="83"/>
      <c r="B25" s="1024" t="s">
        <v>156</v>
      </c>
      <c r="C25" s="635">
        <v>31387</v>
      </c>
      <c r="D25" s="635">
        <v>5000</v>
      </c>
      <c r="E25" s="635">
        <v>50000</v>
      </c>
      <c r="F25" s="635">
        <v>382339</v>
      </c>
      <c r="G25" s="635">
        <v>5000</v>
      </c>
      <c r="H25" s="635">
        <v>4000</v>
      </c>
      <c r="I25" s="1025">
        <f>SUM(C25:H25)</f>
        <v>477726</v>
      </c>
      <c r="J25" s="85"/>
      <c r="K25" s="603"/>
      <c r="L25" s="746"/>
      <c r="M25" s="746"/>
      <c r="N25" s="746"/>
      <c r="O25" s="746"/>
      <c r="P25" s="746"/>
      <c r="Q25" s="746"/>
    </row>
    <row r="26" spans="1:20" ht="24.6" customHeight="1" thickBot="1" x14ac:dyDescent="0.35">
      <c r="A26" s="84"/>
      <c r="B26" s="921" t="s">
        <v>152</v>
      </c>
      <c r="C26" s="645">
        <f t="shared" ref="C26:H26" si="2">C24+C25</f>
        <v>152344</v>
      </c>
      <c r="D26" s="645">
        <f t="shared" si="2"/>
        <v>7500</v>
      </c>
      <c r="E26" s="645">
        <f t="shared" si="2"/>
        <v>100000</v>
      </c>
      <c r="F26" s="645">
        <f t="shared" si="2"/>
        <v>820244</v>
      </c>
      <c r="G26" s="645">
        <f t="shared" si="2"/>
        <v>17500</v>
      </c>
      <c r="H26" s="645">
        <f t="shared" si="2"/>
        <v>9000</v>
      </c>
      <c r="I26" s="932">
        <f>SUM(I24:I25)</f>
        <v>1106588</v>
      </c>
      <c r="J26" s="85"/>
      <c r="K26" s="603"/>
      <c r="L26" s="581"/>
      <c r="M26" s="581"/>
      <c r="N26" s="581"/>
      <c r="O26" s="582"/>
      <c r="P26" s="582"/>
      <c r="Q26" s="582"/>
    </row>
    <row r="27" spans="1:20" ht="24.6" customHeight="1" thickBot="1" x14ac:dyDescent="0.35">
      <c r="A27" s="84"/>
      <c r="B27" s="930" t="s">
        <v>245</v>
      </c>
      <c r="C27" s="703">
        <v>23975</v>
      </c>
      <c r="D27" s="703">
        <v>500</v>
      </c>
      <c r="E27" s="703">
        <v>5000</v>
      </c>
      <c r="F27" s="644">
        <v>87354</v>
      </c>
      <c r="G27" s="703">
        <v>2500</v>
      </c>
      <c r="H27" s="703">
        <v>5000</v>
      </c>
      <c r="I27" s="931">
        <f>SUM(C27:H27)</f>
        <v>124329</v>
      </c>
      <c r="J27" s="85"/>
      <c r="L27" s="581"/>
      <c r="M27" s="581"/>
      <c r="N27" s="581"/>
      <c r="O27" s="582"/>
      <c r="P27" s="582"/>
      <c r="Q27" s="582"/>
    </row>
    <row r="28" spans="1:20" ht="24.6" customHeight="1" thickBot="1" x14ac:dyDescent="0.35">
      <c r="A28" s="84"/>
      <c r="B28" s="26" t="s">
        <v>31</v>
      </c>
      <c r="C28" s="645">
        <f>C21+C26+C27</f>
        <v>338171</v>
      </c>
      <c r="D28" s="645">
        <f t="shared" ref="D28:I28" si="3">D21+D26+D27</f>
        <v>10500</v>
      </c>
      <c r="E28" s="645">
        <f t="shared" si="3"/>
        <v>155000</v>
      </c>
      <c r="F28" s="645">
        <f t="shared" si="3"/>
        <v>2021030</v>
      </c>
      <c r="G28" s="645">
        <f t="shared" si="3"/>
        <v>45000</v>
      </c>
      <c r="H28" s="645">
        <f t="shared" si="3"/>
        <v>19000</v>
      </c>
      <c r="I28" s="645">
        <f t="shared" si="3"/>
        <v>2588701</v>
      </c>
      <c r="J28" s="85"/>
      <c r="K28" s="142"/>
      <c r="L28" s="141"/>
    </row>
    <row r="29" spans="1:20" ht="21" thickBot="1" x14ac:dyDescent="0.35">
      <c r="A29" s="83"/>
      <c r="B29" s="2885" t="s">
        <v>158</v>
      </c>
      <c r="C29" s="2886"/>
      <c r="D29" s="2886"/>
      <c r="E29" s="2886"/>
      <c r="F29" s="2886"/>
      <c r="G29" s="2886"/>
      <c r="H29" s="2886"/>
      <c r="I29" s="2887"/>
      <c r="M29" s="141"/>
      <c r="N29" s="49"/>
    </row>
    <row r="30" spans="1:20" s="9" customFormat="1" ht="16.5" customHeight="1" thickBot="1" x14ac:dyDescent="0.3">
      <c r="A30" s="1145"/>
      <c r="B30" s="2926" t="s">
        <v>393</v>
      </c>
      <c r="C30" s="2927"/>
      <c r="D30" s="2927"/>
      <c r="E30" s="2927"/>
      <c r="F30" s="2927"/>
      <c r="G30" s="2927"/>
      <c r="H30" s="2927"/>
      <c r="I30" s="2928"/>
      <c r="J30" s="1146"/>
      <c r="K30" s="517"/>
      <c r="L30" s="1147"/>
      <c r="M30" s="1147"/>
      <c r="N30" s="1148"/>
      <c r="R30" s="1149"/>
    </row>
    <row r="31" spans="1:20" s="9" customFormat="1" ht="16.5" customHeight="1" x14ac:dyDescent="0.25">
      <c r="A31" s="1150"/>
      <c r="B31" s="1151" t="s">
        <v>394</v>
      </c>
      <c r="C31" s="669">
        <v>7655</v>
      </c>
      <c r="D31" s="669">
        <v>2000</v>
      </c>
      <c r="E31" s="669" t="e">
        <f>+'SCG Table A'!#REF!-C31-(2000)-(5000)-(500)</f>
        <v>#REF!</v>
      </c>
      <c r="F31" s="669"/>
      <c r="G31" s="669">
        <v>5000</v>
      </c>
      <c r="H31" s="669">
        <v>500</v>
      </c>
      <c r="I31" s="668" t="e">
        <f>SUM(C31:H31)</f>
        <v>#REF!</v>
      </c>
      <c r="J31" s="1146"/>
      <c r="K31" s="1152"/>
      <c r="L31" s="1153"/>
      <c r="M31" s="1154"/>
      <c r="N31" s="1154"/>
      <c r="O31" s="1155"/>
      <c r="P31" s="1155"/>
      <c r="Q31" s="1156"/>
      <c r="R31" s="1149"/>
    </row>
    <row r="32" spans="1:20" s="9" customFormat="1" ht="16.5" customHeight="1" x14ac:dyDescent="0.25">
      <c r="A32" s="1150"/>
      <c r="B32" s="1352" t="s">
        <v>414</v>
      </c>
      <c r="C32" s="669">
        <v>36905</v>
      </c>
      <c r="D32" s="669"/>
      <c r="E32" s="669" t="e">
        <f>+'SCG Table A'!#REF!-C32</f>
        <v>#REF!</v>
      </c>
      <c r="F32" s="669"/>
      <c r="G32" s="669"/>
      <c r="H32" s="669"/>
      <c r="I32" s="670" t="e">
        <f>SUM(C32:H32)</f>
        <v>#REF!</v>
      </c>
      <c r="J32" s="1146"/>
      <c r="K32" s="1158"/>
      <c r="M32" s="1147"/>
      <c r="N32" s="1147"/>
      <c r="O32" s="1156"/>
      <c r="P32" s="1156"/>
      <c r="Q32" s="1156"/>
      <c r="R32" s="1156"/>
      <c r="S32" s="1159"/>
    </row>
    <row r="33" spans="1:19" s="9" customFormat="1" ht="16.5" customHeight="1" x14ac:dyDescent="0.25">
      <c r="A33" s="1150"/>
      <c r="B33" s="1167" t="s">
        <v>486</v>
      </c>
      <c r="C33" s="1854">
        <v>8352</v>
      </c>
      <c r="D33" s="669">
        <v>1300</v>
      </c>
      <c r="E33" s="669" t="e">
        <f>+'SCG Table A'!#REF!-C33-(1300)-(7000)-(1000)</f>
        <v>#REF!</v>
      </c>
      <c r="F33" s="669"/>
      <c r="G33" s="669">
        <v>7000</v>
      </c>
      <c r="H33" s="669">
        <v>1000</v>
      </c>
      <c r="I33" s="1899" t="e">
        <f>SUM(C33:H33)</f>
        <v>#REF!</v>
      </c>
      <c r="J33" s="1146"/>
      <c r="K33" s="1152"/>
      <c r="L33" s="1153"/>
      <c r="M33" s="1154"/>
      <c r="N33" s="1154"/>
      <c r="O33" s="1155"/>
      <c r="P33" s="1155"/>
      <c r="Q33" s="1156"/>
      <c r="R33" s="1149"/>
    </row>
    <row r="34" spans="1:19" s="9" customFormat="1" ht="16.5" customHeight="1" thickBot="1" x14ac:dyDescent="0.3">
      <c r="A34" s="1150"/>
      <c r="B34" s="1167" t="s">
        <v>487</v>
      </c>
      <c r="C34" s="669">
        <v>0</v>
      </c>
      <c r="D34" s="669"/>
      <c r="E34" s="669" t="e">
        <f>+'SCG Table A'!#REF!</f>
        <v>#REF!</v>
      </c>
      <c r="F34" s="669"/>
      <c r="G34" s="669"/>
      <c r="H34" s="669"/>
      <c r="I34" s="1157" t="e">
        <f>SUM(C34:H34)</f>
        <v>#REF!</v>
      </c>
      <c r="J34" s="1146"/>
      <c r="K34" s="1158"/>
      <c r="M34" s="1147"/>
      <c r="N34" s="1147"/>
      <c r="O34" s="1156"/>
      <c r="P34" s="1156"/>
      <c r="Q34" s="1156"/>
      <c r="R34" s="1156"/>
      <c r="S34" s="1159"/>
    </row>
    <row r="35" spans="1:19" s="9" customFormat="1" ht="16.5" customHeight="1" thickBot="1" x14ac:dyDescent="0.3">
      <c r="A35" s="1150"/>
      <c r="B35" s="1160" t="s">
        <v>395</v>
      </c>
      <c r="C35" s="1161">
        <f t="shared" ref="C35:I35" si="4">SUM(C31:C34)</f>
        <v>52912</v>
      </c>
      <c r="D35" s="1161">
        <f t="shared" si="4"/>
        <v>3300</v>
      </c>
      <c r="E35" s="1161" t="e">
        <f t="shared" si="4"/>
        <v>#REF!</v>
      </c>
      <c r="F35" s="1161">
        <f t="shared" si="4"/>
        <v>0</v>
      </c>
      <c r="G35" s="1161">
        <f t="shared" si="4"/>
        <v>12000</v>
      </c>
      <c r="H35" s="1161">
        <f t="shared" si="4"/>
        <v>1500</v>
      </c>
      <c r="I35" s="1161" t="e">
        <f t="shared" si="4"/>
        <v>#REF!</v>
      </c>
      <c r="J35" s="1146"/>
      <c r="K35" s="517"/>
      <c r="L35" s="1147"/>
      <c r="M35" s="1147"/>
      <c r="N35" s="1147"/>
      <c r="O35" s="1156"/>
      <c r="P35" s="1156"/>
      <c r="S35" s="1159"/>
    </row>
    <row r="36" spans="1:19" s="9" customFormat="1" ht="16.5" hidden="1" customHeight="1" thickBot="1" x14ac:dyDescent="0.3">
      <c r="A36" s="1150"/>
      <c r="B36" s="1160"/>
      <c r="C36" s="1896"/>
      <c r="D36" s="1896"/>
      <c r="E36" s="1896"/>
      <c r="F36" s="1896"/>
      <c r="G36" s="1896"/>
      <c r="H36" s="1896"/>
      <c r="I36" s="1896"/>
      <c r="J36" s="1146"/>
      <c r="K36" s="517"/>
      <c r="L36" s="1147"/>
      <c r="M36" s="1147"/>
      <c r="N36" s="1147"/>
      <c r="O36" s="1156"/>
      <c r="P36" s="1156"/>
      <c r="S36" s="1159"/>
    </row>
    <row r="37" spans="1:19" s="1164" customFormat="1" ht="16.5" customHeight="1" thickBot="1" x14ac:dyDescent="0.3">
      <c r="A37" s="1150"/>
      <c r="B37" s="2929" t="s">
        <v>396</v>
      </c>
      <c r="C37" s="2930"/>
      <c r="D37" s="2930"/>
      <c r="E37" s="2930"/>
      <c r="F37" s="2930"/>
      <c r="G37" s="2930"/>
      <c r="H37" s="2930"/>
      <c r="I37" s="2931"/>
      <c r="J37" s="1146"/>
      <c r="K37" s="517"/>
      <c r="L37" s="1162"/>
      <c r="M37" s="1162"/>
      <c r="N37" s="1162"/>
      <c r="O37" s="1163"/>
      <c r="P37" s="1163"/>
      <c r="S37" s="1165"/>
    </row>
    <row r="38" spans="1:19" s="9" customFormat="1" ht="16.5" customHeight="1" x14ac:dyDescent="0.25">
      <c r="A38" s="1150"/>
      <c r="B38" s="953" t="s">
        <v>484</v>
      </c>
      <c r="C38" s="1166">
        <v>0</v>
      </c>
      <c r="D38" s="1166">
        <v>0</v>
      </c>
      <c r="E38" s="667" t="e">
        <f>+'SCG Table A'!#REF!</f>
        <v>#REF!</v>
      </c>
      <c r="F38" s="1166">
        <v>0</v>
      </c>
      <c r="G38" s="1166">
        <v>0</v>
      </c>
      <c r="H38" s="1166">
        <v>0</v>
      </c>
      <c r="I38" s="668" t="e">
        <f>SUM(E38:H38)</f>
        <v>#REF!</v>
      </c>
      <c r="J38" s="1146"/>
      <c r="K38" s="852"/>
      <c r="L38" s="1147"/>
      <c r="M38" s="1147"/>
      <c r="N38" s="1147"/>
      <c r="O38" s="1156"/>
      <c r="P38" s="1156"/>
      <c r="R38" s="1149"/>
    </row>
    <row r="39" spans="1:19" s="9" customFormat="1" ht="16.5" customHeight="1" x14ac:dyDescent="0.25">
      <c r="A39" s="1150"/>
      <c r="B39" s="693" t="s">
        <v>485</v>
      </c>
      <c r="C39" s="1166">
        <v>0</v>
      </c>
      <c r="D39" s="1166">
        <v>0</v>
      </c>
      <c r="E39" s="669" t="e">
        <f>+'SCG Table A'!#REF!</f>
        <v>#REF!</v>
      </c>
      <c r="F39" s="1166">
        <v>0</v>
      </c>
      <c r="G39" s="1166">
        <v>0</v>
      </c>
      <c r="H39" s="1166">
        <v>0</v>
      </c>
      <c r="I39" s="670" t="e">
        <f>SUM(E39:H39)</f>
        <v>#REF!</v>
      </c>
      <c r="J39" s="1146"/>
      <c r="K39" s="852"/>
      <c r="L39" s="1147"/>
      <c r="M39" s="1147"/>
      <c r="N39" s="1147"/>
      <c r="O39" s="1156"/>
      <c r="P39" s="1156"/>
      <c r="R39" s="1149"/>
    </row>
    <row r="40" spans="1:19" s="9" customFormat="1" ht="16.5" customHeight="1" x14ac:dyDescent="0.25">
      <c r="A40" s="1150"/>
      <c r="B40" s="972" t="s">
        <v>278</v>
      </c>
      <c r="C40" s="1900">
        <v>0</v>
      </c>
      <c r="D40" s="1900">
        <v>0</v>
      </c>
      <c r="E40" s="1901" t="e">
        <f>+'SCG Table A'!#REF!</f>
        <v>#REF!</v>
      </c>
      <c r="F40" s="1900">
        <v>0</v>
      </c>
      <c r="G40" s="1900">
        <v>0</v>
      </c>
      <c r="H40" s="1900">
        <v>0</v>
      </c>
      <c r="I40" s="1899" t="e">
        <f>SUM(E40:H40)</f>
        <v>#REF!</v>
      </c>
      <c r="J40" s="1146"/>
      <c r="K40" s="852"/>
      <c r="L40" s="1147"/>
      <c r="M40" s="1147"/>
      <c r="N40" s="1147"/>
      <c r="O40" s="1156"/>
      <c r="P40" s="1156"/>
      <c r="R40" s="1149"/>
    </row>
    <row r="41" spans="1:19" s="9" customFormat="1" ht="16.5" customHeight="1" x14ac:dyDescent="0.25">
      <c r="A41" s="1150"/>
      <c r="B41" s="693" t="s">
        <v>279</v>
      </c>
      <c r="C41" s="1166">
        <v>0</v>
      </c>
      <c r="D41" s="1166">
        <v>0</v>
      </c>
      <c r="E41" s="669" t="e">
        <f>+'SCG Table A'!#REF!</f>
        <v>#REF!</v>
      </c>
      <c r="F41" s="1166">
        <v>0</v>
      </c>
      <c r="G41" s="1166">
        <v>0</v>
      </c>
      <c r="H41" s="1166">
        <v>0</v>
      </c>
      <c r="I41" s="670" t="e">
        <f>SUM(E41:H41)</f>
        <v>#REF!</v>
      </c>
      <c r="J41" s="1146"/>
      <c r="K41" s="852"/>
      <c r="L41" s="1147"/>
      <c r="M41" s="1147"/>
      <c r="N41" s="1147"/>
      <c r="O41" s="1156"/>
      <c r="P41" s="1156"/>
      <c r="R41" s="1149"/>
    </row>
    <row r="42" spans="1:19" s="9" customFormat="1" ht="16.5" customHeight="1" thickBot="1" x14ac:dyDescent="0.3">
      <c r="A42" s="1150"/>
      <c r="B42" s="1167" t="s">
        <v>280</v>
      </c>
      <c r="C42" s="1166">
        <v>0</v>
      </c>
      <c r="D42" s="1166">
        <v>0</v>
      </c>
      <c r="E42" s="913" t="e">
        <f>+'SCG Table A'!#REF!</f>
        <v>#REF!</v>
      </c>
      <c r="F42" s="1166">
        <v>0</v>
      </c>
      <c r="G42" s="1166">
        <v>0</v>
      </c>
      <c r="H42" s="1166">
        <v>0</v>
      </c>
      <c r="I42" s="1157" t="e">
        <f>SUM(C42:H42)</f>
        <v>#REF!</v>
      </c>
      <c r="J42" s="1146"/>
      <c r="K42" s="852"/>
      <c r="L42" s="1147"/>
      <c r="M42" s="1147"/>
      <c r="N42" s="1147"/>
      <c r="O42" s="1156"/>
      <c r="P42" s="1156"/>
      <c r="R42" s="1149"/>
    </row>
    <row r="43" spans="1:19" s="1164" customFormat="1" ht="16.5" customHeight="1" thickBot="1" x14ac:dyDescent="0.3">
      <c r="A43" s="1150"/>
      <c r="B43" s="1168" t="s">
        <v>397</v>
      </c>
      <c r="C43" s="1169">
        <f t="shared" ref="C43:I43" si="5">SUM(C38:C42)</f>
        <v>0</v>
      </c>
      <c r="D43" s="1169">
        <f t="shared" si="5"/>
        <v>0</v>
      </c>
      <c r="E43" s="1169" t="e">
        <f t="shared" si="5"/>
        <v>#REF!</v>
      </c>
      <c r="F43" s="1169">
        <f t="shared" si="5"/>
        <v>0</v>
      </c>
      <c r="G43" s="1169">
        <f t="shared" si="5"/>
        <v>0</v>
      </c>
      <c r="H43" s="1169">
        <f t="shared" si="5"/>
        <v>0</v>
      </c>
      <c r="I43" s="1169" t="e">
        <f t="shared" si="5"/>
        <v>#REF!</v>
      </c>
      <c r="J43" s="1146"/>
      <c r="K43" s="852"/>
      <c r="L43" s="1162"/>
      <c r="M43" s="1162"/>
      <c r="N43" s="1162"/>
      <c r="O43" s="1163"/>
      <c r="P43" s="1163"/>
      <c r="R43" s="1170"/>
    </row>
    <row r="44" spans="1:19" s="1164" customFormat="1" ht="16.5" customHeight="1" thickBot="1" x14ac:dyDescent="0.3">
      <c r="A44" s="1150"/>
      <c r="B44" s="2929" t="s">
        <v>398</v>
      </c>
      <c r="C44" s="2930"/>
      <c r="D44" s="2930"/>
      <c r="E44" s="2930"/>
      <c r="F44" s="2930"/>
      <c r="G44" s="2930"/>
      <c r="H44" s="2930"/>
      <c r="I44" s="2931"/>
      <c r="J44" s="1146"/>
      <c r="K44" s="852"/>
      <c r="L44" s="1162"/>
      <c r="M44" s="1162"/>
      <c r="N44" s="1162"/>
      <c r="O44" s="1163"/>
      <c r="P44" s="1163"/>
      <c r="R44" s="1170"/>
    </row>
    <row r="45" spans="1:19" s="9" customFormat="1" ht="16.5" customHeight="1" x14ac:dyDescent="0.25">
      <c r="A45" s="1150"/>
      <c r="B45" s="953" t="s">
        <v>399</v>
      </c>
      <c r="C45" s="1171">
        <v>0</v>
      </c>
      <c r="D45" s="1171">
        <v>0</v>
      </c>
      <c r="E45" s="1171" t="e">
        <f>'SCG Table A'!#REF!</f>
        <v>#REF!</v>
      </c>
      <c r="F45" s="1171">
        <v>0</v>
      </c>
      <c r="G45" s="1171">
        <v>0</v>
      </c>
      <c r="H45" s="1171">
        <v>0</v>
      </c>
      <c r="I45" s="668" t="e">
        <f>SUM(C45:H45)</f>
        <v>#REF!</v>
      </c>
      <c r="J45" s="1146"/>
      <c r="K45" s="1172"/>
      <c r="L45" s="1172"/>
      <c r="M45" s="1172"/>
      <c r="N45" s="1172"/>
      <c r="O45" s="1172"/>
      <c r="P45" s="1172"/>
      <c r="Q45" s="1172"/>
      <c r="R45" s="1172"/>
      <c r="S45" s="1172"/>
    </row>
    <row r="46" spans="1:19" s="9" customFormat="1" ht="16.5" customHeight="1" thickBot="1" x14ac:dyDescent="0.3">
      <c r="A46" s="1150"/>
      <c r="B46" s="1173" t="s">
        <v>400</v>
      </c>
      <c r="C46" s="1174">
        <f t="shared" ref="C46:I46" si="6">SUM(C45)</f>
        <v>0</v>
      </c>
      <c r="D46" s="1174">
        <f t="shared" si="6"/>
        <v>0</v>
      </c>
      <c r="E46" s="1174" t="e">
        <f t="shared" si="6"/>
        <v>#REF!</v>
      </c>
      <c r="F46" s="1174">
        <f t="shared" si="6"/>
        <v>0</v>
      </c>
      <c r="G46" s="1174">
        <f t="shared" si="6"/>
        <v>0</v>
      </c>
      <c r="H46" s="1174">
        <f t="shared" si="6"/>
        <v>0</v>
      </c>
      <c r="I46" s="1174" t="e">
        <f t="shared" si="6"/>
        <v>#REF!</v>
      </c>
      <c r="J46" s="1146"/>
      <c r="K46" s="852"/>
      <c r="L46" s="1147"/>
      <c r="M46" s="1147"/>
      <c r="N46" s="1147"/>
      <c r="O46" s="1156"/>
      <c r="P46" s="1156"/>
      <c r="R46" s="1149"/>
    </row>
    <row r="47" spans="1:19" s="9" customFormat="1" ht="16.5" hidden="1" customHeight="1" x14ac:dyDescent="0.25">
      <c r="A47" s="1150"/>
      <c r="B47" s="1897"/>
      <c r="C47" s="1898"/>
      <c r="D47" s="1898"/>
      <c r="E47" s="1898"/>
      <c r="F47" s="1898"/>
      <c r="G47" s="1898"/>
      <c r="H47" s="1898"/>
      <c r="I47" s="1898"/>
      <c r="J47" s="1146"/>
      <c r="K47" s="852"/>
      <c r="L47" s="1147"/>
      <c r="M47" s="1147"/>
      <c r="N47" s="1147"/>
      <c r="O47" s="1156"/>
      <c r="P47" s="1156"/>
      <c r="R47" s="1149"/>
    </row>
    <row r="48" spans="1:19" s="9" customFormat="1" ht="16.5" hidden="1" customHeight="1" x14ac:dyDescent="0.25">
      <c r="A48" s="1150"/>
      <c r="B48" s="1897"/>
      <c r="C48" s="1898"/>
      <c r="D48" s="1898"/>
      <c r="E48" s="1898"/>
      <c r="F48" s="1898"/>
      <c r="G48" s="1898"/>
      <c r="H48" s="1898"/>
      <c r="I48" s="1898"/>
      <c r="J48" s="1146"/>
      <c r="K48" s="852"/>
      <c r="L48" s="1147"/>
      <c r="M48" s="1147"/>
      <c r="N48" s="1147"/>
      <c r="O48" s="1156"/>
      <c r="P48" s="1156"/>
      <c r="R48" s="1149"/>
    </row>
    <row r="49" spans="1:25" s="9" customFormat="1" ht="16.5" customHeight="1" x14ac:dyDescent="0.3">
      <c r="A49" s="1150"/>
      <c r="B49" s="2941" t="s">
        <v>401</v>
      </c>
      <c r="C49" s="2942"/>
      <c r="D49" s="2942"/>
      <c r="E49" s="2942"/>
      <c r="F49" s="2942"/>
      <c r="G49" s="2942"/>
      <c r="H49" s="2942"/>
      <c r="I49" s="2943"/>
      <c r="J49" s="1146"/>
      <c r="K49" s="1175"/>
      <c r="L49" s="1175"/>
      <c r="M49" s="1175"/>
      <c r="N49" s="1175"/>
      <c r="O49" s="1175"/>
      <c r="P49" s="1175"/>
      <c r="R49" s="1149"/>
    </row>
    <row r="50" spans="1:25" s="9" customFormat="1" ht="16.5" customHeight="1" x14ac:dyDescent="0.25">
      <c r="A50" s="1150"/>
      <c r="B50" s="615" t="s">
        <v>402</v>
      </c>
      <c r="C50" s="638">
        <v>98496</v>
      </c>
      <c r="D50" s="638"/>
      <c r="E50" s="638" t="e">
        <f>+'SCG Table A'!#REF!-C50</f>
        <v>#REF!</v>
      </c>
      <c r="F50" s="638"/>
      <c r="G50" s="638"/>
      <c r="H50" s="638"/>
      <c r="I50" s="640" t="e">
        <f>SUM(C50:H50)</f>
        <v>#REF!</v>
      </c>
      <c r="J50" s="1146"/>
      <c r="K50" s="582"/>
      <c r="L50" s="582"/>
      <c r="M50" s="582"/>
      <c r="N50" s="582"/>
      <c r="O50" s="582"/>
      <c r="P50" s="584"/>
      <c r="Q50" s="1156"/>
      <c r="R50" s="1149"/>
    </row>
    <row r="51" spans="1:25" s="9" customFormat="1" ht="16.5" customHeight="1" x14ac:dyDescent="0.25">
      <c r="A51" s="1150"/>
      <c r="B51" s="615" t="s">
        <v>403</v>
      </c>
      <c r="C51" s="638"/>
      <c r="D51" s="638"/>
      <c r="E51" s="638" t="e">
        <f>+'SCG Table A'!#REF!-C51</f>
        <v>#REF!</v>
      </c>
      <c r="F51" s="638"/>
      <c r="G51" s="638"/>
      <c r="H51" s="638"/>
      <c r="I51" s="640" t="e">
        <f t="shared" ref="I51:I57" si="7">SUM(C51:H51)</f>
        <v>#REF!</v>
      </c>
      <c r="J51" s="1146"/>
      <c r="K51" s="582"/>
      <c r="L51" s="582"/>
      <c r="M51" s="582"/>
      <c r="N51" s="582"/>
      <c r="O51" s="582"/>
      <c r="P51" s="584"/>
      <c r="Q51" s="1156"/>
      <c r="R51" s="1149"/>
    </row>
    <row r="52" spans="1:25" s="9" customFormat="1" ht="16.5" customHeight="1" x14ac:dyDescent="0.25">
      <c r="A52" s="1150"/>
      <c r="B52" s="615" t="s">
        <v>404</v>
      </c>
      <c r="C52" s="638">
        <v>13321</v>
      </c>
      <c r="D52" s="638"/>
      <c r="E52" s="638" t="e">
        <f>+'SCG Table A'!#REF!-C52</f>
        <v>#REF!</v>
      </c>
      <c r="F52" s="638"/>
      <c r="G52" s="638"/>
      <c r="H52" s="638"/>
      <c r="I52" s="640" t="e">
        <f t="shared" si="7"/>
        <v>#REF!</v>
      </c>
      <c r="J52" s="1146"/>
      <c r="K52" s="582"/>
      <c r="L52" s="582"/>
      <c r="M52" s="582"/>
      <c r="N52" s="582"/>
      <c r="O52" s="582"/>
      <c r="P52" s="584"/>
      <c r="Q52" s="1156"/>
    </row>
    <row r="53" spans="1:25" s="9" customFormat="1" ht="16.5" customHeight="1" x14ac:dyDescent="0.25">
      <c r="A53" s="1150"/>
      <c r="B53" s="615" t="s">
        <v>281</v>
      </c>
      <c r="C53" s="638">
        <v>80000</v>
      </c>
      <c r="D53" s="638"/>
      <c r="E53" s="638" t="e">
        <f>+'SCG Table A'!#REF!-C53</f>
        <v>#REF!</v>
      </c>
      <c r="F53" s="638"/>
      <c r="G53" s="638"/>
      <c r="H53" s="638"/>
      <c r="I53" s="640" t="e">
        <f t="shared" si="7"/>
        <v>#REF!</v>
      </c>
      <c r="J53" s="1146"/>
      <c r="K53" s="582"/>
      <c r="L53" s="582"/>
      <c r="M53" s="582"/>
      <c r="N53" s="582"/>
      <c r="O53" s="582"/>
      <c r="P53" s="584"/>
      <c r="Q53" s="1156"/>
      <c r="R53" s="1164"/>
      <c r="S53" s="1159"/>
    </row>
    <row r="54" spans="1:25" s="1159" customFormat="1" ht="16.5" customHeight="1" x14ac:dyDescent="0.25">
      <c r="A54" s="1145"/>
      <c r="B54" s="615" t="s">
        <v>405</v>
      </c>
      <c r="C54" s="638">
        <v>20418</v>
      </c>
      <c r="D54" s="638"/>
      <c r="E54" s="638" t="e">
        <f>+'SCG Table A'!#REF!-C54</f>
        <v>#REF!</v>
      </c>
      <c r="F54" s="638"/>
      <c r="G54" s="638"/>
      <c r="H54" s="638"/>
      <c r="I54" s="640" t="e">
        <f t="shared" si="7"/>
        <v>#REF!</v>
      </c>
      <c r="J54" s="1146"/>
      <c r="K54" s="582"/>
      <c r="L54" s="582"/>
      <c r="M54" s="582"/>
      <c r="N54" s="582"/>
      <c r="O54" s="582"/>
      <c r="P54" s="584"/>
      <c r="Q54" s="1163"/>
      <c r="R54" s="9"/>
      <c r="S54" s="9"/>
      <c r="T54" s="9"/>
      <c r="U54" s="9"/>
      <c r="V54" s="9"/>
      <c r="W54" s="9"/>
      <c r="X54" s="9"/>
      <c r="Y54" s="9"/>
    </row>
    <row r="55" spans="1:25" s="9" customFormat="1" ht="16.5" customHeight="1" x14ac:dyDescent="0.25">
      <c r="A55" s="1145"/>
      <c r="B55" s="615" t="s">
        <v>488</v>
      </c>
      <c r="C55" s="638"/>
      <c r="D55" s="638"/>
      <c r="E55" s="638" t="e">
        <f>+'SCG Table A'!#REF!-C55</f>
        <v>#REF!</v>
      </c>
      <c r="F55" s="638"/>
      <c r="G55" s="638"/>
      <c r="H55" s="638"/>
      <c r="I55" s="640" t="e">
        <f>SUM(C55:H55)</f>
        <v>#REF!</v>
      </c>
      <c r="J55" s="1146"/>
      <c r="K55" s="1159"/>
      <c r="L55" s="1159"/>
      <c r="M55" s="848"/>
      <c r="P55" s="1176"/>
    </row>
    <row r="56" spans="1:25" s="9" customFormat="1" ht="16.5" customHeight="1" x14ac:dyDescent="0.25">
      <c r="A56" s="1145"/>
      <c r="B56" s="615" t="s">
        <v>406</v>
      </c>
      <c r="C56" s="638"/>
      <c r="D56" s="638"/>
      <c r="E56" s="638" t="e">
        <f>+'SCG Table A'!#REF!-C56</f>
        <v>#REF!</v>
      </c>
      <c r="F56" s="638"/>
      <c r="G56" s="638"/>
      <c r="H56" s="638"/>
      <c r="I56" s="640" t="e">
        <f t="shared" si="7"/>
        <v>#REF!</v>
      </c>
      <c r="J56" s="1146"/>
      <c r="K56" s="1159"/>
      <c r="L56" s="1159"/>
      <c r="M56" s="848"/>
      <c r="P56" s="1176"/>
    </row>
    <row r="57" spans="1:25" s="9" customFormat="1" ht="16.5" customHeight="1" thickBot="1" x14ac:dyDescent="0.3">
      <c r="A57" s="1145"/>
      <c r="B57" s="616" t="s">
        <v>407</v>
      </c>
      <c r="C57" s="638"/>
      <c r="D57" s="638"/>
      <c r="E57" s="638"/>
      <c r="F57" s="638"/>
      <c r="G57" s="638"/>
      <c r="H57" s="638" t="e">
        <f>+'SCG Table A'!#REF!</f>
        <v>#REF!</v>
      </c>
      <c r="I57" s="640" t="e">
        <f t="shared" si="7"/>
        <v>#REF!</v>
      </c>
      <c r="J57" s="1146"/>
      <c r="K57" s="1159"/>
      <c r="L57" s="1159"/>
      <c r="M57" s="848"/>
    </row>
    <row r="58" spans="1:25" s="9" customFormat="1" ht="16.5" customHeight="1" thickBot="1" x14ac:dyDescent="0.3">
      <c r="A58" s="1145"/>
      <c r="B58" s="232" t="s">
        <v>43</v>
      </c>
      <c r="C58" s="1177">
        <f t="shared" ref="C58:I58" si="8">SUM(C50:C57)</f>
        <v>212235</v>
      </c>
      <c r="D58" s="1177">
        <f t="shared" si="8"/>
        <v>0</v>
      </c>
      <c r="E58" s="1177" t="e">
        <f t="shared" si="8"/>
        <v>#REF!</v>
      </c>
      <c r="F58" s="1177">
        <f t="shared" si="8"/>
        <v>0</v>
      </c>
      <c r="G58" s="1177">
        <f t="shared" si="8"/>
        <v>0</v>
      </c>
      <c r="H58" s="1177" t="e">
        <f t="shared" si="8"/>
        <v>#REF!</v>
      </c>
      <c r="I58" s="1177" t="e">
        <f t="shared" si="8"/>
        <v>#REF!</v>
      </c>
      <c r="J58" s="1146"/>
      <c r="K58" s="1159"/>
      <c r="L58" s="1159"/>
      <c r="M58" s="848"/>
    </row>
    <row r="59" spans="1:25" ht="19.5" customHeight="1" thickBot="1" x14ac:dyDescent="0.35">
      <c r="A59" s="83"/>
      <c r="B59" s="2891" t="s">
        <v>28</v>
      </c>
      <c r="C59" s="2892"/>
      <c r="D59" s="2892"/>
      <c r="E59" s="2892"/>
      <c r="F59" s="2892"/>
      <c r="G59" s="2892"/>
      <c r="H59" s="2892"/>
      <c r="I59" s="2893"/>
      <c r="J59" s="166"/>
      <c r="K59" s="52"/>
      <c r="M59" s="141"/>
      <c r="N59" s="49"/>
    </row>
    <row r="60" spans="1:25" ht="21" customHeight="1" x14ac:dyDescent="0.3">
      <c r="A60" s="83"/>
      <c r="B60" s="1032" t="s">
        <v>7</v>
      </c>
      <c r="C60" s="655">
        <f t="shared" ref="C60:H60" si="9">+C17+(C35*0.8)+C40</f>
        <v>578813.6</v>
      </c>
      <c r="D60" s="655">
        <f t="shared" si="9"/>
        <v>11910</v>
      </c>
      <c r="E60" s="655" t="e">
        <f t="shared" si="9"/>
        <v>#REF!</v>
      </c>
      <c r="F60" s="655">
        <f t="shared" si="9"/>
        <v>5037772</v>
      </c>
      <c r="G60" s="655">
        <f t="shared" si="9"/>
        <v>156180</v>
      </c>
      <c r="H60" s="655">
        <f t="shared" si="9"/>
        <v>12385</v>
      </c>
      <c r="I60" s="1033" t="e">
        <f>SUM(C60:H60)</f>
        <v>#REF!</v>
      </c>
      <c r="J60" s="522"/>
      <c r="M60" s="141"/>
      <c r="N60" s="49"/>
    </row>
    <row r="61" spans="1:25" ht="21" customHeight="1" x14ac:dyDescent="0.3">
      <c r="A61" s="21"/>
      <c r="B61" s="1034" t="s">
        <v>8</v>
      </c>
      <c r="C61" s="657">
        <f t="shared" ref="C61:H61" si="10">+C28+C38+C39+C41+C42+(C35*0.2)</f>
        <v>348753.4</v>
      </c>
      <c r="D61" s="657">
        <f t="shared" si="10"/>
        <v>11160</v>
      </c>
      <c r="E61" s="657" t="e">
        <f t="shared" si="10"/>
        <v>#REF!</v>
      </c>
      <c r="F61" s="657">
        <f t="shared" si="10"/>
        <v>2021030</v>
      </c>
      <c r="G61" s="657">
        <f t="shared" si="10"/>
        <v>47400</v>
      </c>
      <c r="H61" s="657">
        <f t="shared" si="10"/>
        <v>19300</v>
      </c>
      <c r="I61" s="1035" t="e">
        <f>SUM(C61:H61)</f>
        <v>#REF!</v>
      </c>
      <c r="J61" s="522"/>
      <c r="K61" s="521"/>
      <c r="M61" s="141"/>
      <c r="N61" s="49"/>
    </row>
    <row r="62" spans="1:25" ht="21" customHeight="1" thickBot="1" x14ac:dyDescent="0.35">
      <c r="A62" s="86"/>
      <c r="B62" s="1036" t="s">
        <v>12</v>
      </c>
      <c r="C62" s="659">
        <f t="shared" ref="C62:H62" si="11">+C58+C46</f>
        <v>212235</v>
      </c>
      <c r="D62" s="659">
        <f t="shared" si="11"/>
        <v>0</v>
      </c>
      <c r="E62" s="659" t="e">
        <f t="shared" si="11"/>
        <v>#REF!</v>
      </c>
      <c r="F62" s="659">
        <f t="shared" si="11"/>
        <v>0</v>
      </c>
      <c r="G62" s="659">
        <f t="shared" si="11"/>
        <v>0</v>
      </c>
      <c r="H62" s="659" t="e">
        <f t="shared" si="11"/>
        <v>#REF!</v>
      </c>
      <c r="I62" s="1037" t="e">
        <f>SUM(C62:H62)</f>
        <v>#REF!</v>
      </c>
      <c r="J62" s="45"/>
      <c r="M62" s="141"/>
      <c r="N62" s="49"/>
    </row>
    <row r="63" spans="1:25" ht="21" thickBot="1" x14ac:dyDescent="0.35">
      <c r="A63" s="83"/>
      <c r="B63" s="648" t="s">
        <v>58</v>
      </c>
      <c r="C63" s="649">
        <f t="shared" ref="C63:I63" si="12">SUM(C60:C62)</f>
        <v>1139802</v>
      </c>
      <c r="D63" s="649">
        <f t="shared" si="12"/>
        <v>23070</v>
      </c>
      <c r="E63" s="649" t="e">
        <f t="shared" si="12"/>
        <v>#REF!</v>
      </c>
      <c r="F63" s="649">
        <f t="shared" si="12"/>
        <v>7058802</v>
      </c>
      <c r="G63" s="649">
        <f t="shared" si="12"/>
        <v>203580</v>
      </c>
      <c r="H63" s="649" t="e">
        <f t="shared" si="12"/>
        <v>#REF!</v>
      </c>
      <c r="I63" s="649" t="e">
        <f t="shared" si="12"/>
        <v>#REF!</v>
      </c>
      <c r="J63" s="45"/>
      <c r="M63" s="141"/>
      <c r="N63" s="49"/>
    </row>
    <row r="64" spans="1:25" ht="15.75" x14ac:dyDescent="0.25">
      <c r="B64" s="144"/>
    </row>
    <row r="65" spans="2:2" ht="15.75" x14ac:dyDescent="0.25">
      <c r="B65" s="144"/>
    </row>
    <row r="66" spans="2:2" ht="15.75" x14ac:dyDescent="0.25">
      <c r="B66" s="144"/>
    </row>
    <row r="67" spans="2:2" ht="15.75" x14ac:dyDescent="0.25">
      <c r="B67" s="144"/>
    </row>
  </sheetData>
  <mergeCells count="12">
    <mergeCell ref="B59:I59"/>
    <mergeCell ref="B29:I29"/>
    <mergeCell ref="B23:I23"/>
    <mergeCell ref="B30:I30"/>
    <mergeCell ref="B37:I37"/>
    <mergeCell ref="B44:I44"/>
    <mergeCell ref="B49:I49"/>
    <mergeCell ref="B1:I1"/>
    <mergeCell ref="B2:I2"/>
    <mergeCell ref="B11:I11"/>
    <mergeCell ref="B19:I19"/>
    <mergeCell ref="B22:I22"/>
  </mergeCells>
  <printOptions horizontalCentered="1" verticalCentered="1"/>
  <pageMargins left="0.61" right="0.31" top="0.2" bottom="0.43" header="0.2" footer="0.18"/>
  <pageSetup scale="53" fitToWidth="0" orientation="landscape" r:id="rId1"/>
  <headerFooter alignWithMargins="0">
    <oddFooter>&amp;R
&amp;C&amp;"Arial"&amp;11&amp;K000000&amp;14
Totals may vary due to rounding&amp;12
_x000D_&amp;1#&amp;"Calibri"&amp;12&amp;K008000Internal Use</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indexed="44"/>
  </sheetPr>
  <dimension ref="A1:F43"/>
  <sheetViews>
    <sheetView workbookViewId="0">
      <selection activeCell="F39" sqref="F39"/>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332</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'SCG Table C 2014'!C63</f>
        <v>1139802</v>
      </c>
      <c r="C34" s="841"/>
      <c r="D34" s="236" t="e">
        <f t="shared" ref="D34:D39" si="0">SUM(B34/$B$41)</f>
        <v>#REF!</v>
      </c>
    </row>
    <row r="35" spans="1:4" x14ac:dyDescent="0.2">
      <c r="A35" t="s">
        <v>19</v>
      </c>
      <c r="B35" s="14">
        <f>'SCG Table C 2014'!D63</f>
        <v>23070</v>
      </c>
      <c r="D35" s="236" t="e">
        <f t="shared" si="0"/>
        <v>#REF!</v>
      </c>
    </row>
    <row r="36" spans="1:4" x14ac:dyDescent="0.2">
      <c r="A36" t="s">
        <v>4</v>
      </c>
      <c r="B36" s="14" t="e">
        <f>'SCG Table C 2014'!E63</f>
        <v>#REF!</v>
      </c>
      <c r="D36" s="236" t="e">
        <f t="shared" si="0"/>
        <v>#REF!</v>
      </c>
    </row>
    <row r="37" spans="1:4" x14ac:dyDescent="0.2">
      <c r="A37" t="s">
        <v>2</v>
      </c>
      <c r="B37" s="14">
        <f>'SCG Table C 2014'!F63</f>
        <v>7058802</v>
      </c>
      <c r="D37" s="236" t="e">
        <f t="shared" si="0"/>
        <v>#REF!</v>
      </c>
    </row>
    <row r="38" spans="1:4" x14ac:dyDescent="0.2">
      <c r="A38" t="s">
        <v>14</v>
      </c>
      <c r="B38" s="14">
        <f>'SCG Table C 2014'!G63</f>
        <v>203580</v>
      </c>
      <c r="D38" s="236" t="e">
        <f t="shared" si="0"/>
        <v>#REF!</v>
      </c>
    </row>
    <row r="39" spans="1:4" x14ac:dyDescent="0.2">
      <c r="A39" t="s">
        <v>15</v>
      </c>
      <c r="B39" s="933" t="e">
        <f>'SCG Table C 2014'!H63</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9">
    <tabColor indexed="47"/>
    <pageSetUpPr fitToPage="1"/>
  </sheetPr>
  <dimension ref="A1:X75"/>
  <sheetViews>
    <sheetView zoomScale="75" workbookViewId="0"/>
  </sheetViews>
  <sheetFormatPr defaultRowHeight="12.75" x14ac:dyDescent="0.2"/>
  <cols>
    <col min="1" max="1" width="7.140625" style="49" customWidth="1"/>
    <col min="2" max="2" width="61.1406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622</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26330</v>
      </c>
      <c r="D12" s="633">
        <v>1000</v>
      </c>
      <c r="E12" s="633">
        <f>25000-10000-11000</f>
        <v>4000</v>
      </c>
      <c r="F12" s="633">
        <f>358468+19500+170000+200000+100000</f>
        <v>847968</v>
      </c>
      <c r="G12" s="633">
        <f>12500-8500</f>
        <v>4000</v>
      </c>
      <c r="H12" s="633">
        <v>2500</v>
      </c>
      <c r="I12" s="634">
        <f t="shared" ref="I12:I17" si="0">SUM(C12:H12)</f>
        <v>885798</v>
      </c>
      <c r="J12" s="85"/>
      <c r="K12" s="2197"/>
      <c r="L12" s="583"/>
      <c r="M12" s="583"/>
      <c r="N12" s="572"/>
      <c r="O12" s="584"/>
      <c r="P12" s="584"/>
      <c r="Q12" s="584"/>
    </row>
    <row r="13" spans="1:20" ht="20.25" x14ac:dyDescent="0.3">
      <c r="A13" s="83"/>
      <c r="B13" s="614" t="s">
        <v>149</v>
      </c>
      <c r="C13" s="638">
        <v>164227</v>
      </c>
      <c r="D13" s="638">
        <v>2000</v>
      </c>
      <c r="E13" s="2436">
        <f>236634+60000</f>
        <v>296634</v>
      </c>
      <c r="F13" s="2436">
        <f>3522867-80000-750000+3564274-3297769+3599357-3564274-200000-50000+100000</f>
        <v>2844455</v>
      </c>
      <c r="G13" s="2436">
        <f>30000+20000+50000</f>
        <v>100000</v>
      </c>
      <c r="H13" s="638">
        <v>4027</v>
      </c>
      <c r="I13" s="640">
        <f t="shared" si="0"/>
        <v>3411343</v>
      </c>
      <c r="J13" s="796"/>
      <c r="K13" s="796"/>
      <c r="L13" s="796"/>
      <c r="M13" s="796"/>
      <c r="N13" s="796"/>
      <c r="O13" s="796"/>
      <c r="P13" s="583"/>
      <c r="Q13" s="583"/>
      <c r="R13" s="586"/>
      <c r="S13" s="587"/>
    </row>
    <row r="14" spans="1:20" ht="20.25" x14ac:dyDescent="0.3">
      <c r="A14" s="83"/>
      <c r="B14" s="614" t="s">
        <v>596</v>
      </c>
      <c r="C14" s="638">
        <f>22224+16065</f>
        <v>38289</v>
      </c>
      <c r="D14" s="638">
        <f>2300+4000</f>
        <v>6300</v>
      </c>
      <c r="E14" s="2436">
        <f>38000+90000+10000</f>
        <v>138000</v>
      </c>
      <c r="F14" s="2436">
        <f>1488201.72361199+1992093-1683791-5000-10000</f>
        <v>1781503.72361199</v>
      </c>
      <c r="G14" s="2436">
        <f>28000-8000+5000</f>
        <v>25000</v>
      </c>
      <c r="H14" s="638">
        <v>3000</v>
      </c>
      <c r="I14" s="640">
        <f t="shared" si="0"/>
        <v>1992092.72361199</v>
      </c>
      <c r="J14" s="796"/>
      <c r="K14" s="585"/>
      <c r="L14" s="1178"/>
      <c r="M14" s="583"/>
      <c r="N14" s="583"/>
      <c r="O14" s="583"/>
      <c r="P14" s="583"/>
      <c r="Q14" s="583"/>
      <c r="R14" s="586"/>
      <c r="S14" s="587"/>
    </row>
    <row r="15" spans="1:20" ht="20.25" x14ac:dyDescent="0.3">
      <c r="A15" s="83"/>
      <c r="B15" s="614" t="s">
        <v>342</v>
      </c>
      <c r="C15" s="638">
        <v>178243</v>
      </c>
      <c r="D15" s="638">
        <v>2500</v>
      </c>
      <c r="E15" s="2436">
        <f>60000-50000+20000</f>
        <v>30000</v>
      </c>
      <c r="F15" s="2436">
        <f>3753779.22079666+3990865-3977122+4299167-3990865-22000</f>
        <v>4053824.2207966596</v>
      </c>
      <c r="G15" s="2436">
        <f>15000-5000+22000</f>
        <v>32000</v>
      </c>
      <c r="H15" s="638">
        <v>2600</v>
      </c>
      <c r="I15" s="2294">
        <f t="shared" si="0"/>
        <v>4299167.2207966596</v>
      </c>
      <c r="J15" s="796"/>
      <c r="K15" s="585"/>
      <c r="L15" s="1178"/>
      <c r="M15" s="601"/>
      <c r="N15" s="601"/>
      <c r="O15" s="601"/>
      <c r="P15" s="601"/>
      <c r="Q15" s="601"/>
    </row>
    <row r="16" spans="1:20" ht="24.6" customHeight="1" thickBot="1" x14ac:dyDescent="0.35">
      <c r="A16" s="83"/>
      <c r="B16" s="617" t="s">
        <v>529</v>
      </c>
      <c r="C16" s="641">
        <v>16920</v>
      </c>
      <c r="D16" s="641">
        <v>0</v>
      </c>
      <c r="E16" s="641">
        <v>140566</v>
      </c>
      <c r="F16" s="641">
        <v>0</v>
      </c>
      <c r="G16" s="641">
        <v>0</v>
      </c>
      <c r="H16" s="641">
        <v>0</v>
      </c>
      <c r="I16" s="643">
        <f t="shared" si="0"/>
        <v>157486</v>
      </c>
      <c r="J16" s="796"/>
      <c r="K16" s="585"/>
      <c r="L16" s="1178"/>
      <c r="M16" s="581"/>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f t="shared" si="0"/>
        <v>0</v>
      </c>
      <c r="J17" s="748"/>
      <c r="K17" s="588"/>
      <c r="L17" s="2047"/>
      <c r="M17" s="2047"/>
      <c r="N17" s="2047"/>
      <c r="O17" s="2047"/>
      <c r="P17" s="602"/>
      <c r="Q17" s="602"/>
    </row>
    <row r="18" spans="1:17" ht="21" thickBot="1" x14ac:dyDescent="0.35">
      <c r="A18" s="84"/>
      <c r="B18" s="232" t="s">
        <v>30</v>
      </c>
      <c r="C18" s="645">
        <f>SUM(C12:C17)</f>
        <v>424009</v>
      </c>
      <c r="D18" s="645">
        <f t="shared" ref="D18:I18" si="1">SUM(D12:D17)</f>
        <v>11800</v>
      </c>
      <c r="E18" s="645">
        <f t="shared" si="1"/>
        <v>609200</v>
      </c>
      <c r="F18" s="645">
        <f t="shared" si="1"/>
        <v>9527750.9444086496</v>
      </c>
      <c r="G18" s="645">
        <f t="shared" si="1"/>
        <v>161000</v>
      </c>
      <c r="H18" s="645">
        <f t="shared" si="1"/>
        <v>12127</v>
      </c>
      <c r="I18" s="645">
        <f t="shared" si="1"/>
        <v>10745886.94440865</v>
      </c>
      <c r="J18" s="748"/>
      <c r="K18" s="520"/>
      <c r="L18" s="520"/>
      <c r="M18" s="52"/>
    </row>
    <row r="19" spans="1:17" s="51" customFormat="1" ht="15" x14ac:dyDescent="0.2">
      <c r="B19" s="663"/>
      <c r="C19" s="664"/>
      <c r="D19" s="622"/>
      <c r="E19" s="622"/>
      <c r="F19" s="665"/>
      <c r="G19" s="665"/>
      <c r="H19" s="665"/>
      <c r="I19" s="666"/>
      <c r="J19" s="52"/>
      <c r="K19" s="52"/>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180628</v>
      </c>
      <c r="D21" s="644">
        <v>10251</v>
      </c>
      <c r="E21" s="644">
        <f>125000-38600</f>
        <v>86400</v>
      </c>
      <c r="F21" s="644">
        <v>1968821.1454644352</v>
      </c>
      <c r="G21" s="644">
        <f>41004+157169</f>
        <v>198173</v>
      </c>
      <c r="H21" s="644">
        <v>20502</v>
      </c>
      <c r="I21" s="634">
        <f>SUM(C21:H21)</f>
        <v>2464775.1454644352</v>
      </c>
      <c r="J21" s="796"/>
      <c r="K21" s="2434"/>
      <c r="L21" s="625"/>
      <c r="M21" s="625"/>
      <c r="N21" s="625"/>
      <c r="O21" s="625"/>
      <c r="P21" s="625"/>
      <c r="Q21" s="625"/>
    </row>
    <row r="22" spans="1:17" ht="21" thickBot="1" x14ac:dyDescent="0.35">
      <c r="A22" s="84"/>
      <c r="B22" s="26" t="s">
        <v>152</v>
      </c>
      <c r="C22" s="645">
        <f>SUM(C21)</f>
        <v>180628</v>
      </c>
      <c r="D22" s="645">
        <f t="shared" ref="D22:I22" si="2">SUM(D21)</f>
        <v>10251</v>
      </c>
      <c r="E22" s="645">
        <f t="shared" si="2"/>
        <v>86400</v>
      </c>
      <c r="F22" s="645">
        <f t="shared" si="2"/>
        <v>1968821.1454644352</v>
      </c>
      <c r="G22" s="645">
        <f t="shared" si="2"/>
        <v>198173</v>
      </c>
      <c r="H22" s="645">
        <f t="shared" si="2"/>
        <v>20502</v>
      </c>
      <c r="I22" s="645">
        <f t="shared" si="2"/>
        <v>2464775.1454644352</v>
      </c>
      <c r="J22" s="85"/>
      <c r="K22" s="520"/>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139553</v>
      </c>
      <c r="D25" s="633">
        <v>5000</v>
      </c>
      <c r="E25" s="633">
        <f>58633-29519</f>
        <v>29114</v>
      </c>
      <c r="F25" s="633">
        <v>1108791.3861232756</v>
      </c>
      <c r="G25" s="633">
        <f>30000+114602</f>
        <v>144602</v>
      </c>
      <c r="H25" s="633">
        <v>5000</v>
      </c>
      <c r="I25" s="634">
        <f>SUM(C25:H25)</f>
        <v>1432060.3861232756</v>
      </c>
      <c r="J25" s="796"/>
      <c r="K25" s="2434"/>
      <c r="L25" s="625"/>
      <c r="M25" s="625"/>
      <c r="N25" s="625"/>
      <c r="O25" s="625"/>
      <c r="P25" s="625"/>
      <c r="Q25" s="625"/>
    </row>
    <row r="26" spans="1:17" ht="21" thickBot="1" x14ac:dyDescent="0.35">
      <c r="A26" s="83"/>
      <c r="B26" s="155" t="s">
        <v>581</v>
      </c>
      <c r="C26" s="635">
        <v>24097</v>
      </c>
      <c r="D26" s="635">
        <v>5000</v>
      </c>
      <c r="E26" s="635">
        <v>45000</v>
      </c>
      <c r="F26" s="635">
        <v>597532.52400363854</v>
      </c>
      <c r="G26" s="635">
        <f>10000+39292</f>
        <v>49292</v>
      </c>
      <c r="H26" s="635">
        <v>7500</v>
      </c>
      <c r="I26" s="926">
        <f>SUM(C26:H26)</f>
        <v>728421.52400363854</v>
      </c>
      <c r="J26" s="796"/>
      <c r="K26" s="2434"/>
      <c r="L26" s="625"/>
      <c r="M26" s="625"/>
      <c r="N26" s="625"/>
      <c r="O26" s="625"/>
      <c r="P26" s="625"/>
      <c r="Q26" s="625"/>
    </row>
    <row r="27" spans="1:17" ht="21" thickBot="1" x14ac:dyDescent="0.35">
      <c r="A27" s="84"/>
      <c r="B27" s="26" t="s">
        <v>152</v>
      </c>
      <c r="C27" s="645">
        <f>SUM(C25:C26)</f>
        <v>163650</v>
      </c>
      <c r="D27" s="645">
        <f t="shared" ref="D27:I27" si="3">SUM(D25:D26)</f>
        <v>10000</v>
      </c>
      <c r="E27" s="645">
        <f t="shared" si="3"/>
        <v>74114</v>
      </c>
      <c r="F27" s="645">
        <f t="shared" si="3"/>
        <v>1706323.9101269143</v>
      </c>
      <c r="G27" s="645">
        <f t="shared" si="3"/>
        <v>193894</v>
      </c>
      <c r="H27" s="645">
        <f t="shared" si="3"/>
        <v>12500</v>
      </c>
      <c r="I27" s="645">
        <f t="shared" si="3"/>
        <v>2160481.9101269143</v>
      </c>
      <c r="J27" s="85"/>
      <c r="K27" s="600"/>
      <c r="L27" s="309"/>
      <c r="M27" s="627"/>
      <c r="N27" s="257"/>
      <c r="O27" s="245"/>
      <c r="P27" s="245"/>
      <c r="Q27" s="12"/>
    </row>
    <row r="28" spans="1:17" ht="21" thickBot="1" x14ac:dyDescent="0.35">
      <c r="A28" s="84"/>
      <c r="B28" s="690" t="s">
        <v>245</v>
      </c>
      <c r="C28" s="703">
        <v>8032</v>
      </c>
      <c r="D28" s="703">
        <v>2000</v>
      </c>
      <c r="E28" s="703">
        <v>10000</v>
      </c>
      <c r="F28" s="703">
        <f>185561+7150</f>
        <v>192711</v>
      </c>
      <c r="G28" s="703">
        <f>5000+16372</f>
        <v>21372</v>
      </c>
      <c r="H28" s="703">
        <v>5000</v>
      </c>
      <c r="I28" s="703">
        <f>SUM(C28:H28)</f>
        <v>239115</v>
      </c>
      <c r="J28" s="796"/>
      <c r="K28" s="2434"/>
      <c r="L28" s="624"/>
      <c r="M28" s="623"/>
      <c r="N28" s="623"/>
      <c r="O28" s="741"/>
      <c r="P28" s="741"/>
      <c r="Q28" s="741"/>
    </row>
    <row r="29" spans="1:17" ht="21" thickBot="1" x14ac:dyDescent="0.35">
      <c r="A29" s="84"/>
      <c r="B29" s="26" t="s">
        <v>31</v>
      </c>
      <c r="C29" s="645">
        <f>C22+C27+C28</f>
        <v>352310</v>
      </c>
      <c r="D29" s="645">
        <f t="shared" ref="D29:I29" si="4">D22+D27+D28</f>
        <v>22251</v>
      </c>
      <c r="E29" s="645">
        <f t="shared" si="4"/>
        <v>170514</v>
      </c>
      <c r="F29" s="645">
        <f t="shared" si="4"/>
        <v>3867856.0555913495</v>
      </c>
      <c r="G29" s="645">
        <f t="shared" si="4"/>
        <v>413439</v>
      </c>
      <c r="H29" s="645">
        <f t="shared" si="4"/>
        <v>38002</v>
      </c>
      <c r="I29" s="645">
        <f t="shared" si="4"/>
        <v>4864372.0555913495</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1854">
        <v>0</v>
      </c>
      <c r="D32" s="669">
        <v>0</v>
      </c>
      <c r="E32" s="669">
        <v>0</v>
      </c>
      <c r="F32" s="669">
        <v>0</v>
      </c>
      <c r="G32" s="669">
        <v>0</v>
      </c>
      <c r="H32" s="669">
        <v>0</v>
      </c>
      <c r="I32" s="668">
        <f t="shared" ref="I32:I39" si="5">SUM(C32:H32)</f>
        <v>0</v>
      </c>
      <c r="J32" s="1152"/>
      <c r="K32" s="2048"/>
      <c r="L32" s="1154"/>
      <c r="M32" s="1154"/>
      <c r="N32" s="1155"/>
      <c r="O32" s="1155"/>
      <c r="P32" s="1156"/>
      <c r="Q32" s="1149"/>
    </row>
    <row r="33" spans="1:19" s="9" customFormat="1" ht="16.5" customHeight="1" x14ac:dyDescent="0.25">
      <c r="A33" s="1150"/>
      <c r="B33" s="693" t="s">
        <v>600</v>
      </c>
      <c r="C33" s="1854">
        <f>12138+51386</f>
        <v>63524</v>
      </c>
      <c r="D33" s="669">
        <v>890</v>
      </c>
      <c r="E33" s="669">
        <f>56966+20000+36750</f>
        <v>113716</v>
      </c>
      <c r="F33" s="669">
        <v>3000</v>
      </c>
      <c r="G33" s="669">
        <v>4448</v>
      </c>
      <c r="H33" s="669">
        <v>500</v>
      </c>
      <c r="I33" s="1899">
        <f t="shared" si="5"/>
        <v>186078</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f t="shared" si="5"/>
        <v>150000</v>
      </c>
      <c r="J34" s="1152"/>
      <c r="K34" s="2048"/>
      <c r="L34" s="1154"/>
      <c r="M34" s="1154"/>
      <c r="N34" s="1155"/>
      <c r="O34" s="1155"/>
      <c r="P34" s="1156"/>
      <c r="Q34" s="1149"/>
    </row>
    <row r="35" spans="1:19" s="9" customFormat="1" ht="16.5" customHeight="1" x14ac:dyDescent="0.25">
      <c r="A35" s="1150"/>
      <c r="B35" s="693" t="s">
        <v>601</v>
      </c>
      <c r="C35" s="1854">
        <v>9971</v>
      </c>
      <c r="D35" s="669">
        <v>771</v>
      </c>
      <c r="E35" s="669">
        <f>34096+8000</f>
        <v>42096</v>
      </c>
      <c r="F35" s="669">
        <v>0</v>
      </c>
      <c r="G35" s="669">
        <v>1780</v>
      </c>
      <c r="H35" s="669">
        <v>593</v>
      </c>
      <c r="I35" s="1899">
        <f t="shared" si="5"/>
        <v>55211</v>
      </c>
      <c r="J35" s="1152"/>
      <c r="K35" s="2048"/>
      <c r="L35" s="1154"/>
      <c r="M35" s="1154"/>
      <c r="N35" s="1155"/>
      <c r="O35" s="1155"/>
      <c r="P35" s="1156"/>
      <c r="Q35" s="1149"/>
    </row>
    <row r="36" spans="1:19" s="9" customFormat="1" ht="16.5" customHeight="1" thickBot="1" x14ac:dyDescent="0.3">
      <c r="A36" s="1150"/>
      <c r="B36" s="693" t="s">
        <v>602</v>
      </c>
      <c r="C36" s="1854">
        <v>3327</v>
      </c>
      <c r="D36" s="669">
        <v>291</v>
      </c>
      <c r="E36" s="669">
        <f>19000+4750</f>
        <v>23750</v>
      </c>
      <c r="F36" s="669">
        <v>0</v>
      </c>
      <c r="G36" s="669">
        <v>1384</v>
      </c>
      <c r="H36" s="669">
        <v>224</v>
      </c>
      <c r="I36" s="1899">
        <f t="shared" si="5"/>
        <v>28976</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f t="shared" si="5"/>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f t="shared" si="5"/>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f t="shared" si="5"/>
        <v>0</v>
      </c>
      <c r="J39" s="1146"/>
      <c r="K39" s="1158"/>
      <c r="M39" s="1147"/>
      <c r="N39" s="1147"/>
      <c r="O39" s="1156"/>
      <c r="P39" s="1156"/>
      <c r="Q39" s="1156"/>
      <c r="R39" s="1156"/>
      <c r="S39" s="1159"/>
    </row>
    <row r="40" spans="1:19" s="9" customFormat="1" ht="16.5" customHeight="1" thickBot="1" x14ac:dyDescent="0.3">
      <c r="A40" s="1150"/>
      <c r="B40" s="1160" t="s">
        <v>395</v>
      </c>
      <c r="C40" s="1161">
        <f>SUM(C32:C39)</f>
        <v>76822</v>
      </c>
      <c r="D40" s="1161">
        <f t="shared" ref="D40:I40" si="6">SUM(D32:D39)</f>
        <v>1952</v>
      </c>
      <c r="E40" s="1161">
        <f t="shared" si="6"/>
        <v>329562</v>
      </c>
      <c r="F40" s="1161">
        <f t="shared" si="6"/>
        <v>3000</v>
      </c>
      <c r="G40" s="1161">
        <f t="shared" si="6"/>
        <v>7612</v>
      </c>
      <c r="H40" s="2271">
        <f t="shared" si="6"/>
        <v>1317</v>
      </c>
      <c r="I40" s="2273">
        <f t="shared" si="6"/>
        <v>420265</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t="e">
        <f>'CNG Table A'!#REF!</f>
        <v>#REF!</v>
      </c>
      <c r="F43" s="1166">
        <v>0</v>
      </c>
      <c r="G43" s="1166">
        <v>0</v>
      </c>
      <c r="H43" s="1166">
        <v>0</v>
      </c>
      <c r="I43" s="668" t="e">
        <f>SUM(E43:H43)</f>
        <v>#REF!</v>
      </c>
      <c r="J43" s="1146"/>
      <c r="K43" s="852"/>
      <c r="L43" s="1147"/>
      <c r="M43" s="1147"/>
      <c r="N43" s="1147"/>
      <c r="O43" s="1156"/>
      <c r="P43" s="1156"/>
      <c r="R43" s="1149"/>
    </row>
    <row r="44" spans="1:19" s="9" customFormat="1" ht="16.5" customHeight="1" x14ac:dyDescent="0.25">
      <c r="A44" s="1150"/>
      <c r="B44" s="2264" t="s">
        <v>607</v>
      </c>
      <c r="C44" s="1166">
        <v>0</v>
      </c>
      <c r="D44" s="1166">
        <v>0</v>
      </c>
      <c r="E44" s="1901">
        <f>186292-100000</f>
        <v>86292</v>
      </c>
      <c r="F44" s="1166">
        <v>0</v>
      </c>
      <c r="G44" s="1166">
        <v>0</v>
      </c>
      <c r="H44" s="1166">
        <v>0</v>
      </c>
      <c r="I44" s="1899">
        <f>SUM(C44:H44)</f>
        <v>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f>SUM(C45:H45)</f>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f>SUM(C46:H46)</f>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t="e">
        <f>'CNG Table A'!#REF!</f>
        <v>#REF!</v>
      </c>
      <c r="F47" s="1166">
        <v>0</v>
      </c>
      <c r="G47" s="1166">
        <v>0</v>
      </c>
      <c r="H47" s="1166">
        <v>0</v>
      </c>
      <c r="I47" s="670" t="e">
        <f>SUM(E47:H47)</f>
        <v>#REF!</v>
      </c>
      <c r="J47" s="1146"/>
      <c r="K47" s="852"/>
      <c r="L47" s="1147"/>
      <c r="M47" s="1147"/>
      <c r="N47" s="1147"/>
      <c r="O47" s="1156"/>
      <c r="P47" s="1156"/>
      <c r="R47" s="1149"/>
    </row>
    <row r="48" spans="1:19" s="9" customFormat="1" ht="16.5" hidden="1" customHeight="1" x14ac:dyDescent="0.25">
      <c r="A48" s="1150"/>
      <c r="B48" s="693" t="s">
        <v>586</v>
      </c>
      <c r="C48" s="1900">
        <v>0</v>
      </c>
      <c r="D48" s="1900">
        <v>0</v>
      </c>
      <c r="E48" s="1901" t="e">
        <f>'CNG Table A'!#REF!</f>
        <v>#REF!</v>
      </c>
      <c r="F48" s="1900">
        <v>0</v>
      </c>
      <c r="G48" s="1900">
        <v>0</v>
      </c>
      <c r="H48" s="1900">
        <v>0</v>
      </c>
      <c r="I48" s="1899" t="e">
        <f>SUM(E48:H48)</f>
        <v>#REF!</v>
      </c>
      <c r="J48" s="852"/>
      <c r="K48" s="1147"/>
      <c r="L48" s="1147"/>
      <c r="M48" s="1147"/>
      <c r="N48" s="1156"/>
      <c r="O48" s="1156"/>
      <c r="Q48" s="1149"/>
    </row>
    <row r="49" spans="1:18" s="9" customFormat="1" ht="16.5" hidden="1" customHeight="1" x14ac:dyDescent="0.25">
      <c r="A49" s="1150"/>
      <c r="B49" s="693" t="s">
        <v>579</v>
      </c>
      <c r="C49" s="1166">
        <v>0</v>
      </c>
      <c r="D49" s="1166">
        <v>0</v>
      </c>
      <c r="E49" s="669" t="e">
        <f>'CNG Table A'!#REF!</f>
        <v>#REF!</v>
      </c>
      <c r="F49" s="1166">
        <v>0</v>
      </c>
      <c r="G49" s="1166">
        <v>0</v>
      </c>
      <c r="H49" s="1166">
        <v>0</v>
      </c>
      <c r="I49" s="670" t="e">
        <f>SUM(E49:H49)</f>
        <v>#REF!</v>
      </c>
      <c r="J49" s="852"/>
      <c r="K49" s="1147"/>
      <c r="L49" s="1147"/>
      <c r="M49" s="1147"/>
      <c r="N49" s="1156"/>
      <c r="O49" s="1156"/>
      <c r="Q49" s="1149"/>
    </row>
    <row r="50" spans="1:18" s="9" customFormat="1" ht="16.5" hidden="1" customHeight="1" thickBot="1" x14ac:dyDescent="0.3">
      <c r="A50" s="1150"/>
      <c r="B50" s="694" t="s">
        <v>587</v>
      </c>
      <c r="C50" s="1166">
        <v>0</v>
      </c>
      <c r="D50" s="1166">
        <v>0</v>
      </c>
      <c r="E50" s="913" t="e">
        <f>'CNG Table A'!#REF!</f>
        <v>#REF!</v>
      </c>
      <c r="F50" s="1166">
        <v>0</v>
      </c>
      <c r="G50" s="1166">
        <v>0</v>
      </c>
      <c r="H50" s="1166">
        <v>0</v>
      </c>
      <c r="I50" s="1157" t="e">
        <f>SUM(C50:H50)</f>
        <v>#REF!</v>
      </c>
      <c r="J50" s="852"/>
      <c r="K50" s="1147"/>
      <c r="L50" s="1147"/>
      <c r="M50" s="1147"/>
      <c r="N50" s="1156"/>
      <c r="O50" s="1156"/>
      <c r="Q50" s="1149"/>
    </row>
    <row r="51" spans="1:18" s="1164" customFormat="1" ht="16.5" customHeight="1" thickBot="1" x14ac:dyDescent="0.3">
      <c r="A51" s="1150"/>
      <c r="B51" s="1168" t="s">
        <v>397</v>
      </c>
      <c r="C51" s="1169">
        <f t="shared" ref="C51:I51" si="7">SUM(C43:C50)</f>
        <v>0</v>
      </c>
      <c r="D51" s="1169">
        <f t="shared" si="7"/>
        <v>0</v>
      </c>
      <c r="E51" s="1169" t="e">
        <f t="shared" si="7"/>
        <v>#REF!</v>
      </c>
      <c r="F51" s="1169">
        <f t="shared" si="7"/>
        <v>0</v>
      </c>
      <c r="G51" s="1169">
        <f t="shared" si="7"/>
        <v>0</v>
      </c>
      <c r="H51" s="1169">
        <f t="shared" si="7"/>
        <v>0</v>
      </c>
      <c r="I51" s="2272" t="e">
        <f t="shared" si="7"/>
        <v>#REF!</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f>SUM(C53:H53)</f>
        <v>0</v>
      </c>
      <c r="J53" s="1172"/>
      <c r="K53" s="1172"/>
      <c r="L53" s="1172"/>
      <c r="M53" s="1172"/>
      <c r="N53" s="1172"/>
      <c r="O53" s="1172"/>
      <c r="P53" s="1172"/>
      <c r="Q53" s="1172"/>
      <c r="R53" s="1172"/>
    </row>
    <row r="54" spans="1:18" s="9" customFormat="1" ht="16.5" hidden="1" customHeight="1" thickBot="1" x14ac:dyDescent="0.3">
      <c r="A54" s="1150"/>
      <c r="B54" s="1173" t="s">
        <v>400</v>
      </c>
      <c r="C54" s="1174">
        <f>SUM(C53)</f>
        <v>0</v>
      </c>
      <c r="D54" s="1174">
        <f t="shared" ref="D54:I54" si="8">SUM(D53)</f>
        <v>0</v>
      </c>
      <c r="E54" s="1174">
        <f t="shared" si="8"/>
        <v>0</v>
      </c>
      <c r="F54" s="1174">
        <f t="shared" si="8"/>
        <v>0</v>
      </c>
      <c r="G54" s="1174">
        <f t="shared" si="8"/>
        <v>0</v>
      </c>
      <c r="H54" s="1174">
        <f t="shared" si="8"/>
        <v>0</v>
      </c>
      <c r="I54" s="1174">
        <f t="shared" si="8"/>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2264" t="s">
        <v>631</v>
      </c>
      <c r="C58" s="1166">
        <v>0</v>
      </c>
      <c r="D58" s="1166">
        <v>0</v>
      </c>
      <c r="E58" s="1901">
        <v>0</v>
      </c>
      <c r="F58" s="638">
        <v>0</v>
      </c>
      <c r="G58" s="1166">
        <v>0</v>
      </c>
      <c r="H58" s="1166">
        <v>0</v>
      </c>
      <c r="I58" s="1899">
        <f>SUM(C58:H58)</f>
        <v>0</v>
      </c>
      <c r="J58" s="852"/>
      <c r="K58" s="1147"/>
      <c r="L58" s="1147"/>
      <c r="M58" s="1147"/>
      <c r="N58" s="1156"/>
      <c r="O58" s="1156"/>
      <c r="Q58" s="1149"/>
    </row>
    <row r="59" spans="1:18" s="9" customFormat="1" ht="16.5" hidden="1" customHeight="1" thickBot="1" x14ac:dyDescent="0.3">
      <c r="A59" s="1150"/>
      <c r="B59" s="1168" t="s">
        <v>632</v>
      </c>
      <c r="C59" s="1169">
        <f>SUM(C58)</f>
        <v>0</v>
      </c>
      <c r="D59" s="1169">
        <f t="shared" ref="D59:I59" si="9">SUM(D58)</f>
        <v>0</v>
      </c>
      <c r="E59" s="1169">
        <f t="shared" si="9"/>
        <v>0</v>
      </c>
      <c r="F59" s="1169">
        <f t="shared" si="9"/>
        <v>0</v>
      </c>
      <c r="G59" s="1169">
        <f t="shared" si="9"/>
        <v>0</v>
      </c>
      <c r="H59" s="1169">
        <f t="shared" si="9"/>
        <v>0</v>
      </c>
      <c r="I59" s="1169">
        <f t="shared" si="9"/>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121951</v>
      </c>
      <c r="D61" s="638">
        <f>+'CNG Table C 2013'!D38</f>
        <v>0</v>
      </c>
      <c r="E61" s="638">
        <v>20675</v>
      </c>
      <c r="F61" s="638">
        <f>+'CNG Table C 2013'!F38</f>
        <v>0</v>
      </c>
      <c r="G61" s="638">
        <f>+'CNG Table C 2013'!G38</f>
        <v>0</v>
      </c>
      <c r="H61" s="638">
        <v>0</v>
      </c>
      <c r="I61" s="640">
        <f>SUM(C61:H61)</f>
        <v>142626</v>
      </c>
      <c r="J61" s="582"/>
      <c r="K61" s="582"/>
      <c r="L61" s="582"/>
      <c r="M61" s="582"/>
      <c r="N61" s="582"/>
      <c r="O61" s="584"/>
      <c r="P61" s="1156"/>
      <c r="Q61" s="1149"/>
    </row>
    <row r="62" spans="1:18" s="9" customFormat="1" ht="16.5" customHeight="1" x14ac:dyDescent="0.25">
      <c r="A62" s="1150"/>
      <c r="B62" s="615" t="s">
        <v>546</v>
      </c>
      <c r="C62" s="638">
        <f>+'CNG Table C 2013'!C39</f>
        <v>0</v>
      </c>
      <c r="D62" s="638">
        <f>+'CNG Table C 2013'!D39</f>
        <v>0</v>
      </c>
      <c r="E62" s="638" t="e">
        <f>+'CNG Table A'!#REF!</f>
        <v>#REF!</v>
      </c>
      <c r="F62" s="638">
        <f>+'CNG Table C 2013'!F39</f>
        <v>0</v>
      </c>
      <c r="G62" s="638">
        <f>+'CNG Table C 2013'!G39</f>
        <v>0</v>
      </c>
      <c r="H62" s="638">
        <v>0</v>
      </c>
      <c r="I62" s="640" t="e">
        <f t="shared" ref="I62:I69" si="10">SUM(C62:H62)</f>
        <v>#REF!</v>
      </c>
      <c r="J62" s="582"/>
      <c r="K62" s="582"/>
      <c r="L62" s="582"/>
      <c r="M62" s="582"/>
      <c r="N62" s="582"/>
      <c r="O62" s="584"/>
      <c r="P62" s="1156"/>
      <c r="Q62" s="1149"/>
    </row>
    <row r="63" spans="1:18" s="9" customFormat="1" ht="16.5" customHeight="1" x14ac:dyDescent="0.25">
      <c r="A63" s="1150"/>
      <c r="B63" s="615" t="s">
        <v>547</v>
      </c>
      <c r="C63" s="638">
        <v>19291</v>
      </c>
      <c r="D63" s="638">
        <f>+'CNG Table C 2013'!D40</f>
        <v>0</v>
      </c>
      <c r="E63" s="638">
        <v>120000</v>
      </c>
      <c r="F63" s="638">
        <f>+'CNG Table C 2013'!F40</f>
        <v>0</v>
      </c>
      <c r="G63" s="638">
        <f>+'CNG Table C 2013'!G40</f>
        <v>0</v>
      </c>
      <c r="H63" s="638">
        <v>0</v>
      </c>
      <c r="I63" s="640">
        <f t="shared" si="10"/>
        <v>139291</v>
      </c>
      <c r="J63" s="582"/>
      <c r="K63" s="582"/>
      <c r="L63" s="582"/>
      <c r="M63" s="582"/>
      <c r="N63" s="582"/>
      <c r="O63" s="584"/>
      <c r="P63" s="1156"/>
    </row>
    <row r="64" spans="1:18" s="9" customFormat="1" ht="16.5" customHeight="1" x14ac:dyDescent="0.25">
      <c r="A64" s="1150"/>
      <c r="B64" s="615" t="s">
        <v>548</v>
      </c>
      <c r="C64" s="638">
        <v>123720</v>
      </c>
      <c r="D64" s="638">
        <f>+'CNG Table C 2013'!D41</f>
        <v>0</v>
      </c>
      <c r="E64" s="638">
        <v>0</v>
      </c>
      <c r="F64" s="638">
        <f>+'CNG Table C 2013'!F41</f>
        <v>0</v>
      </c>
      <c r="G64" s="638">
        <f>+'CNG Table C 2013'!G41</f>
        <v>0</v>
      </c>
      <c r="H64" s="638">
        <v>0</v>
      </c>
      <c r="I64" s="640">
        <f t="shared" si="10"/>
        <v>123720</v>
      </c>
      <c r="J64" s="582"/>
      <c r="K64" s="582"/>
      <c r="L64" s="582"/>
      <c r="M64" s="582"/>
      <c r="N64" s="582"/>
      <c r="O64" s="584"/>
      <c r="P64" s="1156"/>
      <c r="Q64" s="1164"/>
      <c r="R64" s="1159"/>
    </row>
    <row r="65" spans="1:24" s="1159" customFormat="1" ht="16.5" customHeight="1" x14ac:dyDescent="0.25">
      <c r="A65" s="1145"/>
      <c r="B65" s="615" t="s">
        <v>639</v>
      </c>
      <c r="C65" s="638">
        <v>0</v>
      </c>
      <c r="D65" s="638">
        <f>+'CNG Table C 2013'!D42</f>
        <v>0</v>
      </c>
      <c r="E65" s="638" t="e">
        <f>+'CNG Table A'!#REF!-C65</f>
        <v>#REF!</v>
      </c>
      <c r="F65" s="638">
        <f>+'CNG Table C 2013'!F42</f>
        <v>0</v>
      </c>
      <c r="G65" s="638">
        <f>+'CNG Table C 2013'!G42</f>
        <v>0</v>
      </c>
      <c r="H65" s="638">
        <v>0</v>
      </c>
      <c r="I65" s="640" t="e">
        <f t="shared" si="10"/>
        <v>#REF!</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f>+'CNG Table C 2013'!D42</f>
        <v>0</v>
      </c>
      <c r="E66" s="638" t="e">
        <f>+'CNG Table A'!#REF!</f>
        <v>#REF!</v>
      </c>
      <c r="F66" s="638">
        <f>+'CNG Table C 2013'!F40</f>
        <v>0</v>
      </c>
      <c r="G66" s="638">
        <f>+'CNG Table C 2013'!G42</f>
        <v>0</v>
      </c>
      <c r="H66" s="638">
        <v>0</v>
      </c>
      <c r="I66" s="640" t="e">
        <f>SUM(C66:H66)</f>
        <v>#REF!</v>
      </c>
      <c r="J66" s="1146"/>
      <c r="K66" s="1159"/>
      <c r="L66" s="1159"/>
      <c r="M66" s="848"/>
      <c r="P66" s="1176"/>
    </row>
    <row r="67" spans="1:24" s="9" customFormat="1" ht="16.5" customHeight="1" x14ac:dyDescent="0.25">
      <c r="A67" s="1145"/>
      <c r="B67" s="615" t="s">
        <v>641</v>
      </c>
      <c r="C67" s="638">
        <f>+'CNG Table C 2013'!C43</f>
        <v>0</v>
      </c>
      <c r="D67" s="638">
        <f>+'CNG Table C 2013'!D43</f>
        <v>0</v>
      </c>
      <c r="E67" s="638" t="e">
        <f>+'CNG Table A'!#REF!</f>
        <v>#REF!</v>
      </c>
      <c r="F67" s="638">
        <f>+'CNG Table C 2013'!F43</f>
        <v>0</v>
      </c>
      <c r="G67" s="638">
        <f>+'CNG Table C 2013'!G43</f>
        <v>0</v>
      </c>
      <c r="H67" s="638">
        <v>0</v>
      </c>
      <c r="I67" s="640" t="e">
        <f t="shared" si="10"/>
        <v>#REF!</v>
      </c>
      <c r="J67" s="1159"/>
      <c r="K67" s="1159"/>
      <c r="L67" s="848"/>
      <c r="O67" s="1176"/>
    </row>
    <row r="68" spans="1:24" s="9" customFormat="1" ht="16.5" customHeight="1" x14ac:dyDescent="0.25">
      <c r="A68" s="1145"/>
      <c r="B68" s="615" t="s">
        <v>642</v>
      </c>
      <c r="C68" s="638">
        <f>+'CNG Table C 2013'!C44</f>
        <v>0</v>
      </c>
      <c r="D68" s="638">
        <f>+'CNG Table C 2013'!D44</f>
        <v>0</v>
      </c>
      <c r="E68" s="638" t="e">
        <f>+'CNG Table A'!#REF!</f>
        <v>#REF!</v>
      </c>
      <c r="F68" s="638">
        <f>+'CNG Table C 2013'!F44</f>
        <v>0</v>
      </c>
      <c r="G68" s="638">
        <f>+'CNG Table C 2013'!G44</f>
        <v>0</v>
      </c>
      <c r="H68" s="638">
        <v>0</v>
      </c>
      <c r="I68" s="640" t="e">
        <f>SUM(C68:H68)</f>
        <v>#REF!</v>
      </c>
      <c r="J68" s="1159"/>
      <c r="K68" s="1159"/>
      <c r="L68" s="848"/>
      <c r="O68" s="1176"/>
    </row>
    <row r="69" spans="1:24" s="9" customFormat="1" ht="16.5" customHeight="1" thickBot="1" x14ac:dyDescent="0.3">
      <c r="A69" s="1145"/>
      <c r="B69" s="2432" t="s">
        <v>643</v>
      </c>
      <c r="C69" s="925">
        <f>+'CNG Table C 2013'!C44</f>
        <v>0</v>
      </c>
      <c r="D69" s="925">
        <f>+'CNG Table C 2013'!D44</f>
        <v>0</v>
      </c>
      <c r="E69" s="925">
        <f>+'CNG Table C 2013'!E44</f>
        <v>0</v>
      </c>
      <c r="F69" s="925">
        <f>+'CNG Table C 2013'!F44</f>
        <v>0</v>
      </c>
      <c r="G69" s="925">
        <f>+'CNG Table C 2013'!G44</f>
        <v>0</v>
      </c>
      <c r="H69" s="925" t="e">
        <f>+'CNG Table A'!#REF!</f>
        <v>#REF!</v>
      </c>
      <c r="I69" s="789" t="e">
        <f t="shared" si="10"/>
        <v>#REF!</v>
      </c>
      <c r="J69" s="1159"/>
      <c r="K69" s="1159"/>
      <c r="L69" s="848"/>
    </row>
    <row r="70" spans="1:24" s="9" customFormat="1" ht="16.5" customHeight="1" thickBot="1" x14ac:dyDescent="0.3">
      <c r="A70" s="1145"/>
      <c r="B70" s="648" t="s">
        <v>43</v>
      </c>
      <c r="C70" s="2433">
        <f>SUM(C61:C69)</f>
        <v>264962</v>
      </c>
      <c r="D70" s="2433">
        <f t="shared" ref="D70:I70" si="11">SUM(D61:D69)</f>
        <v>0</v>
      </c>
      <c r="E70" s="2433" t="e">
        <f t="shared" si="11"/>
        <v>#REF!</v>
      </c>
      <c r="F70" s="2433">
        <f t="shared" si="11"/>
        <v>0</v>
      </c>
      <c r="G70" s="2433">
        <f t="shared" si="11"/>
        <v>0</v>
      </c>
      <c r="H70" s="2433" t="e">
        <f t="shared" si="11"/>
        <v>#REF!</v>
      </c>
      <c r="I70" s="2433" t="e">
        <f t="shared" si="11"/>
        <v>#REF!</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f>C18+C32*0.8+C33*0.5+C34*0.8+C35*0.8+C36*0.5+C37*0.8+C38+C39*0.8+C44+C48+C62*0.8</f>
        <v>465411.3</v>
      </c>
      <c r="D72" s="655">
        <f t="shared" ref="D72:I72" si="12">D18+D32*0.8+D33*0.5+D34*0.8+D35*0.8+D36*0.5+D37*0.8+D38+D39*0.8+D44+D48+D62*0.8</f>
        <v>13007.3</v>
      </c>
      <c r="E72" s="655" t="e">
        <f t="shared" si="12"/>
        <v>#REF!</v>
      </c>
      <c r="F72" s="655">
        <f t="shared" si="12"/>
        <v>9529250.9444086496</v>
      </c>
      <c r="G72" s="655">
        <f t="shared" si="12"/>
        <v>165340</v>
      </c>
      <c r="H72" s="655">
        <f t="shared" si="12"/>
        <v>12963.4</v>
      </c>
      <c r="I72" s="1033" t="e">
        <f t="shared" si="12"/>
        <v>#REF!</v>
      </c>
      <c r="L72" s="141"/>
      <c r="M72" s="49"/>
      <c r="N72" s="49"/>
    </row>
    <row r="73" spans="1:24" ht="21" hidden="1" customHeight="1" x14ac:dyDescent="0.3">
      <c r="A73" s="21"/>
      <c r="B73" s="1034" t="s">
        <v>8</v>
      </c>
      <c r="C73" s="657">
        <f>C29+C32*0.2+C33*0.5+C34*0.2+C35*0.2+C36*0.5+C37*0.2+C39*0.2+C45+C47+C49+C50+C58+C62*0.2</f>
        <v>387729.7</v>
      </c>
      <c r="D73" s="657">
        <f t="shared" ref="D73:I73" si="13">D29+D32*0.2+D33*0.5+D34*0.2+D35*0.2+D36*0.5+D37*0.2+D39*0.2+D45+D47+D49+D50+D58+D62*0.2</f>
        <v>22995.7</v>
      </c>
      <c r="E73" s="657" t="e">
        <f t="shared" si="13"/>
        <v>#REF!</v>
      </c>
      <c r="F73" s="657">
        <f t="shared" si="13"/>
        <v>3869356.0555913495</v>
      </c>
      <c r="G73" s="657">
        <f t="shared" si="13"/>
        <v>416711</v>
      </c>
      <c r="H73" s="657">
        <f t="shared" si="13"/>
        <v>38482.6</v>
      </c>
      <c r="I73" s="2299" t="e">
        <f t="shared" si="13"/>
        <v>#REF!</v>
      </c>
      <c r="J73" s="521"/>
      <c r="L73" s="141"/>
      <c r="M73" s="49"/>
      <c r="N73" s="49"/>
    </row>
    <row r="74" spans="1:24" ht="21" hidden="1" customHeight="1" thickBot="1" x14ac:dyDescent="0.35">
      <c r="A74" s="86"/>
      <c r="B74" s="1036" t="s">
        <v>12</v>
      </c>
      <c r="C74" s="659">
        <f t="shared" ref="C74:H74" si="14">C43+C46+C53+C61+C63+C64+C65+C66+C67+C68+C69</f>
        <v>264962</v>
      </c>
      <c r="D74" s="659">
        <f t="shared" si="14"/>
        <v>0</v>
      </c>
      <c r="E74" s="659" t="e">
        <f t="shared" si="14"/>
        <v>#REF!</v>
      </c>
      <c r="F74" s="659">
        <f t="shared" si="14"/>
        <v>0</v>
      </c>
      <c r="G74" s="659">
        <f t="shared" si="14"/>
        <v>0</v>
      </c>
      <c r="H74" s="659" t="e">
        <f t="shared" si="14"/>
        <v>#REF!</v>
      </c>
      <c r="I74" s="1037" t="e">
        <f>SUM(C74:H74)</f>
        <v>#REF!</v>
      </c>
      <c r="L74" s="141"/>
      <c r="M74" s="49"/>
      <c r="N74" s="49"/>
    </row>
    <row r="75" spans="1:24" ht="21" thickBot="1" x14ac:dyDescent="0.35">
      <c r="A75" s="83"/>
      <c r="B75" s="648" t="s">
        <v>58</v>
      </c>
      <c r="C75" s="649">
        <f>C18+C29+C40+C51+C70</f>
        <v>1118103</v>
      </c>
      <c r="D75" s="649">
        <f t="shared" ref="D75:I75" si="15">D18+D29+D40+D51+D70</f>
        <v>36003</v>
      </c>
      <c r="E75" s="649" t="e">
        <f t="shared" si="15"/>
        <v>#REF!</v>
      </c>
      <c r="F75" s="649">
        <f t="shared" si="15"/>
        <v>13398607</v>
      </c>
      <c r="G75" s="649">
        <f t="shared" si="15"/>
        <v>582051</v>
      </c>
      <c r="H75" s="649" t="e">
        <f t="shared" si="15"/>
        <v>#REF!</v>
      </c>
      <c r="I75" s="649" t="e">
        <f t="shared" si="15"/>
        <v>#REF!</v>
      </c>
      <c r="J75" s="141"/>
      <c r="L75" s="141"/>
      <c r="M75" s="49"/>
      <c r="N75" s="49"/>
    </row>
  </sheetData>
  <mergeCells count="13">
    <mergeCell ref="B24:I24"/>
    <mergeCell ref="B30:I30"/>
    <mergeCell ref="B31:I31"/>
    <mergeCell ref="B1:I1"/>
    <mergeCell ref="B2:I2"/>
    <mergeCell ref="B11:I11"/>
    <mergeCell ref="B20:I20"/>
    <mergeCell ref="B23:I23"/>
    <mergeCell ref="B42:I42"/>
    <mergeCell ref="B52:I52"/>
    <mergeCell ref="B60:I60"/>
    <mergeCell ref="B71:I71"/>
    <mergeCell ref="B57:I57"/>
  </mergeCells>
  <printOptions horizontalCentered="1" verticalCentered="1"/>
  <pageMargins left="0.61" right="0.31" top="0.2" bottom="0.43" header="0.2" footer="0.18"/>
  <pageSetup scale="65" orientation="landscape" r:id="rId1"/>
  <headerFooter alignWithMargins="0">
    <oddFooter>&amp;R
&amp;C&amp;"Arial"&amp;11&amp;K000000&amp;14
Totals may vary due to rounding&amp;12
_x000D_&amp;1#&amp;"Calibri"&amp;12&amp;K008000Internal Use</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0">
    <tabColor indexed="47"/>
    <pageSetUpPr fitToPage="1"/>
  </sheetPr>
  <dimension ref="A1:X75"/>
  <sheetViews>
    <sheetView topLeftCell="A21" zoomScale="75" workbookViewId="0">
      <selection activeCell="H69" sqref="H69"/>
    </sheetView>
  </sheetViews>
  <sheetFormatPr defaultRowHeight="12.75" x14ac:dyDescent="0.2"/>
  <cols>
    <col min="1" max="1" width="7.140625" style="49" customWidth="1"/>
    <col min="2" max="2" width="61.1406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622</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v>4000</v>
      </c>
      <c r="F12" s="633">
        <v>547968</v>
      </c>
      <c r="G12" s="633">
        <v>4000</v>
      </c>
      <c r="H12" s="633">
        <v>2500</v>
      </c>
      <c r="I12" s="634">
        <v>598443</v>
      </c>
      <c r="J12" s="85"/>
      <c r="K12" s="2197"/>
      <c r="L12" s="583"/>
      <c r="M12" s="583"/>
      <c r="N12" s="572"/>
      <c r="O12" s="584"/>
      <c r="P12" s="584"/>
      <c r="Q12" s="584"/>
    </row>
    <row r="13" spans="1:20" ht="20.25" x14ac:dyDescent="0.3">
      <c r="A13" s="83"/>
      <c r="B13" s="614" t="s">
        <v>149</v>
      </c>
      <c r="C13" s="638">
        <v>252240.9</v>
      </c>
      <c r="D13" s="638">
        <v>2000</v>
      </c>
      <c r="E13" s="638">
        <v>296634</v>
      </c>
      <c r="F13" s="638">
        <v>2994455</v>
      </c>
      <c r="G13" s="638">
        <v>50000</v>
      </c>
      <c r="H13" s="638">
        <v>4027</v>
      </c>
      <c r="I13" s="640">
        <v>3599356.9</v>
      </c>
      <c r="J13" s="796"/>
      <c r="K13" s="796"/>
      <c r="L13" s="796"/>
      <c r="M13" s="796"/>
      <c r="N13" s="796"/>
      <c r="O13" s="796"/>
      <c r="P13" s="583"/>
      <c r="Q13" s="583"/>
      <c r="R13" s="586"/>
      <c r="S13" s="587"/>
    </row>
    <row r="14" spans="1:20" ht="20.25" x14ac:dyDescent="0.3">
      <c r="A14" s="83"/>
      <c r="B14" s="614" t="s">
        <v>596</v>
      </c>
      <c r="C14" s="638">
        <v>58566</v>
      </c>
      <c r="D14" s="638">
        <v>6300</v>
      </c>
      <c r="E14" s="638">
        <v>128000</v>
      </c>
      <c r="F14" s="638">
        <v>1441546.9</v>
      </c>
      <c r="G14" s="638">
        <v>20000</v>
      </c>
      <c r="H14" s="638">
        <v>3000</v>
      </c>
      <c r="I14" s="640">
        <v>1657412.9</v>
      </c>
      <c r="J14" s="796"/>
      <c r="K14" s="585"/>
      <c r="L14" s="1178"/>
      <c r="M14" s="583"/>
      <c r="N14" s="583"/>
      <c r="O14" s="583"/>
      <c r="P14" s="583"/>
      <c r="Q14" s="583"/>
      <c r="R14" s="586"/>
      <c r="S14" s="587"/>
    </row>
    <row r="15" spans="1:20" ht="20.25" x14ac:dyDescent="0.3">
      <c r="A15" s="83"/>
      <c r="B15" s="614" t="s">
        <v>342</v>
      </c>
      <c r="C15" s="638">
        <v>234806</v>
      </c>
      <c r="D15" s="638">
        <v>2500</v>
      </c>
      <c r="E15" s="638">
        <v>30000</v>
      </c>
      <c r="F15" s="638">
        <v>3501369</v>
      </c>
      <c r="G15" s="638">
        <v>10000</v>
      </c>
      <c r="H15" s="638">
        <v>2600</v>
      </c>
      <c r="I15" s="2294">
        <v>3781275</v>
      </c>
      <c r="J15" s="749"/>
      <c r="K15" s="585"/>
      <c r="L15" s="1178"/>
      <c r="M15" s="601"/>
      <c r="N15" s="601"/>
      <c r="O15" s="601"/>
      <c r="P15" s="601"/>
      <c r="Q15" s="601"/>
    </row>
    <row r="16" spans="1:20" ht="24.6" customHeight="1" thickBot="1" x14ac:dyDescent="0.35">
      <c r="A16" s="83"/>
      <c r="B16" s="617" t="s">
        <v>529</v>
      </c>
      <c r="C16" s="641">
        <v>0</v>
      </c>
      <c r="D16" s="641">
        <v>0</v>
      </c>
      <c r="E16" s="641">
        <v>140566</v>
      </c>
      <c r="F16" s="641">
        <v>0</v>
      </c>
      <c r="G16" s="641">
        <v>0</v>
      </c>
      <c r="H16" s="641">
        <v>0</v>
      </c>
      <c r="I16" s="643">
        <v>140566</v>
      </c>
      <c r="J16" s="796"/>
      <c r="K16" s="585"/>
      <c r="L16" s="1178"/>
      <c r="M16" s="581"/>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v>0</v>
      </c>
      <c r="J17" s="748"/>
      <c r="K17" s="588"/>
      <c r="L17" s="2047"/>
      <c r="M17" s="2047"/>
      <c r="N17" s="2047"/>
      <c r="O17" s="2047"/>
      <c r="P17" s="602"/>
      <c r="Q17" s="602"/>
    </row>
    <row r="18" spans="1:17" ht="21" thickBot="1" x14ac:dyDescent="0.35">
      <c r="A18" s="84"/>
      <c r="B18" s="232" t="s">
        <v>30</v>
      </c>
      <c r="C18" s="645">
        <v>584587.9</v>
      </c>
      <c r="D18" s="645">
        <v>11800</v>
      </c>
      <c r="E18" s="645">
        <v>599200</v>
      </c>
      <c r="F18" s="645">
        <v>8485338.9000000004</v>
      </c>
      <c r="G18" s="645">
        <v>84000</v>
      </c>
      <c r="H18" s="645">
        <v>12127</v>
      </c>
      <c r="I18" s="645">
        <v>9777053.8000000007</v>
      </c>
      <c r="J18" s="748"/>
      <c r="K18" s="520"/>
      <c r="L18" s="520"/>
      <c r="M18" s="52"/>
    </row>
    <row r="19" spans="1:17" s="51" customFormat="1" ht="15" x14ac:dyDescent="0.2">
      <c r="B19" s="663"/>
      <c r="C19" s="664"/>
      <c r="D19" s="622"/>
      <c r="E19" s="622"/>
      <c r="F19" s="665"/>
      <c r="G19" s="665"/>
      <c r="H19" s="665"/>
      <c r="I19" s="666"/>
      <c r="J19" s="52"/>
      <c r="K19" s="52"/>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10251</v>
      </c>
      <c r="E21" s="644">
        <v>86400</v>
      </c>
      <c r="F21" s="644">
        <v>1907099</v>
      </c>
      <c r="G21" s="644">
        <v>41004</v>
      </c>
      <c r="H21" s="644">
        <v>20502</v>
      </c>
      <c r="I21" s="634">
        <v>2400256</v>
      </c>
      <c r="J21" s="85"/>
      <c r="K21" s="519"/>
      <c r="L21" s="625"/>
      <c r="M21" s="625"/>
      <c r="N21" s="625"/>
      <c r="O21" s="625"/>
      <c r="P21" s="625"/>
      <c r="Q21" s="625"/>
    </row>
    <row r="22" spans="1:17" ht="21" thickBot="1" x14ac:dyDescent="0.35">
      <c r="A22" s="84"/>
      <c r="B22" s="26" t="s">
        <v>152</v>
      </c>
      <c r="C22" s="645">
        <v>335000</v>
      </c>
      <c r="D22" s="645">
        <v>10251</v>
      </c>
      <c r="E22" s="645">
        <v>86400</v>
      </c>
      <c r="F22" s="645">
        <v>1907099</v>
      </c>
      <c r="G22" s="645">
        <v>41004</v>
      </c>
      <c r="H22" s="645">
        <v>20502</v>
      </c>
      <c r="I22" s="645">
        <v>2400256</v>
      </c>
      <c r="J22" s="85"/>
      <c r="K22" s="520"/>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5000</v>
      </c>
      <c r="E25" s="633">
        <v>29114</v>
      </c>
      <c r="F25" s="633">
        <v>1074031</v>
      </c>
      <c r="G25" s="633">
        <v>30000</v>
      </c>
      <c r="H25" s="633">
        <v>5000</v>
      </c>
      <c r="I25" s="634">
        <v>1271145</v>
      </c>
      <c r="J25" s="85"/>
      <c r="K25" s="600"/>
      <c r="L25" s="625"/>
      <c r="M25" s="625"/>
      <c r="N25" s="625"/>
      <c r="O25" s="625"/>
      <c r="P25" s="625"/>
      <c r="Q25" s="625"/>
    </row>
    <row r="26" spans="1:17" ht="21" thickBot="1" x14ac:dyDescent="0.35">
      <c r="A26" s="83"/>
      <c r="B26" s="155" t="s">
        <v>581</v>
      </c>
      <c r="C26" s="635">
        <v>65000</v>
      </c>
      <c r="D26" s="635">
        <v>5000</v>
      </c>
      <c r="E26" s="635">
        <v>45000</v>
      </c>
      <c r="F26" s="635">
        <v>578800</v>
      </c>
      <c r="G26" s="635">
        <v>10000</v>
      </c>
      <c r="H26" s="635">
        <v>7500</v>
      </c>
      <c r="I26" s="926">
        <v>711300</v>
      </c>
      <c r="J26" s="85"/>
      <c r="K26" s="600"/>
      <c r="L26" s="625"/>
      <c r="M26" s="625"/>
      <c r="N26" s="625"/>
      <c r="O26" s="625"/>
      <c r="P26" s="625"/>
      <c r="Q26" s="625"/>
    </row>
    <row r="27" spans="1:17" ht="21" thickBot="1" x14ac:dyDescent="0.35">
      <c r="A27" s="84"/>
      <c r="B27" s="26" t="s">
        <v>152</v>
      </c>
      <c r="C27" s="645">
        <v>193000</v>
      </c>
      <c r="D27" s="645">
        <v>10000</v>
      </c>
      <c r="E27" s="645">
        <v>74114</v>
      </c>
      <c r="F27" s="645">
        <v>1652831</v>
      </c>
      <c r="G27" s="645">
        <v>40000</v>
      </c>
      <c r="H27" s="645">
        <v>12500</v>
      </c>
      <c r="I27" s="645">
        <v>1982445</v>
      </c>
      <c r="J27" s="85"/>
      <c r="K27" s="600"/>
      <c r="L27" s="309"/>
      <c r="M27" s="627"/>
      <c r="N27" s="257"/>
      <c r="O27" s="245"/>
      <c r="P27" s="245"/>
      <c r="Q27" s="12"/>
    </row>
    <row r="28" spans="1:17" ht="21" thickBot="1" x14ac:dyDescent="0.35">
      <c r="A28" s="84"/>
      <c r="B28" s="690" t="s">
        <v>245</v>
      </c>
      <c r="C28" s="703">
        <v>28000</v>
      </c>
      <c r="D28" s="703">
        <v>2000</v>
      </c>
      <c r="E28" s="703">
        <v>10000</v>
      </c>
      <c r="F28" s="703">
        <v>192711</v>
      </c>
      <c r="G28" s="703">
        <v>5000</v>
      </c>
      <c r="H28" s="703">
        <v>5000</v>
      </c>
      <c r="I28" s="703">
        <v>242711</v>
      </c>
      <c r="J28" s="85"/>
      <c r="L28" s="624"/>
      <c r="M28" s="623"/>
      <c r="N28" s="623"/>
      <c r="O28" s="741"/>
      <c r="P28" s="741"/>
      <c r="Q28" s="741"/>
    </row>
    <row r="29" spans="1:17" ht="21" thickBot="1" x14ac:dyDescent="0.35">
      <c r="A29" s="84"/>
      <c r="B29" s="26" t="s">
        <v>31</v>
      </c>
      <c r="C29" s="645">
        <v>556000</v>
      </c>
      <c r="D29" s="645">
        <v>22251</v>
      </c>
      <c r="E29" s="645">
        <v>170514</v>
      </c>
      <c r="F29" s="645">
        <v>3752641</v>
      </c>
      <c r="G29" s="645">
        <v>86004</v>
      </c>
      <c r="H29" s="645">
        <v>38002</v>
      </c>
      <c r="I29" s="645">
        <v>4625412</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1854">
        <v>0</v>
      </c>
      <c r="D32" s="669">
        <v>0</v>
      </c>
      <c r="E32" s="669">
        <v>0</v>
      </c>
      <c r="F32" s="669">
        <v>0</v>
      </c>
      <c r="G32" s="669">
        <v>0</v>
      </c>
      <c r="H32" s="669">
        <v>0</v>
      </c>
      <c r="I32" s="668">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2271">
        <v>1500</v>
      </c>
      <c r="I40" s="2273">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2264" t="s">
        <v>631</v>
      </c>
      <c r="C58" s="1166">
        <v>0</v>
      </c>
      <c r="D58" s="1166">
        <v>0</v>
      </c>
      <c r="E58" s="1901">
        <v>0</v>
      </c>
      <c r="F58" s="638">
        <v>0</v>
      </c>
      <c r="G58" s="1166">
        <v>0</v>
      </c>
      <c r="H58" s="1166">
        <v>0</v>
      </c>
      <c r="I58" s="1899">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1169">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v>0</v>
      </c>
      <c r="E61" s="638">
        <v>20675</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259582</v>
      </c>
      <c r="F65" s="638">
        <v>0</v>
      </c>
      <c r="G65" s="638">
        <v>0</v>
      </c>
      <c r="H65" s="638">
        <v>0</v>
      </c>
      <c r="I65" s="640">
        <v>280000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30800</v>
      </c>
      <c r="F66" s="638">
        <v>0</v>
      </c>
      <c r="G66" s="638">
        <v>0</v>
      </c>
      <c r="H66" s="638">
        <v>0</v>
      </c>
      <c r="I66" s="640">
        <v>30800</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38">
        <v>0</v>
      </c>
      <c r="E69" s="638">
        <v>0</v>
      </c>
      <c r="F69" s="638">
        <v>0</v>
      </c>
      <c r="G69" s="638">
        <v>0</v>
      </c>
      <c r="H69" s="638">
        <v>712338</v>
      </c>
      <c r="I69" s="640">
        <v>712338</v>
      </c>
      <c r="J69" s="1159"/>
      <c r="K69" s="1159"/>
      <c r="L69" s="848"/>
    </row>
    <row r="70" spans="1:24" s="9" customFormat="1" ht="16.5" customHeight="1" thickBot="1" x14ac:dyDescent="0.3">
      <c r="A70" s="1145"/>
      <c r="B70" s="232" t="s">
        <v>43</v>
      </c>
      <c r="C70" s="1177">
        <v>214393</v>
      </c>
      <c r="D70" s="1177">
        <v>0</v>
      </c>
      <c r="E70" s="1177">
        <v>572142</v>
      </c>
      <c r="F70" s="1177">
        <v>0</v>
      </c>
      <c r="G70" s="1177">
        <v>0</v>
      </c>
      <c r="H70" s="1177">
        <v>712338</v>
      </c>
      <c r="I70" s="1177">
        <v>1498873</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613809.08111999999</v>
      </c>
      <c r="D72" s="655">
        <v>13184</v>
      </c>
      <c r="E72" s="655">
        <v>1082277.5999999999</v>
      </c>
      <c r="F72" s="655">
        <v>8485338.9000000004</v>
      </c>
      <c r="G72" s="655">
        <v>88540</v>
      </c>
      <c r="H72" s="655">
        <v>13057</v>
      </c>
      <c r="I72" s="1033">
        <v>10296206.581120001</v>
      </c>
      <c r="L72" s="141"/>
      <c r="M72" s="49"/>
      <c r="N72" s="49"/>
    </row>
    <row r="73" spans="1:24" ht="21" customHeight="1" x14ac:dyDescent="0.3">
      <c r="A73" s="21"/>
      <c r="B73" s="1034" t="s">
        <v>8</v>
      </c>
      <c r="C73" s="657">
        <v>579690.81888000004</v>
      </c>
      <c r="D73" s="657">
        <v>23167</v>
      </c>
      <c r="E73" s="657">
        <v>385338.39999999997</v>
      </c>
      <c r="F73" s="657">
        <v>3752641</v>
      </c>
      <c r="G73" s="657">
        <v>89464</v>
      </c>
      <c r="H73" s="657">
        <v>38572</v>
      </c>
      <c r="I73" s="2299">
        <v>4868873.2188799996</v>
      </c>
      <c r="J73" s="521"/>
      <c r="L73" s="141"/>
      <c r="M73" s="49"/>
      <c r="N73" s="49"/>
    </row>
    <row r="74" spans="1:24" ht="21" customHeight="1" thickBot="1" x14ac:dyDescent="0.35">
      <c r="A74" s="86"/>
      <c r="B74" s="1036" t="s">
        <v>12</v>
      </c>
      <c r="C74" s="659">
        <v>214393</v>
      </c>
      <c r="D74" s="659">
        <v>0</v>
      </c>
      <c r="E74" s="659">
        <v>541084</v>
      </c>
      <c r="F74" s="659">
        <v>0</v>
      </c>
      <c r="G74" s="659">
        <v>0</v>
      </c>
      <c r="H74" s="659">
        <v>712338</v>
      </c>
      <c r="I74" s="1037">
        <v>1467815</v>
      </c>
      <c r="L74" s="141"/>
      <c r="M74" s="49"/>
      <c r="N74" s="49"/>
    </row>
    <row r="75" spans="1:24" ht="21" thickBot="1" x14ac:dyDescent="0.35">
      <c r="A75" s="83"/>
      <c r="B75" s="648" t="s">
        <v>58</v>
      </c>
      <c r="C75" s="649">
        <v>1407892.9</v>
      </c>
      <c r="D75" s="649">
        <v>36351</v>
      </c>
      <c r="E75" s="649">
        <v>2008699.9999999998</v>
      </c>
      <c r="F75" s="649">
        <v>12237979.9</v>
      </c>
      <c r="G75" s="649">
        <v>178004</v>
      </c>
      <c r="H75" s="649">
        <v>763967</v>
      </c>
      <c r="I75" s="649">
        <v>16632894.800000001</v>
      </c>
      <c r="L75" s="141"/>
      <c r="M75" s="49"/>
      <c r="N75" s="49"/>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61" right="0.31" top="0.2" bottom="0.43" header="0.2" footer="0.18"/>
  <pageSetup scale="60" orientation="landscape" r:id="rId1"/>
  <headerFooter alignWithMargins="0">
    <oddFooter>&amp;R
&amp;C&amp;"Arial"&amp;11&amp;K000000&amp;14
Totals may vary due to rounding&amp;12
_x000D_&amp;1#&amp;"Calibri"&amp;12&amp;K008000Internal Use</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1">
    <tabColor indexed="47"/>
    <pageSetUpPr fitToPage="1"/>
  </sheetPr>
  <dimension ref="A1:X75"/>
  <sheetViews>
    <sheetView zoomScale="75" workbookViewId="0">
      <selection sqref="A1:IV65536"/>
    </sheetView>
  </sheetViews>
  <sheetFormatPr defaultRowHeight="12.75" x14ac:dyDescent="0.2"/>
  <cols>
    <col min="1" max="1" width="7.140625" style="49" customWidth="1"/>
    <col min="2" max="2" width="61.1406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622</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v>4000</v>
      </c>
      <c r="F12" s="633">
        <v>547968</v>
      </c>
      <c r="G12" s="633">
        <v>4000</v>
      </c>
      <c r="H12" s="633">
        <v>2500</v>
      </c>
      <c r="I12" s="634">
        <v>598443</v>
      </c>
      <c r="J12" s="85"/>
      <c r="K12" s="2197"/>
      <c r="L12" s="583"/>
      <c r="M12" s="583"/>
      <c r="N12" s="572"/>
      <c r="O12" s="584"/>
      <c r="P12" s="584"/>
      <c r="Q12" s="584"/>
    </row>
    <row r="13" spans="1:20" ht="20.25" x14ac:dyDescent="0.3">
      <c r="A13" s="83"/>
      <c r="B13" s="614" t="s">
        <v>149</v>
      </c>
      <c r="C13" s="638">
        <v>252240.9</v>
      </c>
      <c r="D13" s="638">
        <v>2000</v>
      </c>
      <c r="E13" s="638">
        <v>296634</v>
      </c>
      <c r="F13" s="638">
        <v>2994455</v>
      </c>
      <c r="G13" s="638">
        <v>50000</v>
      </c>
      <c r="H13" s="638">
        <v>4027</v>
      </c>
      <c r="I13" s="640">
        <v>3599356.9</v>
      </c>
      <c r="J13" s="796"/>
      <c r="K13" s="796"/>
      <c r="L13" s="796"/>
      <c r="M13" s="796"/>
      <c r="N13" s="796"/>
      <c r="O13" s="796"/>
      <c r="P13" s="583"/>
      <c r="Q13" s="583"/>
      <c r="R13" s="586"/>
      <c r="S13" s="587"/>
    </row>
    <row r="14" spans="1:20" ht="20.25" x14ac:dyDescent="0.3">
      <c r="A14" s="83"/>
      <c r="B14" s="614" t="s">
        <v>596</v>
      </c>
      <c r="C14" s="638">
        <v>58566</v>
      </c>
      <c r="D14" s="638">
        <v>6300</v>
      </c>
      <c r="E14" s="638">
        <v>128000</v>
      </c>
      <c r="F14" s="638">
        <v>1441546.9</v>
      </c>
      <c r="G14" s="638">
        <v>20000</v>
      </c>
      <c r="H14" s="638">
        <v>3000</v>
      </c>
      <c r="I14" s="640">
        <v>1657412.9</v>
      </c>
      <c r="J14" s="796"/>
      <c r="K14" s="585"/>
      <c r="L14" s="1178"/>
      <c r="M14" s="583"/>
      <c r="N14" s="583"/>
      <c r="O14" s="583"/>
      <c r="P14" s="583"/>
      <c r="Q14" s="583"/>
      <c r="R14" s="586"/>
      <c r="S14" s="587"/>
    </row>
    <row r="15" spans="1:20" ht="20.25" x14ac:dyDescent="0.3">
      <c r="A15" s="83"/>
      <c r="B15" s="614" t="s">
        <v>342</v>
      </c>
      <c r="C15" s="638">
        <v>234806</v>
      </c>
      <c r="D15" s="638">
        <v>2500</v>
      </c>
      <c r="E15" s="638">
        <v>30000</v>
      </c>
      <c r="F15" s="638">
        <v>3636099</v>
      </c>
      <c r="G15" s="638">
        <v>10000</v>
      </c>
      <c r="H15" s="638">
        <v>2600</v>
      </c>
      <c r="I15" s="2294">
        <v>3916005</v>
      </c>
      <c r="J15" s="749"/>
      <c r="K15" s="585"/>
      <c r="L15" s="1178"/>
      <c r="M15" s="601"/>
      <c r="N15" s="601"/>
      <c r="O15" s="601"/>
      <c r="P15" s="601"/>
      <c r="Q15" s="601"/>
    </row>
    <row r="16" spans="1:20" ht="24.6" customHeight="1" thickBot="1" x14ac:dyDescent="0.35">
      <c r="A16" s="83"/>
      <c r="B16" s="617" t="s">
        <v>529</v>
      </c>
      <c r="C16" s="641">
        <v>0</v>
      </c>
      <c r="D16" s="641">
        <v>0</v>
      </c>
      <c r="E16" s="641">
        <v>140566</v>
      </c>
      <c r="F16" s="641">
        <v>0</v>
      </c>
      <c r="G16" s="641">
        <v>0</v>
      </c>
      <c r="H16" s="641">
        <v>0</v>
      </c>
      <c r="I16" s="643">
        <v>140566</v>
      </c>
      <c r="J16" s="796"/>
      <c r="K16" s="585"/>
      <c r="L16" s="1178"/>
      <c r="M16" s="581"/>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v>0</v>
      </c>
      <c r="J17" s="748"/>
      <c r="K17" s="588"/>
      <c r="L17" s="2047"/>
      <c r="M17" s="2047"/>
      <c r="N17" s="2047"/>
      <c r="O17" s="2047"/>
      <c r="P17" s="602"/>
      <c r="Q17" s="602"/>
    </row>
    <row r="18" spans="1:17" ht="21" thickBot="1" x14ac:dyDescent="0.35">
      <c r="A18" s="84"/>
      <c r="B18" s="232" t="s">
        <v>30</v>
      </c>
      <c r="C18" s="645">
        <v>584587.9</v>
      </c>
      <c r="D18" s="645">
        <v>11800</v>
      </c>
      <c r="E18" s="645">
        <v>599200</v>
      </c>
      <c r="F18" s="645">
        <v>8620068.9000000004</v>
      </c>
      <c r="G18" s="645">
        <v>84000</v>
      </c>
      <c r="H18" s="645">
        <v>12127</v>
      </c>
      <c r="I18" s="645">
        <v>9911783.8000000007</v>
      </c>
      <c r="J18" s="748"/>
      <c r="K18" s="520"/>
      <c r="L18" s="520"/>
      <c r="M18" s="52"/>
    </row>
    <row r="19" spans="1:17" s="51" customFormat="1" ht="15" x14ac:dyDescent="0.2">
      <c r="B19" s="663"/>
      <c r="C19" s="664"/>
      <c r="D19" s="622"/>
      <c r="E19" s="622"/>
      <c r="F19" s="665"/>
      <c r="G19" s="665"/>
      <c r="H19" s="665"/>
      <c r="I19" s="666"/>
      <c r="J19" s="52"/>
      <c r="K19" s="52"/>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10251</v>
      </c>
      <c r="E21" s="644">
        <v>86400</v>
      </c>
      <c r="F21" s="644">
        <v>1907099</v>
      </c>
      <c r="G21" s="644">
        <v>41004</v>
      </c>
      <c r="H21" s="644">
        <v>20502</v>
      </c>
      <c r="I21" s="634">
        <v>2400256</v>
      </c>
      <c r="J21" s="85"/>
      <c r="K21" s="519"/>
      <c r="L21" s="625"/>
      <c r="M21" s="625"/>
      <c r="N21" s="625"/>
      <c r="O21" s="625"/>
      <c r="P21" s="625"/>
      <c r="Q21" s="625"/>
    </row>
    <row r="22" spans="1:17" ht="21" thickBot="1" x14ac:dyDescent="0.35">
      <c r="A22" s="84"/>
      <c r="B22" s="26" t="s">
        <v>152</v>
      </c>
      <c r="C22" s="645">
        <v>335000</v>
      </c>
      <c r="D22" s="645">
        <v>10251</v>
      </c>
      <c r="E22" s="645">
        <v>86400</v>
      </c>
      <c r="F22" s="645">
        <v>1907099</v>
      </c>
      <c r="G22" s="645">
        <v>41004</v>
      </c>
      <c r="H22" s="645">
        <v>20502</v>
      </c>
      <c r="I22" s="645">
        <v>2400256</v>
      </c>
      <c r="J22" s="85"/>
      <c r="K22" s="520"/>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5000</v>
      </c>
      <c r="E25" s="633">
        <v>29114</v>
      </c>
      <c r="F25" s="633">
        <v>1074031</v>
      </c>
      <c r="G25" s="633">
        <v>30000</v>
      </c>
      <c r="H25" s="633">
        <v>5000</v>
      </c>
      <c r="I25" s="634">
        <v>1271145</v>
      </c>
      <c r="J25" s="85"/>
      <c r="K25" s="600"/>
      <c r="L25" s="625"/>
      <c r="M25" s="625"/>
      <c r="N25" s="625"/>
      <c r="O25" s="625"/>
      <c r="P25" s="625"/>
      <c r="Q25" s="625"/>
    </row>
    <row r="26" spans="1:17" ht="21" thickBot="1" x14ac:dyDescent="0.35">
      <c r="A26" s="83"/>
      <c r="B26" s="155" t="s">
        <v>581</v>
      </c>
      <c r="C26" s="635">
        <v>65000</v>
      </c>
      <c r="D26" s="635">
        <v>5000</v>
      </c>
      <c r="E26" s="635">
        <v>45000</v>
      </c>
      <c r="F26" s="635">
        <v>578800</v>
      </c>
      <c r="G26" s="635">
        <v>10000</v>
      </c>
      <c r="H26" s="635">
        <v>7500</v>
      </c>
      <c r="I26" s="926">
        <v>711300</v>
      </c>
      <c r="J26" s="85"/>
      <c r="K26" s="600"/>
      <c r="L26" s="625"/>
      <c r="M26" s="625"/>
      <c r="N26" s="625"/>
      <c r="O26" s="625"/>
      <c r="P26" s="625"/>
      <c r="Q26" s="625"/>
    </row>
    <row r="27" spans="1:17" ht="21" thickBot="1" x14ac:dyDescent="0.35">
      <c r="A27" s="84"/>
      <c r="B27" s="26" t="s">
        <v>152</v>
      </c>
      <c r="C27" s="645">
        <v>193000</v>
      </c>
      <c r="D27" s="645">
        <v>10000</v>
      </c>
      <c r="E27" s="645">
        <v>74114</v>
      </c>
      <c r="F27" s="645">
        <v>1652831</v>
      </c>
      <c r="G27" s="645">
        <v>40000</v>
      </c>
      <c r="H27" s="645">
        <v>12500</v>
      </c>
      <c r="I27" s="645">
        <v>1982445</v>
      </c>
      <c r="J27" s="85"/>
      <c r="K27" s="600"/>
      <c r="L27" s="309"/>
      <c r="M27" s="627"/>
      <c r="N27" s="257"/>
      <c r="O27" s="245"/>
      <c r="P27" s="245"/>
      <c r="Q27" s="12"/>
    </row>
    <row r="28" spans="1:17" ht="21" thickBot="1" x14ac:dyDescent="0.35">
      <c r="A28" s="84"/>
      <c r="B28" s="690" t="s">
        <v>245</v>
      </c>
      <c r="C28" s="703">
        <v>28000</v>
      </c>
      <c r="D28" s="703">
        <v>2000</v>
      </c>
      <c r="E28" s="703">
        <v>10000</v>
      </c>
      <c r="F28" s="703">
        <v>192711</v>
      </c>
      <c r="G28" s="703">
        <v>5000</v>
      </c>
      <c r="H28" s="703">
        <v>5000</v>
      </c>
      <c r="I28" s="703">
        <v>242711</v>
      </c>
      <c r="J28" s="85"/>
      <c r="L28" s="624"/>
      <c r="M28" s="623"/>
      <c r="N28" s="623"/>
      <c r="O28" s="741"/>
      <c r="P28" s="741"/>
      <c r="Q28" s="741"/>
    </row>
    <row r="29" spans="1:17" ht="21" thickBot="1" x14ac:dyDescent="0.35">
      <c r="A29" s="84"/>
      <c r="B29" s="26" t="s">
        <v>31</v>
      </c>
      <c r="C29" s="645">
        <v>556000</v>
      </c>
      <c r="D29" s="645">
        <v>22251</v>
      </c>
      <c r="E29" s="645">
        <v>170514</v>
      </c>
      <c r="F29" s="645">
        <v>3752641</v>
      </c>
      <c r="G29" s="645">
        <v>86004</v>
      </c>
      <c r="H29" s="645">
        <v>38002</v>
      </c>
      <c r="I29" s="645">
        <v>4625412</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1854">
        <v>0</v>
      </c>
      <c r="D32" s="669">
        <v>0</v>
      </c>
      <c r="E32" s="669">
        <v>0</v>
      </c>
      <c r="F32" s="669">
        <v>0</v>
      </c>
      <c r="G32" s="669">
        <v>0</v>
      </c>
      <c r="H32" s="669">
        <v>0</v>
      </c>
      <c r="I32" s="668">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2271">
        <v>1500</v>
      </c>
      <c r="I40" s="2273">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2264" t="s">
        <v>631</v>
      </c>
      <c r="C58" s="1166">
        <v>0</v>
      </c>
      <c r="D58" s="1166">
        <v>0</v>
      </c>
      <c r="E58" s="1901">
        <v>0</v>
      </c>
      <c r="F58" s="638">
        <v>0</v>
      </c>
      <c r="G58" s="1166">
        <v>0</v>
      </c>
      <c r="H58" s="1166">
        <v>0</v>
      </c>
      <c r="I58" s="1899">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1169">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v>0</v>
      </c>
      <c r="E61" s="638">
        <v>20675</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179582</v>
      </c>
      <c r="F65" s="638">
        <v>0</v>
      </c>
      <c r="G65" s="638">
        <v>0</v>
      </c>
      <c r="H65" s="638">
        <v>0</v>
      </c>
      <c r="I65" s="640">
        <v>200000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20000</v>
      </c>
      <c r="F66" s="638">
        <v>0</v>
      </c>
      <c r="G66" s="638">
        <v>0</v>
      </c>
      <c r="H66" s="638">
        <v>0</v>
      </c>
      <c r="I66" s="640">
        <v>20000</v>
      </c>
      <c r="J66" s="1146"/>
      <c r="K66" s="1159"/>
      <c r="L66" s="1159"/>
      <c r="M66" s="848"/>
      <c r="P66" s="1176"/>
    </row>
    <row r="67" spans="1:24" s="9" customFormat="1" ht="16.5" customHeight="1" x14ac:dyDescent="0.25">
      <c r="A67" s="1145"/>
      <c r="B67" s="615" t="s">
        <v>641</v>
      </c>
      <c r="C67" s="638">
        <v>0</v>
      </c>
      <c r="D67" s="638">
        <v>0</v>
      </c>
      <c r="E67" s="638">
        <v>43333</v>
      </c>
      <c r="F67" s="638">
        <v>0</v>
      </c>
      <c r="G67" s="638">
        <v>0</v>
      </c>
      <c r="H67" s="638">
        <v>0</v>
      </c>
      <c r="I67" s="640">
        <v>43333</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2432" t="s">
        <v>643</v>
      </c>
      <c r="C69" s="925">
        <v>0</v>
      </c>
      <c r="D69" s="925">
        <v>0</v>
      </c>
      <c r="E69" s="925">
        <v>0</v>
      </c>
      <c r="F69" s="925">
        <v>0</v>
      </c>
      <c r="G69" s="925">
        <v>0</v>
      </c>
      <c r="H69" s="925">
        <v>675090</v>
      </c>
      <c r="I69" s="789">
        <v>675090</v>
      </c>
      <c r="J69" s="1159"/>
      <c r="K69" s="1159"/>
      <c r="L69" s="848"/>
    </row>
    <row r="70" spans="1:24" s="9" customFormat="1" ht="16.5" customHeight="1" thickBot="1" x14ac:dyDescent="0.3">
      <c r="A70" s="1145"/>
      <c r="B70" s="648" t="s">
        <v>43</v>
      </c>
      <c r="C70" s="2433">
        <v>214393</v>
      </c>
      <c r="D70" s="2433">
        <v>0</v>
      </c>
      <c r="E70" s="2433">
        <v>474660</v>
      </c>
      <c r="F70" s="2433">
        <v>0</v>
      </c>
      <c r="G70" s="2433">
        <v>0</v>
      </c>
      <c r="H70" s="2433">
        <v>675090</v>
      </c>
      <c r="I70" s="2433">
        <v>1364143</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v>613809.08111999999</v>
      </c>
      <c r="D72" s="655">
        <v>13184</v>
      </c>
      <c r="E72" s="655">
        <v>1082277.5999999999</v>
      </c>
      <c r="F72" s="655">
        <v>8620068.9000000004</v>
      </c>
      <c r="G72" s="655">
        <v>88540</v>
      </c>
      <c r="H72" s="655">
        <v>13057</v>
      </c>
      <c r="I72" s="1033">
        <v>10430936.581120001</v>
      </c>
      <c r="L72" s="141"/>
      <c r="M72" s="49"/>
      <c r="N72" s="49"/>
    </row>
    <row r="73" spans="1:24" ht="21" hidden="1" customHeight="1" x14ac:dyDescent="0.3">
      <c r="A73" s="21"/>
      <c r="B73" s="1034" t="s">
        <v>8</v>
      </c>
      <c r="C73" s="657">
        <v>579690.81888000004</v>
      </c>
      <c r="D73" s="657">
        <v>23167</v>
      </c>
      <c r="E73" s="657">
        <v>385338.39999999997</v>
      </c>
      <c r="F73" s="657">
        <v>3752641</v>
      </c>
      <c r="G73" s="657">
        <v>89464</v>
      </c>
      <c r="H73" s="657">
        <v>38572</v>
      </c>
      <c r="I73" s="2299">
        <v>4868873.2188799996</v>
      </c>
      <c r="J73" s="521"/>
      <c r="L73" s="141"/>
      <c r="M73" s="49"/>
      <c r="N73" s="49"/>
    </row>
    <row r="74" spans="1:24" ht="21" hidden="1" customHeight="1" thickBot="1" x14ac:dyDescent="0.35">
      <c r="A74" s="86"/>
      <c r="B74" s="1036" t="s">
        <v>12</v>
      </c>
      <c r="C74" s="659">
        <v>214393</v>
      </c>
      <c r="D74" s="659">
        <v>0</v>
      </c>
      <c r="E74" s="659">
        <v>443602</v>
      </c>
      <c r="F74" s="659">
        <v>0</v>
      </c>
      <c r="G74" s="659">
        <v>0</v>
      </c>
      <c r="H74" s="659">
        <v>675090</v>
      </c>
      <c r="I74" s="1037">
        <v>1333085</v>
      </c>
      <c r="L74" s="141"/>
      <c r="M74" s="49"/>
      <c r="N74" s="49"/>
    </row>
    <row r="75" spans="1:24" ht="21" thickBot="1" x14ac:dyDescent="0.35">
      <c r="A75" s="83"/>
      <c r="B75" s="648" t="s">
        <v>58</v>
      </c>
      <c r="C75" s="649">
        <v>1407892.9</v>
      </c>
      <c r="D75" s="649">
        <v>36351</v>
      </c>
      <c r="E75" s="649">
        <v>1911218</v>
      </c>
      <c r="F75" s="649">
        <v>12372709.9</v>
      </c>
      <c r="G75" s="649">
        <v>178004</v>
      </c>
      <c r="H75" s="649">
        <v>726719</v>
      </c>
      <c r="I75" s="649">
        <v>16632894.800000001</v>
      </c>
      <c r="L75" s="141"/>
      <c r="M75" s="49"/>
      <c r="N75" s="49"/>
    </row>
  </sheetData>
  <mergeCells count="13">
    <mergeCell ref="B24:I24"/>
    <mergeCell ref="B71:I71"/>
    <mergeCell ref="B30:I30"/>
    <mergeCell ref="B31:I31"/>
    <mergeCell ref="B42:I42"/>
    <mergeCell ref="B52:I52"/>
    <mergeCell ref="B57:I57"/>
    <mergeCell ref="B60:I60"/>
    <mergeCell ref="B1:I1"/>
    <mergeCell ref="B2:I2"/>
    <mergeCell ref="B11:I11"/>
    <mergeCell ref="B20:I20"/>
    <mergeCell ref="B23:I23"/>
  </mergeCells>
  <printOptions horizontalCentered="1" verticalCentered="1"/>
  <pageMargins left="0.61" right="0.31" top="0.2" bottom="0.43" header="0.2" footer="0.18"/>
  <pageSetup scale="65" orientation="landscape" r:id="rId1"/>
  <headerFooter alignWithMargins="0">
    <oddFooter>&amp;R
&amp;C&amp;"Arial"&amp;11&amp;K000000&amp;14
Totals may vary due to rounding&amp;12
_x000D_&amp;1#&amp;"Calibri"&amp;12&amp;K008000Internal Use</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2">
    <tabColor indexed="47"/>
  </sheetPr>
  <dimension ref="A1:F43"/>
  <sheetViews>
    <sheetView workbookViewId="0">
      <selection sqref="A1:E1"/>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37</v>
      </c>
      <c r="B1" s="2883"/>
      <c r="C1" s="2883"/>
      <c r="D1" s="2883"/>
      <c r="E1" s="2883"/>
      <c r="F1" s="23"/>
    </row>
    <row r="2" spans="1:6" ht="20.25" x14ac:dyDescent="0.3">
      <c r="A2" s="2883" t="s">
        <v>628</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+'CNG Table C 2017'!C75</f>
        <v>1118103</v>
      </c>
      <c r="D34" s="236" t="e">
        <f t="shared" ref="D34:D39" si="0">SUM(B34/$B$41)</f>
        <v>#REF!</v>
      </c>
    </row>
    <row r="35" spans="1:4" x14ac:dyDescent="0.2">
      <c r="A35" t="s">
        <v>19</v>
      </c>
      <c r="B35" s="14">
        <f>+'CNG Table C 2017'!D75</f>
        <v>36003</v>
      </c>
      <c r="D35" s="236" t="e">
        <f t="shared" si="0"/>
        <v>#REF!</v>
      </c>
    </row>
    <row r="36" spans="1:4" x14ac:dyDescent="0.2">
      <c r="A36" t="s">
        <v>4</v>
      </c>
      <c r="B36" s="14" t="e">
        <f>+'CNG Table C 2017'!E75</f>
        <v>#REF!</v>
      </c>
      <c r="D36" s="236" t="e">
        <f t="shared" si="0"/>
        <v>#REF!</v>
      </c>
    </row>
    <row r="37" spans="1:4" x14ac:dyDescent="0.2">
      <c r="A37" t="s">
        <v>2</v>
      </c>
      <c r="B37" s="14">
        <f>+'CNG Table C 2017'!F75</f>
        <v>13398607</v>
      </c>
      <c r="D37" s="236" t="e">
        <f t="shared" si="0"/>
        <v>#REF!</v>
      </c>
    </row>
    <row r="38" spans="1:4" x14ac:dyDescent="0.2">
      <c r="A38" t="s">
        <v>14</v>
      </c>
      <c r="B38" s="14">
        <f>+'CNG Table C 2017'!G75</f>
        <v>582051</v>
      </c>
      <c r="D38" s="236" t="e">
        <f t="shared" si="0"/>
        <v>#REF!</v>
      </c>
    </row>
    <row r="39" spans="1:4" x14ac:dyDescent="0.2">
      <c r="A39" t="s">
        <v>15</v>
      </c>
      <c r="B39" s="933" t="e">
        <f>+'CNG Table C 2017'!H75</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5"/>
  <dimension ref="B1:AD90"/>
  <sheetViews>
    <sheetView zoomScaleNormal="100" workbookViewId="0">
      <pane xSplit="2" ySplit="5" topLeftCell="C7" activePane="bottomRight" state="frozen"/>
      <selection activeCell="M7" sqref="M7"/>
      <selection pane="topRight" activeCell="M7" sqref="M7"/>
      <selection pane="bottomLeft" activeCell="M7" sqref="M7"/>
      <selection pane="bottomRight" activeCell="M7" sqref="M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8"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6.42578125" style="321" customWidth="1"/>
    <col min="13" max="13" width="20.85546875" style="321" customWidth="1"/>
    <col min="14" max="14" width="20.140625" style="321" bestFit="1" customWidth="1"/>
    <col min="15" max="15" width="23.140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473"/>
      <c r="O1" s="2153"/>
      <c r="P1" s="2153"/>
      <c r="Q1" s="2153"/>
      <c r="R1" s="2153"/>
      <c r="S1" s="2153"/>
      <c r="T1" s="2153"/>
      <c r="U1" s="2153"/>
      <c r="V1" s="2153"/>
      <c r="W1" s="2153"/>
      <c r="X1" s="2153"/>
      <c r="Y1" s="2153"/>
      <c r="Z1" s="2153"/>
    </row>
    <row r="2" spans="2:29" s="284" customFormat="1" ht="18" customHeight="1" x14ac:dyDescent="0.25">
      <c r="B2" s="2154" t="s">
        <v>707</v>
      </c>
      <c r="C2" s="2154"/>
      <c r="D2" s="2154"/>
      <c r="E2" s="2154"/>
      <c r="F2" s="2154"/>
      <c r="G2" s="2154"/>
      <c r="H2" s="2154"/>
      <c r="I2" s="2154"/>
      <c r="J2" s="2154"/>
      <c r="K2" s="2154"/>
      <c r="L2" s="2154"/>
      <c r="M2" s="2154"/>
      <c r="N2" s="2473"/>
      <c r="O2" s="2154"/>
      <c r="P2" s="2154"/>
      <c r="Q2" s="2154"/>
      <c r="R2" s="2154"/>
      <c r="S2" s="2154"/>
      <c r="T2" s="2154"/>
      <c r="U2" s="2154"/>
      <c r="V2" s="2154"/>
      <c r="W2" s="2154"/>
      <c r="X2" s="2154"/>
      <c r="Y2" s="2154"/>
      <c r="Z2" s="2154"/>
    </row>
    <row r="3" spans="2:29" s="284" customFormat="1" ht="13.5" thickBot="1" x14ac:dyDescent="0.25">
      <c r="C3" s="243"/>
      <c r="K3" s="2154"/>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thickBot="1" x14ac:dyDescent="0.25">
      <c r="B6" s="359" t="s">
        <v>232</v>
      </c>
      <c r="C6" s="2132"/>
      <c r="D6" s="2133"/>
      <c r="E6" s="2133"/>
      <c r="F6" s="2133"/>
      <c r="G6" s="2133"/>
      <c r="H6" s="337"/>
      <c r="I6" s="338"/>
      <c r="J6" s="338"/>
      <c r="K6" s="2119"/>
      <c r="L6" s="2134"/>
      <c r="M6" s="2119"/>
      <c r="N6" s="2119"/>
      <c r="O6" s="2119"/>
      <c r="P6" s="341"/>
      <c r="Q6" s="336"/>
      <c r="R6" s="329"/>
      <c r="S6" s="2119"/>
      <c r="T6" s="2119"/>
      <c r="U6" s="2119"/>
      <c r="V6" s="2119"/>
      <c r="W6" s="2119">
        <f t="shared" ref="W6:X27" si="0">+(M6*102900+S6*138690+U6*91330)/10^6</f>
        <v>0</v>
      </c>
      <c r="X6" s="2119">
        <f t="shared" si="0"/>
        <v>0</v>
      </c>
      <c r="Y6" s="341" t="s">
        <v>3</v>
      </c>
      <c r="Z6" s="336" t="s">
        <v>3</v>
      </c>
    </row>
    <row r="7" spans="2:29" s="2060" customFormat="1" ht="18" customHeight="1" x14ac:dyDescent="0.2">
      <c r="B7" s="2290" t="s">
        <v>233</v>
      </c>
      <c r="C7" s="2354">
        <f>'CNG Table A'!$G$16</f>
        <v>3735755.1693553999</v>
      </c>
      <c r="D7" s="2291" t="e">
        <f>E7-C7</f>
        <v>#REF!</v>
      </c>
      <c r="E7" s="2461" t="e">
        <f>#REF!*1000</f>
        <v>#REF!</v>
      </c>
      <c r="F7" s="2461" t="e">
        <f>#REF!*1000</f>
        <v>#REF!</v>
      </c>
      <c r="G7" s="2461" t="e">
        <f>#REF!*1000</f>
        <v>#REF!</v>
      </c>
      <c r="H7" s="401" t="e">
        <f>#REF!*1000</f>
        <v>#REF!</v>
      </c>
      <c r="I7" s="2137" t="e">
        <f>F7/C7</f>
        <v>#REF!</v>
      </c>
      <c r="J7" s="2137" t="e">
        <f>G7/E7</f>
        <v>#REF!</v>
      </c>
      <c r="K7" s="2462" t="e">
        <f>#REF!</f>
        <v>#REF!</v>
      </c>
      <c r="L7" s="354" t="s">
        <v>241</v>
      </c>
      <c r="M7" s="2462" t="e">
        <f>#REF!</f>
        <v>#REF!</v>
      </c>
      <c r="N7" s="2462" t="e">
        <f>#REF!</f>
        <v>#REF!</v>
      </c>
      <c r="O7" s="2462" t="e">
        <f>#REF!</f>
        <v>#REF!</v>
      </c>
      <c r="P7" s="2120" t="e">
        <f>C7/M7</f>
        <v>#REF!</v>
      </c>
      <c r="Q7" s="2378" t="e">
        <f>C7/N7</f>
        <v>#REF!</v>
      </c>
      <c r="R7" s="2378" t="e">
        <f>C7/O7</f>
        <v>#REF!</v>
      </c>
      <c r="S7" s="2357"/>
      <c r="T7" s="2357"/>
      <c r="U7" s="2357"/>
      <c r="V7" s="2357"/>
      <c r="W7" s="2357" t="e">
        <f t="shared" si="0"/>
        <v>#REF!</v>
      </c>
      <c r="X7" s="2357" t="e">
        <f t="shared" si="0"/>
        <v>#REF!</v>
      </c>
      <c r="Y7" s="2359" t="e">
        <f>+C7/W7</f>
        <v>#REF!</v>
      </c>
      <c r="Z7" s="2361" t="e">
        <f>+C7/X7</f>
        <v>#REF!</v>
      </c>
    </row>
    <row r="8" spans="2:29" s="2060" customFormat="1" ht="20.25" customHeight="1" x14ac:dyDescent="0.2">
      <c r="B8" s="2202" t="s">
        <v>234</v>
      </c>
      <c r="C8" s="2200">
        <f>'SCG Table A'!$G$16</f>
        <v>2663429.4900000002</v>
      </c>
      <c r="D8" s="2052" t="e">
        <f>E8-C8</f>
        <v>#REF!</v>
      </c>
      <c r="E8" s="2461" t="e">
        <f>#REF!*1000</f>
        <v>#REF!</v>
      </c>
      <c r="F8" s="2461" t="e">
        <f>#REF!*1000</f>
        <v>#REF!</v>
      </c>
      <c r="G8" s="2461" t="e">
        <f>#REF!*1000</f>
        <v>#REF!</v>
      </c>
      <c r="H8" s="332">
        <f ca="1">SUM(C8/$C$76)</f>
        <v>0.22572583720191342</v>
      </c>
      <c r="I8" s="333" t="e">
        <f>F8/C8</f>
        <v>#REF!</v>
      </c>
      <c r="J8" s="333" t="e">
        <f>G8/E8</f>
        <v>#REF!</v>
      </c>
      <c r="K8" s="2462" t="e">
        <f>#REF!</f>
        <v>#REF!</v>
      </c>
      <c r="L8" s="2337" t="s">
        <v>241</v>
      </c>
      <c r="M8" s="2462" t="e">
        <f>#REF!</f>
        <v>#REF!</v>
      </c>
      <c r="N8" s="2462" t="e">
        <f>#REF!</f>
        <v>#REF!</v>
      </c>
      <c r="O8" s="2462" t="e">
        <f>#REF!</f>
        <v>#REF!</v>
      </c>
      <c r="P8" s="335" t="e">
        <f>C8/M8</f>
        <v>#REF!</v>
      </c>
      <c r="Q8" s="2338" t="e">
        <f>C8/N8</f>
        <v>#REF!</v>
      </c>
      <c r="R8" s="2338" t="e">
        <f t="shared" ref="R8:R28" si="1">C8/O8</f>
        <v>#REF!</v>
      </c>
      <c r="S8" s="2055"/>
      <c r="T8" s="2055"/>
      <c r="U8" s="2055"/>
      <c r="V8" s="2055"/>
      <c r="W8" s="2055" t="e">
        <f t="shared" si="0"/>
        <v>#REF!</v>
      </c>
      <c r="X8" s="2055" t="e">
        <f t="shared" si="0"/>
        <v>#REF!</v>
      </c>
      <c r="Y8" s="2057" t="e">
        <f>+C8/W8</f>
        <v>#REF!</v>
      </c>
      <c r="Z8" s="2362" t="e">
        <f>+C8/X8</f>
        <v>#REF!</v>
      </c>
    </row>
    <row r="9" spans="2:29" ht="17.25" customHeight="1" x14ac:dyDescent="0.25">
      <c r="B9" s="2363" t="s">
        <v>235</v>
      </c>
      <c r="C9" s="2330">
        <f>SUM(C6:C8)</f>
        <v>6399184.6593554001</v>
      </c>
      <c r="D9" s="2330" t="e">
        <f>SUM(D6:D8)</f>
        <v>#REF!</v>
      </c>
      <c r="E9" s="2330" t="e">
        <f>SUM(E6:E8)</f>
        <v>#REF!</v>
      </c>
      <c r="F9" s="2330" t="e">
        <f>SUM(F6:F8)</f>
        <v>#REF!</v>
      </c>
      <c r="G9" s="2330" t="e">
        <f>SUM(G6:G8)</f>
        <v>#REF!</v>
      </c>
      <c r="H9" s="2331">
        <f ca="1">SUM(C9/$C$77)</f>
        <v>0.24276653608543</v>
      </c>
      <c r="I9" s="2332" t="e">
        <f>F9/C9</f>
        <v>#REF!</v>
      </c>
      <c r="J9" s="2332" t="e">
        <f>G9/E9</f>
        <v>#REF!</v>
      </c>
      <c r="K9" s="2439" t="e">
        <f>SUM(K6:K8)</f>
        <v>#REF!</v>
      </c>
      <c r="L9" s="2334" t="s">
        <v>241</v>
      </c>
      <c r="M9" s="2447" t="e">
        <f>SUM(M6:M8)</f>
        <v>#REF!</v>
      </c>
      <c r="N9" s="2447" t="e">
        <f>SUM(N6:N8)</f>
        <v>#REF!</v>
      </c>
      <c r="O9" s="2447" t="e">
        <f>SUM(O6:O8)</f>
        <v>#REF!</v>
      </c>
      <c r="P9" s="2336" t="e">
        <f>C9/M9</f>
        <v>#REF!</v>
      </c>
      <c r="Q9" s="2336" t="e">
        <f>C9/N9</f>
        <v>#REF!</v>
      </c>
      <c r="R9" s="2336" t="e">
        <f t="shared" si="1"/>
        <v>#REF!</v>
      </c>
      <c r="S9" s="2335">
        <f>SUM(S6:S8)</f>
        <v>0</v>
      </c>
      <c r="T9" s="2335">
        <f>SUM(T6:T8)</f>
        <v>0</v>
      </c>
      <c r="U9" s="2335"/>
      <c r="V9" s="2335"/>
      <c r="W9" s="2333" t="e">
        <f t="shared" si="0"/>
        <v>#REF!</v>
      </c>
      <c r="X9" s="2333" t="e">
        <f t="shared" si="0"/>
        <v>#REF!</v>
      </c>
      <c r="Y9" s="2336" t="e">
        <f>+C9/W9</f>
        <v>#REF!</v>
      </c>
      <c r="Z9" s="2364" t="e">
        <f>+C9/X9</f>
        <v>#REF!</v>
      </c>
      <c r="AB9" s="704"/>
    </row>
    <row r="10" spans="2:29" s="284" customFormat="1" ht="15" hidden="1" x14ac:dyDescent="0.2">
      <c r="B10" s="330" t="s">
        <v>139</v>
      </c>
      <c r="C10" s="331"/>
      <c r="D10" s="331"/>
      <c r="E10" s="331"/>
      <c r="F10" s="331"/>
      <c r="G10" s="331"/>
      <c r="H10" s="332"/>
      <c r="I10" s="333"/>
      <c r="J10" s="333"/>
      <c r="K10" s="2438"/>
      <c r="L10" s="2337"/>
      <c r="M10" s="2438"/>
      <c r="N10" s="2438"/>
      <c r="O10" s="2438"/>
      <c r="P10" s="335"/>
      <c r="Q10" s="2338"/>
      <c r="R10" s="2338" t="e">
        <f t="shared" si="1"/>
        <v>#DIV/0!</v>
      </c>
      <c r="S10" s="804"/>
      <c r="T10" s="804"/>
      <c r="U10" s="804"/>
      <c r="V10" s="804"/>
      <c r="W10" s="804">
        <f t="shared" si="0"/>
        <v>0</v>
      </c>
      <c r="X10" s="804">
        <f t="shared" si="0"/>
        <v>0</v>
      </c>
      <c r="Y10" s="335" t="s">
        <v>3</v>
      </c>
      <c r="Z10" s="358" t="s">
        <v>3</v>
      </c>
      <c r="AA10" s="393"/>
      <c r="AB10" s="797"/>
    </row>
    <row r="11" spans="2:29" s="2060" customFormat="1" ht="15" x14ac:dyDescent="0.2">
      <c r="B11" s="2202" t="s">
        <v>140</v>
      </c>
      <c r="C11" s="2052">
        <f>'CNG Table A'!$G$14</f>
        <v>2689118.5486931698</v>
      </c>
      <c r="D11" s="2052" t="e">
        <f>E11-C11</f>
        <v>#REF!</v>
      </c>
      <c r="E11" s="2461" t="e">
        <f>#REF!*1000</f>
        <v>#REF!</v>
      </c>
      <c r="F11" s="2461" t="e">
        <f>#REF!*1000</f>
        <v>#REF!</v>
      </c>
      <c r="G11" s="2461" t="e">
        <f>#REF!*1000</f>
        <v>#REF!</v>
      </c>
      <c r="H11" s="332">
        <f ca="1">SUM(C11/$C$75)</f>
        <v>0.18469197925631178</v>
      </c>
      <c r="I11" s="333" t="e">
        <f>F11/C11</f>
        <v>#REF!</v>
      </c>
      <c r="J11" s="333" t="e">
        <f>G11/E11</f>
        <v>#REF!</v>
      </c>
      <c r="K11" s="2462" t="e">
        <f>#REF!</f>
        <v>#REF!</v>
      </c>
      <c r="L11" s="2337" t="s">
        <v>241</v>
      </c>
      <c r="M11" s="2462" t="e">
        <f>#REF!</f>
        <v>#REF!</v>
      </c>
      <c r="N11" s="2462" t="e">
        <f>#REF!</f>
        <v>#REF!</v>
      </c>
      <c r="O11" s="2462" t="e">
        <f>#REF!</f>
        <v>#REF!</v>
      </c>
      <c r="P11" s="335" t="e">
        <f>C11/M11</f>
        <v>#REF!</v>
      </c>
      <c r="Q11" s="2338" t="e">
        <f>C11/N11</f>
        <v>#REF!</v>
      </c>
      <c r="R11" s="2338" t="e">
        <f t="shared" si="1"/>
        <v>#REF!</v>
      </c>
      <c r="S11" s="2055">
        <v>0</v>
      </c>
      <c r="T11" s="2055">
        <v>0</v>
      </c>
      <c r="U11" s="2055">
        <v>0</v>
      </c>
      <c r="V11" s="2055">
        <v>0</v>
      </c>
      <c r="W11" s="2055" t="e">
        <f t="shared" si="0"/>
        <v>#REF!</v>
      </c>
      <c r="X11" s="2055" t="e">
        <f t="shared" si="0"/>
        <v>#REF!</v>
      </c>
      <c r="Y11" s="2057" t="e">
        <f>+C11/W11</f>
        <v>#REF!</v>
      </c>
      <c r="Z11" s="2362" t="e">
        <f>+C11/X11</f>
        <v>#REF!</v>
      </c>
      <c r="AA11" s="2072"/>
      <c r="AB11" s="2203"/>
      <c r="AC11" s="2072"/>
    </row>
    <row r="12" spans="2:29" s="2060" customFormat="1" ht="15" x14ac:dyDescent="0.2">
      <c r="B12" s="2202" t="s">
        <v>141</v>
      </c>
      <c r="C12" s="2052">
        <f>'SCG Table A'!$G$14</f>
        <v>1994681.0564015105</v>
      </c>
      <c r="D12" s="2052" t="e">
        <f>E12-C12</f>
        <v>#REF!</v>
      </c>
      <c r="E12" s="2461" t="e">
        <f>#REF!*1000</f>
        <v>#REF!</v>
      </c>
      <c r="F12" s="2461" t="e">
        <f>#REF!*1000</f>
        <v>#REF!</v>
      </c>
      <c r="G12" s="2461" t="e">
        <f>#REF!*1000</f>
        <v>#REF!</v>
      </c>
      <c r="H12" s="332">
        <f ca="1">SUM(C12/$C$75)</f>
        <v>0.13699715561848244</v>
      </c>
      <c r="I12" s="333" t="e">
        <f>F12/C12</f>
        <v>#REF!</v>
      </c>
      <c r="J12" s="333" t="e">
        <f>G12/E12</f>
        <v>#REF!</v>
      </c>
      <c r="K12" s="2462" t="e">
        <f>#REF!</f>
        <v>#REF!</v>
      </c>
      <c r="L12" s="2337" t="s">
        <v>241</v>
      </c>
      <c r="M12" s="2462" t="e">
        <f>#REF!</f>
        <v>#REF!</v>
      </c>
      <c r="N12" s="2462" t="e">
        <f>#REF!</f>
        <v>#REF!</v>
      </c>
      <c r="O12" s="2462" t="e">
        <f>#REF!</f>
        <v>#REF!</v>
      </c>
      <c r="P12" s="335" t="e">
        <f>C12/M12</f>
        <v>#REF!</v>
      </c>
      <c r="Q12" s="2338" t="e">
        <f>C12/N12</f>
        <v>#REF!</v>
      </c>
      <c r="R12" s="2338" t="e">
        <f t="shared" si="1"/>
        <v>#REF!</v>
      </c>
      <c r="S12" s="2055"/>
      <c r="T12" s="2055"/>
      <c r="U12" s="2055"/>
      <c r="V12" s="2055"/>
      <c r="W12" s="2055" t="e">
        <f>+(M12*102900+S12*138690+U12*91330)/10^6</f>
        <v>#REF!</v>
      </c>
      <c r="X12" s="2055" t="e">
        <f>+(N12*102900+T12*138690+V12*91330)/10^6</f>
        <v>#REF!</v>
      </c>
      <c r="Y12" s="2057" t="e">
        <f>+C12/W12</f>
        <v>#REF!</v>
      </c>
      <c r="Z12" s="2362" t="e">
        <f>+C12/X12</f>
        <v>#REF!</v>
      </c>
      <c r="AA12" s="2072"/>
      <c r="AB12" s="2203"/>
      <c r="AC12" s="2072"/>
    </row>
    <row r="13" spans="2:29" ht="17.25" customHeight="1" x14ac:dyDescent="0.25">
      <c r="B13" s="2363" t="s">
        <v>146</v>
      </c>
      <c r="C13" s="2330">
        <f>SUM(C10:C12)</f>
        <v>4683799.6050946806</v>
      </c>
      <c r="D13" s="2330" t="e">
        <f>SUM(D10:D12)</f>
        <v>#REF!</v>
      </c>
      <c r="E13" s="2330" t="e">
        <f>SUM(E10:E12)</f>
        <v>#REF!</v>
      </c>
      <c r="F13" s="2330" t="e">
        <f>SUM(F10:F12)</f>
        <v>#REF!</v>
      </c>
      <c r="G13" s="2330" t="e">
        <f>SUM(G10:G12)</f>
        <v>#REF!</v>
      </c>
      <c r="H13" s="2331">
        <f ca="1">SUM(C13/$C$77)</f>
        <v>0.17768979430602638</v>
      </c>
      <c r="I13" s="2332" t="e">
        <f>F13/C13</f>
        <v>#REF!</v>
      </c>
      <c r="J13" s="2332" t="e">
        <f>G13/E13</f>
        <v>#REF!</v>
      </c>
      <c r="K13" s="2439" t="e">
        <f>SUM(K10:K12)</f>
        <v>#REF!</v>
      </c>
      <c r="L13" s="2334" t="s">
        <v>241</v>
      </c>
      <c r="M13" s="2447" t="e">
        <f>SUM(M10:M12)</f>
        <v>#REF!</v>
      </c>
      <c r="N13" s="2447" t="e">
        <f>SUM(N10:N12)</f>
        <v>#REF!</v>
      </c>
      <c r="O13" s="2447" t="e">
        <f>SUM(O10:O12)</f>
        <v>#REF!</v>
      </c>
      <c r="P13" s="2336" t="e">
        <f>C13/M13</f>
        <v>#REF!</v>
      </c>
      <c r="Q13" s="2339" t="e">
        <f>C13/N13</f>
        <v>#REF!</v>
      </c>
      <c r="R13" s="2339" t="e">
        <f t="shared" si="1"/>
        <v>#REF!</v>
      </c>
      <c r="S13" s="2335">
        <f>SUM(S10:S12)</f>
        <v>0</v>
      </c>
      <c r="T13" s="2335">
        <f>SUM(T10:T12)</f>
        <v>0</v>
      </c>
      <c r="U13" s="2335">
        <f>SUM(U10:U12)</f>
        <v>0</v>
      </c>
      <c r="V13" s="2335">
        <f>SUM(V10:V12)</f>
        <v>0</v>
      </c>
      <c r="W13" s="2333" t="e">
        <f t="shared" si="0"/>
        <v>#REF!</v>
      </c>
      <c r="X13" s="2333" t="e">
        <f t="shared" si="0"/>
        <v>#REF!</v>
      </c>
      <c r="Y13" s="2336" t="e">
        <f>+C13/W13</f>
        <v>#REF!</v>
      </c>
      <c r="Z13" s="2365" t="e">
        <f>+C13/X13</f>
        <v>#REF!</v>
      </c>
    </row>
    <row r="14" spans="2:29" s="284" customFormat="1" ht="15.75" hidden="1" customHeight="1" x14ac:dyDescent="0.2">
      <c r="B14" s="330" t="s">
        <v>169</v>
      </c>
      <c r="C14" s="331"/>
      <c r="D14" s="331"/>
      <c r="E14" s="331"/>
      <c r="F14" s="331"/>
      <c r="G14" s="331"/>
      <c r="H14" s="332"/>
      <c r="I14" s="333"/>
      <c r="J14" s="333"/>
      <c r="K14" s="2438"/>
      <c r="L14" s="2337"/>
      <c r="M14" s="2438"/>
      <c r="N14" s="2438"/>
      <c r="O14" s="2438"/>
      <c r="P14" s="335"/>
      <c r="Q14" s="2338"/>
      <c r="R14" s="2338" t="e">
        <f t="shared" si="1"/>
        <v>#DIV/0!</v>
      </c>
      <c r="S14" s="804"/>
      <c r="T14" s="804"/>
      <c r="U14" s="804"/>
      <c r="V14" s="804"/>
      <c r="W14" s="804">
        <f t="shared" si="0"/>
        <v>0</v>
      </c>
      <c r="X14" s="804">
        <f t="shared" si="0"/>
        <v>0</v>
      </c>
      <c r="Y14" s="335" t="s">
        <v>3</v>
      </c>
      <c r="Z14" s="358" t="s">
        <v>3</v>
      </c>
    </row>
    <row r="15" spans="2:29" s="284" customFormat="1" ht="30" x14ac:dyDescent="0.2">
      <c r="B15" s="2073" t="s">
        <v>597</v>
      </c>
      <c r="C15" s="2052">
        <f>'CNG Table A'!$G$15</f>
        <v>1356035.2151158133</v>
      </c>
      <c r="D15" s="2052" t="e">
        <f>E15-C15</f>
        <v>#REF!</v>
      </c>
      <c r="E15" s="2461" t="e">
        <f>#REF!*1000</f>
        <v>#REF!</v>
      </c>
      <c r="F15" s="2461" t="e">
        <f>#REF!*1000</f>
        <v>#REF!</v>
      </c>
      <c r="G15" s="2461" t="e">
        <f>#REF!*1000</f>
        <v>#REF!</v>
      </c>
      <c r="H15" s="332">
        <f ca="1">SUM(C15/$C$75)</f>
        <v>9.3134171397058194E-2</v>
      </c>
      <c r="I15" s="2598" t="e">
        <f t="shared" ref="I15:I22" si="2">F15/C15</f>
        <v>#REF!</v>
      </c>
      <c r="J15" s="333" t="e">
        <f>G15/E15</f>
        <v>#REF!</v>
      </c>
      <c r="K15" s="2462" t="e">
        <f>#REF!</f>
        <v>#REF!</v>
      </c>
      <c r="L15" s="2337" t="s">
        <v>572</v>
      </c>
      <c r="M15" s="2462" t="e">
        <f>#REF!</f>
        <v>#REF!</v>
      </c>
      <c r="N15" s="2462" t="e">
        <f>#REF!</f>
        <v>#REF!</v>
      </c>
      <c r="O15" s="2462" t="e">
        <f>#REF!</f>
        <v>#REF!</v>
      </c>
      <c r="P15" s="335" t="e">
        <f t="shared" ref="P15:P23" si="3">C15/M15</f>
        <v>#REF!</v>
      </c>
      <c r="Q15" s="2338" t="e">
        <f t="shared" ref="Q15:Q23" si="4">C15/N15</f>
        <v>#REF!</v>
      </c>
      <c r="R15" s="2338" t="e">
        <f t="shared" si="1"/>
        <v>#REF!</v>
      </c>
      <c r="S15" s="804"/>
      <c r="T15" s="804"/>
      <c r="U15" s="804"/>
      <c r="V15" s="804"/>
      <c r="W15" s="2055" t="e">
        <f t="shared" si="0"/>
        <v>#REF!</v>
      </c>
      <c r="X15" s="2055" t="e">
        <f t="shared" si="0"/>
        <v>#REF!</v>
      </c>
      <c r="Y15" s="2057" t="e">
        <f t="shared" ref="Y15:Y28" si="5">+C15/W15</f>
        <v>#REF!</v>
      </c>
      <c r="Z15" s="2362" t="e">
        <f>+C15/X15</f>
        <v>#REF!</v>
      </c>
    </row>
    <row r="16" spans="2:29" s="284" customFormat="1" ht="30" x14ac:dyDescent="0.2">
      <c r="B16" s="2073" t="s">
        <v>598</v>
      </c>
      <c r="C16" s="2052">
        <f>'SCG Table A'!$G$15</f>
        <v>1412137.7400000002</v>
      </c>
      <c r="D16" s="2052" t="e">
        <f>E16-C16</f>
        <v>#REF!</v>
      </c>
      <c r="E16" s="2461" t="e">
        <f>#REF!*1000</f>
        <v>#REF!</v>
      </c>
      <c r="F16" s="2461" t="e">
        <f>#REF!*1000</f>
        <v>#REF!</v>
      </c>
      <c r="G16" s="2461" t="e">
        <f>#REF!*1000</f>
        <v>#REF!</v>
      </c>
      <c r="H16" s="332">
        <f ca="1">SUM(C16/$C$76)</f>
        <v>0.1196787731016367</v>
      </c>
      <c r="I16" s="333" t="e">
        <f t="shared" si="2"/>
        <v>#REF!</v>
      </c>
      <c r="J16" s="333" t="e">
        <f>G16/E16</f>
        <v>#REF!</v>
      </c>
      <c r="K16" s="2462" t="e">
        <f>#REF!</f>
        <v>#REF!</v>
      </c>
      <c r="L16" s="2337" t="s">
        <v>572</v>
      </c>
      <c r="M16" s="2462" t="e">
        <f>#REF!</f>
        <v>#REF!</v>
      </c>
      <c r="N16" s="2462" t="e">
        <f>#REF!</f>
        <v>#REF!</v>
      </c>
      <c r="O16" s="2462" t="e">
        <f>#REF!</f>
        <v>#REF!</v>
      </c>
      <c r="P16" s="335" t="e">
        <f t="shared" si="3"/>
        <v>#REF!</v>
      </c>
      <c r="Q16" s="2338" t="e">
        <f t="shared" si="4"/>
        <v>#REF!</v>
      </c>
      <c r="R16" s="2338" t="e">
        <f t="shared" si="1"/>
        <v>#REF!</v>
      </c>
      <c r="S16" s="804"/>
      <c r="T16" s="804"/>
      <c r="U16" s="804"/>
      <c r="V16" s="804"/>
      <c r="W16" s="2055" t="e">
        <f t="shared" si="0"/>
        <v>#REF!</v>
      </c>
      <c r="X16" s="2055" t="e">
        <f t="shared" si="0"/>
        <v>#REF!</v>
      </c>
      <c r="Y16" s="2057" t="e">
        <f t="shared" si="5"/>
        <v>#REF!</v>
      </c>
      <c r="Z16" s="2362" t="e">
        <f>+C16/X16</f>
        <v>#REF!</v>
      </c>
    </row>
    <row r="17" spans="2:27" s="284" customFormat="1" ht="15.75" customHeight="1" x14ac:dyDescent="0.25">
      <c r="B17" s="2366" t="s">
        <v>599</v>
      </c>
      <c r="C17" s="2330">
        <f>SUM(C14:C16)</f>
        <v>2768172.9551158138</v>
      </c>
      <c r="D17" s="2330" t="e">
        <f>SUM(D14:D16)</f>
        <v>#REF!</v>
      </c>
      <c r="E17" s="2330" t="e">
        <f>SUM(E14:E16)</f>
        <v>#REF!</v>
      </c>
      <c r="F17" s="2330" t="e">
        <f>SUM(F14:F16)</f>
        <v>#REF!</v>
      </c>
      <c r="G17" s="2330" t="e">
        <f>SUM(G14:G16)</f>
        <v>#REF!</v>
      </c>
      <c r="H17" s="2331">
        <f ca="1">SUM(C17/$C$77)</f>
        <v>0.10501646621751468</v>
      </c>
      <c r="I17" s="2332" t="e">
        <f t="shared" si="2"/>
        <v>#REF!</v>
      </c>
      <c r="J17" s="2332" t="e">
        <f>G17/E17</f>
        <v>#REF!</v>
      </c>
      <c r="K17" s="2439" t="e">
        <f>SUM(K14:K16)</f>
        <v>#REF!</v>
      </c>
      <c r="L17" s="2334" t="s">
        <v>572</v>
      </c>
      <c r="M17" s="2447" t="e">
        <f>SUM(M14:M16)</f>
        <v>#REF!</v>
      </c>
      <c r="N17" s="2447" t="e">
        <f>SUM(N14:N16)</f>
        <v>#REF!</v>
      </c>
      <c r="O17" s="2447" t="e">
        <f>SUM(O14:O16)</f>
        <v>#REF!</v>
      </c>
      <c r="P17" s="2336" t="e">
        <f t="shared" si="3"/>
        <v>#REF!</v>
      </c>
      <c r="Q17" s="2339" t="e">
        <f t="shared" si="4"/>
        <v>#REF!</v>
      </c>
      <c r="R17" s="2339" t="e">
        <f t="shared" si="1"/>
        <v>#REF!</v>
      </c>
      <c r="S17" s="2335">
        <f>SUM(S14:S16)</f>
        <v>0</v>
      </c>
      <c r="T17" s="2335">
        <f>SUM(T14:T16)</f>
        <v>0</v>
      </c>
      <c r="U17" s="2335">
        <f>SUM(U14:U16)</f>
        <v>0</v>
      </c>
      <c r="V17" s="2335">
        <f>SUM(V14:V16)</f>
        <v>0</v>
      </c>
      <c r="W17" s="2333" t="e">
        <f t="shared" si="0"/>
        <v>#REF!</v>
      </c>
      <c r="X17" s="2333" t="e">
        <f t="shared" si="0"/>
        <v>#REF!</v>
      </c>
      <c r="Y17" s="2336" t="e">
        <f t="shared" si="5"/>
        <v>#REF!</v>
      </c>
      <c r="Z17" s="2365" t="e">
        <f>+C17/X17</f>
        <v>#REF!</v>
      </c>
    </row>
    <row r="18" spans="2:27" s="284" customFormat="1" ht="15" x14ac:dyDescent="0.2">
      <c r="B18" s="2073" t="s">
        <v>609</v>
      </c>
      <c r="C18" s="2052">
        <f>'CNG Table A'!$G$17</f>
        <v>133390.88669326584</v>
      </c>
      <c r="D18" s="2340" t="e">
        <f>E18-C18</f>
        <v>#REF!</v>
      </c>
      <c r="E18" s="2461" t="e">
        <f>#REF!*1000</f>
        <v>#REF!</v>
      </c>
      <c r="F18" s="2461" t="e">
        <f>#REF!*1000</f>
        <v>#REF!</v>
      </c>
      <c r="G18" s="2461" t="e">
        <f>#REF!*1000</f>
        <v>#REF!</v>
      </c>
      <c r="H18" s="1115">
        <f ca="1">SUM(C18/$C$75)</f>
        <v>9.1614506508484531E-3</v>
      </c>
      <c r="I18" s="1922" t="e">
        <f t="shared" si="2"/>
        <v>#REF!</v>
      </c>
      <c r="J18" s="333" t="e">
        <f>G18/E18</f>
        <v>#REF!</v>
      </c>
      <c r="K18" s="2462" t="e">
        <f>#REF!</f>
        <v>#REF!</v>
      </c>
      <c r="L18" s="2342" t="s">
        <v>242</v>
      </c>
      <c r="M18" s="2462" t="e">
        <f>#REF!</f>
        <v>#REF!</v>
      </c>
      <c r="N18" s="2462" t="e">
        <f>#REF!</f>
        <v>#REF!</v>
      </c>
      <c r="O18" s="2462" t="e">
        <f>#REF!</f>
        <v>#REF!</v>
      </c>
      <c r="P18" s="2341" t="e">
        <f t="shared" si="3"/>
        <v>#REF!</v>
      </c>
      <c r="Q18" s="2400" t="e">
        <f t="shared" si="4"/>
        <v>#REF!</v>
      </c>
      <c r="R18" s="2400"/>
      <c r="S18" s="2342">
        <v>0</v>
      </c>
      <c r="T18" s="2342">
        <v>0</v>
      </c>
      <c r="U18" s="2342">
        <v>0</v>
      </c>
      <c r="V18" s="2342">
        <v>0</v>
      </c>
      <c r="W18" s="1923" t="e">
        <f t="shared" si="0"/>
        <v>#REF!</v>
      </c>
      <c r="X18" s="1923" t="e">
        <f t="shared" si="0"/>
        <v>#REF!</v>
      </c>
      <c r="Y18" s="1925" t="e">
        <f t="shared" si="5"/>
        <v>#REF!</v>
      </c>
      <c r="Z18" s="1989" t="e">
        <f>+E18/X18</f>
        <v>#REF!</v>
      </c>
    </row>
    <row r="19" spans="2:27" s="2060" customFormat="1" ht="15" x14ac:dyDescent="0.2">
      <c r="B19" s="693" t="s">
        <v>530</v>
      </c>
      <c r="C19" s="2340">
        <f>'SCG Table A'!$G$17</f>
        <v>118187.09494220393</v>
      </c>
      <c r="D19" s="2340"/>
      <c r="E19" s="2461" t="e">
        <f>#REF!*1000</f>
        <v>#REF!</v>
      </c>
      <c r="F19" s="2461" t="e">
        <f>#REF!*1000</f>
        <v>#REF!</v>
      </c>
      <c r="G19" s="2461" t="e">
        <f>#REF!*1000</f>
        <v>#REF!</v>
      </c>
      <c r="H19" s="1115">
        <f ca="1">H18</f>
        <v>9.1614506508484531E-3</v>
      </c>
      <c r="I19" s="1922" t="e">
        <f t="shared" si="2"/>
        <v>#REF!</v>
      </c>
      <c r="J19" s="333" t="e">
        <f>G19/E19</f>
        <v>#REF!</v>
      </c>
      <c r="K19" s="2462" t="e">
        <f>#REF!</f>
        <v>#REF!</v>
      </c>
      <c r="L19" s="2342" t="str">
        <f>L18</f>
        <v>Units</v>
      </c>
      <c r="M19" s="2462" t="e">
        <f>#REF!</f>
        <v>#REF!</v>
      </c>
      <c r="N19" s="2462" t="e">
        <f>#REF!</f>
        <v>#REF!</v>
      </c>
      <c r="O19" s="2462" t="e">
        <f>#REF!</f>
        <v>#REF!</v>
      </c>
      <c r="P19" s="2341" t="e">
        <f t="shared" si="3"/>
        <v>#REF!</v>
      </c>
      <c r="Q19" s="2400" t="e">
        <f t="shared" si="4"/>
        <v>#REF!</v>
      </c>
      <c r="R19" s="2400"/>
      <c r="S19" s="2342">
        <v>0</v>
      </c>
      <c r="T19" s="2342">
        <v>0</v>
      </c>
      <c r="U19" s="2342">
        <v>0</v>
      </c>
      <c r="V19" s="2342">
        <v>0</v>
      </c>
      <c r="W19" s="1923" t="e">
        <f>+(M19*102900+S19*138690+U19*91330)/10^6</f>
        <v>#REF!</v>
      </c>
      <c r="X19" s="1923" t="e">
        <f>+(N19*102900+T19*138690+V19*91330)/10^6</f>
        <v>#REF!</v>
      </c>
      <c r="Y19" s="1925" t="e">
        <f>+C19/W19</f>
        <v>#REF!</v>
      </c>
      <c r="Z19" s="1989" t="e">
        <f>+E19/X19</f>
        <v>#REF!</v>
      </c>
    </row>
    <row r="20" spans="2:27" s="284" customFormat="1" ht="15.75" x14ac:dyDescent="0.25">
      <c r="B20" s="2366" t="s">
        <v>610</v>
      </c>
      <c r="C20" s="2330">
        <f>SUM(C18:C19)</f>
        <v>251577.98163546977</v>
      </c>
      <c r="D20" s="2330" t="e">
        <f>SUM(D18:D19)</f>
        <v>#REF!</v>
      </c>
      <c r="E20" s="2330" t="e">
        <f>SUM(E18:E19)</f>
        <v>#REF!</v>
      </c>
      <c r="F20" s="2330" t="e">
        <f>SUM(F18:F19)</f>
        <v>#REF!</v>
      </c>
      <c r="G20" s="2330" t="e">
        <f>SUM(G18:G19)</f>
        <v>#REF!</v>
      </c>
      <c r="H20" s="2331">
        <f ca="1">SUM(C20/$C$77)</f>
        <v>9.544140137871731E-3</v>
      </c>
      <c r="I20" s="2332" t="e">
        <f t="shared" si="2"/>
        <v>#REF!</v>
      </c>
      <c r="J20" s="2332"/>
      <c r="K20" s="2439" t="e">
        <f>SUM(K18:K19)</f>
        <v>#REF!</v>
      </c>
      <c r="L20" s="2334"/>
      <c r="M20" s="2447" t="e">
        <f>SUM(M18:M19)</f>
        <v>#REF!</v>
      </c>
      <c r="N20" s="2447" t="e">
        <f>SUM(N18:N19)</f>
        <v>#REF!</v>
      </c>
      <c r="O20" s="2447" t="e">
        <f>SUM(O18:O19)</f>
        <v>#REF!</v>
      </c>
      <c r="P20" s="2336" t="e">
        <f t="shared" si="3"/>
        <v>#REF!</v>
      </c>
      <c r="Q20" s="2339" t="e">
        <f t="shared" si="4"/>
        <v>#REF!</v>
      </c>
      <c r="R20" s="2339"/>
      <c r="S20" s="2335">
        <f>SUM(S18:S19)</f>
        <v>0</v>
      </c>
      <c r="T20" s="2335">
        <f>SUM(T18:T19)</f>
        <v>0</v>
      </c>
      <c r="U20" s="2335">
        <f>SUM(U18:U19)</f>
        <v>0</v>
      </c>
      <c r="V20" s="2335">
        <f>SUM(V18:V19)</f>
        <v>0</v>
      </c>
      <c r="W20" s="2333" t="e">
        <f t="shared" si="0"/>
        <v>#REF!</v>
      </c>
      <c r="X20" s="2333" t="e">
        <f t="shared" si="0"/>
        <v>#REF!</v>
      </c>
      <c r="Y20" s="2336" t="e">
        <f t="shared" si="5"/>
        <v>#REF!</v>
      </c>
      <c r="Z20" s="2365" t="e">
        <f>+C20/X20</f>
        <v>#REF!</v>
      </c>
    </row>
    <row r="21" spans="2:27" s="2060" customFormat="1" ht="15.75" customHeight="1" x14ac:dyDescent="0.2">
      <c r="B21" s="2202" t="s">
        <v>170</v>
      </c>
      <c r="C21" s="2052">
        <f>'CNG Table A'!$G$13</f>
        <v>480479.74209008168</v>
      </c>
      <c r="D21" s="2052" t="e">
        <f>E21-C21</f>
        <v>#REF!</v>
      </c>
      <c r="E21" s="2461" t="e">
        <f>#REF!*1000</f>
        <v>#REF!</v>
      </c>
      <c r="F21" s="2461" t="e">
        <f>#REF!*1000</f>
        <v>#REF!</v>
      </c>
      <c r="G21" s="2461" t="e">
        <f>#REF!*1000</f>
        <v>#REF!</v>
      </c>
      <c r="H21" s="1115">
        <f ca="1">SUM(C21/$C$75)</f>
        <v>3.2999941412885911E-2</v>
      </c>
      <c r="I21" s="1922" t="e">
        <f t="shared" si="2"/>
        <v>#REF!</v>
      </c>
      <c r="J21" s="333" t="e">
        <f>G21/E21</f>
        <v>#REF!</v>
      </c>
      <c r="K21" s="2462" t="e">
        <f>#REF!</f>
        <v>#REF!</v>
      </c>
      <c r="L21" s="2342" t="s">
        <v>241</v>
      </c>
      <c r="M21" s="2462" t="e">
        <f>#REF!</f>
        <v>#REF!</v>
      </c>
      <c r="N21" s="2462" t="e">
        <f>#REF!</f>
        <v>#REF!</v>
      </c>
      <c r="O21" s="2462" t="e">
        <f>#REF!</f>
        <v>#REF!</v>
      </c>
      <c r="P21" s="335" t="e">
        <f t="shared" si="3"/>
        <v>#REF!</v>
      </c>
      <c r="Q21" s="2338" t="e">
        <f t="shared" si="4"/>
        <v>#REF!</v>
      </c>
      <c r="R21" s="2338" t="e">
        <f t="shared" si="1"/>
        <v>#REF!</v>
      </c>
      <c r="S21" s="2055"/>
      <c r="T21" s="2055"/>
      <c r="U21" s="2055"/>
      <c r="V21" s="2055"/>
      <c r="W21" s="2055" t="e">
        <f t="shared" si="0"/>
        <v>#REF!</v>
      </c>
      <c r="X21" s="2055" t="e">
        <f t="shared" si="0"/>
        <v>#REF!</v>
      </c>
      <c r="Y21" s="2057" t="e">
        <f t="shared" si="5"/>
        <v>#REF!</v>
      </c>
      <c r="Z21" s="2362" t="e">
        <f t="shared" ref="Z21:Z28" si="6">+C21/X21</f>
        <v>#REF!</v>
      </c>
    </row>
    <row r="22" spans="2:27" s="2060" customFormat="1" ht="15.75" customHeight="1" x14ac:dyDescent="0.2">
      <c r="B22" s="2202" t="s">
        <v>171</v>
      </c>
      <c r="C22" s="2052">
        <f>'SCG Table A'!$G$13</f>
        <v>533017.77992057626</v>
      </c>
      <c r="D22" s="2052" t="e">
        <f>E22-C22</f>
        <v>#REF!</v>
      </c>
      <c r="E22" s="2461" t="e">
        <f>#REF!*1000</f>
        <v>#REF!</v>
      </c>
      <c r="F22" s="2461" t="e">
        <f>#REF!*1000</f>
        <v>#REF!</v>
      </c>
      <c r="G22" s="2461" t="e">
        <f>#REF!*1000</f>
        <v>#REF!</v>
      </c>
      <c r="H22" s="1115">
        <f ca="1">H21</f>
        <v>3.2999941412885911E-2</v>
      </c>
      <c r="I22" s="1922" t="e">
        <f t="shared" si="2"/>
        <v>#REF!</v>
      </c>
      <c r="J22" s="333" t="e">
        <f>G22/E22</f>
        <v>#REF!</v>
      </c>
      <c r="K22" s="2462" t="e">
        <f>#REF!</f>
        <v>#REF!</v>
      </c>
      <c r="L22" s="2342" t="s">
        <v>241</v>
      </c>
      <c r="M22" s="2462" t="e">
        <f>#REF!</f>
        <v>#REF!</v>
      </c>
      <c r="N22" s="2462" t="e">
        <f>#REF!</f>
        <v>#REF!</v>
      </c>
      <c r="O22" s="2462" t="e">
        <f>#REF!</f>
        <v>#REF!</v>
      </c>
      <c r="P22" s="335" t="e">
        <f t="shared" si="3"/>
        <v>#REF!</v>
      </c>
      <c r="Q22" s="2338" t="e">
        <f t="shared" si="4"/>
        <v>#REF!</v>
      </c>
      <c r="R22" s="2338" t="e">
        <f t="shared" si="1"/>
        <v>#REF!</v>
      </c>
      <c r="S22" s="2055"/>
      <c r="T22" s="2055"/>
      <c r="U22" s="2055"/>
      <c r="V22" s="2055"/>
      <c r="W22" s="2055" t="e">
        <f t="shared" si="0"/>
        <v>#REF!</v>
      </c>
      <c r="X22" s="2055" t="e">
        <f t="shared" si="0"/>
        <v>#REF!</v>
      </c>
      <c r="Y22" s="2057" t="e">
        <f t="shared" si="5"/>
        <v>#REF!</v>
      </c>
      <c r="Z22" s="2362" t="e">
        <f t="shared" si="6"/>
        <v>#REF!</v>
      </c>
    </row>
    <row r="23" spans="2:27" ht="17.25" customHeight="1" x14ac:dyDescent="0.25">
      <c r="B23" s="2363" t="s">
        <v>204</v>
      </c>
      <c r="C23" s="2330">
        <f>SUM(C21:C22)</f>
        <v>1013497.5220106579</v>
      </c>
      <c r="D23" s="2330" t="e">
        <f>SUM(D21:D22)</f>
        <v>#REF!</v>
      </c>
      <c r="E23" s="2330" t="e">
        <f>SUM(E21:E22)</f>
        <v>#REF!</v>
      </c>
      <c r="F23" s="2330" t="e">
        <f>SUM(F21:F22)</f>
        <v>#REF!</v>
      </c>
      <c r="G23" s="2330" t="e">
        <f>SUM(G21:G22)</f>
        <v>#REF!</v>
      </c>
      <c r="H23" s="2331">
        <f ca="1">SUM(C23/$C$77)</f>
        <v>3.8449161236500183E-2</v>
      </c>
      <c r="I23" s="2332" t="e">
        <f>F23/C23</f>
        <v>#REF!</v>
      </c>
      <c r="J23" s="2332" t="e">
        <f>G23/E23</f>
        <v>#REF!</v>
      </c>
      <c r="K23" s="2439" t="e">
        <f>SUM(K21:K22)</f>
        <v>#REF!</v>
      </c>
      <c r="L23" s="2334" t="s">
        <v>241</v>
      </c>
      <c r="M23" s="2447" t="e">
        <f>SUM(M21:M22)</f>
        <v>#REF!</v>
      </c>
      <c r="N23" s="2447" t="e">
        <f>SUM(N21:N22)</f>
        <v>#REF!</v>
      </c>
      <c r="O23" s="2447" t="e">
        <f>SUM(O21:O22)</f>
        <v>#REF!</v>
      </c>
      <c r="P23" s="2336" t="e">
        <f t="shared" si="3"/>
        <v>#REF!</v>
      </c>
      <c r="Q23" s="2339" t="e">
        <f t="shared" si="4"/>
        <v>#REF!</v>
      </c>
      <c r="R23" s="2339" t="e">
        <f t="shared" si="1"/>
        <v>#REF!</v>
      </c>
      <c r="S23" s="2344">
        <f>SUM(S14:S22)</f>
        <v>0</v>
      </c>
      <c r="T23" s="2344">
        <f>SUM(T14:T22)</f>
        <v>0</v>
      </c>
      <c r="U23" s="2344">
        <f>SUM(U14:U22)</f>
        <v>0</v>
      </c>
      <c r="V23" s="2344">
        <f>SUM(V14:V22)</f>
        <v>0</v>
      </c>
      <c r="W23" s="2333" t="e">
        <f t="shared" si="0"/>
        <v>#REF!</v>
      </c>
      <c r="X23" s="2333" t="e">
        <f t="shared" si="0"/>
        <v>#REF!</v>
      </c>
      <c r="Y23" s="2345" t="e">
        <f t="shared" si="5"/>
        <v>#REF!</v>
      </c>
      <c r="Z23" s="2367" t="e">
        <f t="shared" si="6"/>
        <v>#REF!</v>
      </c>
    </row>
    <row r="24" spans="2:27" s="284" customFormat="1" ht="15.75" hidden="1" customHeight="1" x14ac:dyDescent="0.2">
      <c r="B24" s="330" t="s">
        <v>142</v>
      </c>
      <c r="C24" s="331"/>
      <c r="D24" s="331"/>
      <c r="E24" s="331"/>
      <c r="F24" s="331"/>
      <c r="G24" s="331"/>
      <c r="H24" s="332"/>
      <c r="I24" s="333"/>
      <c r="J24" s="333"/>
      <c r="K24" s="2438"/>
      <c r="L24" s="2337"/>
      <c r="M24" s="2438"/>
      <c r="N24" s="2438"/>
      <c r="O24" s="2438"/>
      <c r="P24" s="335"/>
      <c r="Q24" s="2338"/>
      <c r="R24" s="2338" t="e">
        <f t="shared" si="1"/>
        <v>#DIV/0!</v>
      </c>
      <c r="S24" s="2055"/>
      <c r="T24" s="2055"/>
      <c r="U24" s="2055"/>
      <c r="V24" s="2055"/>
      <c r="W24" s="804">
        <f t="shared" si="0"/>
        <v>0</v>
      </c>
      <c r="X24" s="804">
        <f t="shared" si="0"/>
        <v>0</v>
      </c>
      <c r="Y24" s="2078" t="s">
        <v>3</v>
      </c>
      <c r="Z24" s="2368" t="s">
        <v>3</v>
      </c>
    </row>
    <row r="25" spans="2:27" s="2060" customFormat="1" ht="15.75" hidden="1" customHeight="1" x14ac:dyDescent="0.2">
      <c r="B25" s="2202" t="s">
        <v>143</v>
      </c>
      <c r="C25" s="2052"/>
      <c r="D25" s="2052"/>
      <c r="E25" s="2052"/>
      <c r="F25" s="2052"/>
      <c r="G25" s="2052"/>
      <c r="H25" s="2053">
        <f ca="1">SUM(C25/$C$75)</f>
        <v>0</v>
      </c>
      <c r="I25" s="2054" t="e">
        <f>F25/C25</f>
        <v>#DIV/0!</v>
      </c>
      <c r="J25" s="2054" t="e">
        <f>G25/E25</f>
        <v>#DIV/0!</v>
      </c>
      <c r="K25" s="2440"/>
      <c r="L25" s="2328" t="s">
        <v>242</v>
      </c>
      <c r="M25" s="2440"/>
      <c r="N25" s="2440"/>
      <c r="O25" s="2440"/>
      <c r="P25" s="2057" t="e">
        <f>C25/M25</f>
        <v>#DIV/0!</v>
      </c>
      <c r="Q25" s="2329" t="e">
        <f>C25/N25</f>
        <v>#DIV/0!</v>
      </c>
      <c r="R25" s="2329" t="e">
        <f t="shared" si="1"/>
        <v>#DIV/0!</v>
      </c>
      <c r="S25" s="2077"/>
      <c r="T25" s="2077"/>
      <c r="U25" s="2077"/>
      <c r="V25" s="2077"/>
      <c r="W25" s="2055">
        <f t="shared" si="0"/>
        <v>0</v>
      </c>
      <c r="X25" s="2055">
        <f t="shared" si="0"/>
        <v>0</v>
      </c>
      <c r="Y25" s="2078" t="e">
        <f t="shared" si="5"/>
        <v>#DIV/0!</v>
      </c>
      <c r="Z25" s="2368" t="e">
        <f t="shared" si="6"/>
        <v>#DIV/0!</v>
      </c>
    </row>
    <row r="26" spans="2:27" s="2060" customFormat="1" ht="15.75" hidden="1" customHeight="1" thickBot="1" x14ac:dyDescent="0.25">
      <c r="B26" s="2202" t="s">
        <v>144</v>
      </c>
      <c r="C26" s="2052" t="e">
        <f>'SCG Table A'!#REF!</f>
        <v>#REF!</v>
      </c>
      <c r="D26" s="2052" t="e">
        <f>E26-C26</f>
        <v>#REF!</v>
      </c>
      <c r="E26" s="2052"/>
      <c r="F26" s="2052"/>
      <c r="G26" s="2052"/>
      <c r="H26" s="2053" t="e">
        <f ca="1">SUM(C26/$C$76)</f>
        <v>#REF!</v>
      </c>
      <c r="I26" s="2054" t="e">
        <f>F26/C26</f>
        <v>#REF!</v>
      </c>
      <c r="J26" s="2054" t="e">
        <f>G26/E26</f>
        <v>#DIV/0!</v>
      </c>
      <c r="K26" s="2440"/>
      <c r="L26" s="2328" t="s">
        <v>242</v>
      </c>
      <c r="M26" s="2440"/>
      <c r="N26" s="2440"/>
      <c r="O26" s="2440"/>
      <c r="P26" s="2057" t="e">
        <f>C26/M26</f>
        <v>#REF!</v>
      </c>
      <c r="Q26" s="2329" t="e">
        <f>C26/N26</f>
        <v>#REF!</v>
      </c>
      <c r="R26" s="2329" t="e">
        <f t="shared" si="1"/>
        <v>#REF!</v>
      </c>
      <c r="S26" s="2077"/>
      <c r="T26" s="2077"/>
      <c r="U26" s="2077"/>
      <c r="V26" s="2077"/>
      <c r="W26" s="2055">
        <f t="shared" si="0"/>
        <v>0</v>
      </c>
      <c r="X26" s="2055">
        <f t="shared" si="0"/>
        <v>0</v>
      </c>
      <c r="Y26" s="2078" t="e">
        <f t="shared" si="5"/>
        <v>#REF!</v>
      </c>
      <c r="Z26" s="2368" t="e">
        <f t="shared" si="6"/>
        <v>#REF!</v>
      </c>
    </row>
    <row r="27" spans="2:27" ht="17.25" hidden="1" customHeight="1" thickBot="1" x14ac:dyDescent="0.3">
      <c r="B27" s="2363" t="s">
        <v>145</v>
      </c>
      <c r="C27" s="2330" t="e">
        <f>SUM(C24:C26)</f>
        <v>#REF!</v>
      </c>
      <c r="D27" s="2330" t="e">
        <f>SUM(D24:D26)</f>
        <v>#REF!</v>
      </c>
      <c r="E27" s="2330">
        <f>SUM(E24:E26)</f>
        <v>0</v>
      </c>
      <c r="F27" s="2330">
        <f>SUM(F24:F26)</f>
        <v>0</v>
      </c>
      <c r="G27" s="2330">
        <f>SUM(G24:G26)</f>
        <v>0</v>
      </c>
      <c r="H27" s="2331" t="e">
        <f ca="1">SUM(C27/$C$77)</f>
        <v>#REF!</v>
      </c>
      <c r="I27" s="2332" t="e">
        <f>F27/C27</f>
        <v>#REF!</v>
      </c>
      <c r="J27" s="2332" t="e">
        <f>G27/E27</f>
        <v>#DIV/0!</v>
      </c>
      <c r="K27" s="2439">
        <f>SUM(K24:K26)</f>
        <v>0</v>
      </c>
      <c r="L27" s="2346" t="s">
        <v>242</v>
      </c>
      <c r="M27" s="2447">
        <f>SUM(M24:M26)</f>
        <v>0</v>
      </c>
      <c r="N27" s="2447">
        <f>SUM(N24:N26)</f>
        <v>0</v>
      </c>
      <c r="O27" s="2447">
        <f>SUM(O24:O26)</f>
        <v>0</v>
      </c>
      <c r="P27" s="2336" t="e">
        <f>C27/M27</f>
        <v>#REF!</v>
      </c>
      <c r="Q27" s="2339" t="e">
        <f>C27/N27</f>
        <v>#REF!</v>
      </c>
      <c r="R27" s="2339" t="e">
        <f t="shared" si="1"/>
        <v>#REF!</v>
      </c>
      <c r="S27" s="2335">
        <f>SUM(S24:S26)</f>
        <v>0</v>
      </c>
      <c r="T27" s="2335">
        <f>SUM(T24:T26)</f>
        <v>0</v>
      </c>
      <c r="U27" s="2335">
        <f>SUM(U24:U26)</f>
        <v>0</v>
      </c>
      <c r="V27" s="2335">
        <f>SUM(V24:V26)</f>
        <v>0</v>
      </c>
      <c r="W27" s="2333">
        <f t="shared" si="0"/>
        <v>0</v>
      </c>
      <c r="X27" s="2333">
        <f t="shared" si="0"/>
        <v>0</v>
      </c>
      <c r="Y27" s="2336" t="e">
        <f t="shared" si="5"/>
        <v>#REF!</v>
      </c>
      <c r="Z27" s="2365" t="e">
        <f t="shared" si="6"/>
        <v>#REF!</v>
      </c>
    </row>
    <row r="28" spans="2:27" ht="16.5" thickBot="1" x14ac:dyDescent="0.3">
      <c r="B28" s="2369" t="s">
        <v>88</v>
      </c>
      <c r="C28" s="2370">
        <f>+C23+C20+C17+C13+C9</f>
        <v>15116232.723212022</v>
      </c>
      <c r="D28" s="2370" t="e">
        <f>+D23+D20+D17+D13+D9</f>
        <v>#REF!</v>
      </c>
      <c r="E28" s="2370" t="e">
        <f>+E23+E20+E17+E13+E9</f>
        <v>#REF!</v>
      </c>
      <c r="F28" s="2370" t="e">
        <f>+F23+F20+F17+F13+F9</f>
        <v>#REF!</v>
      </c>
      <c r="G28" s="2370" t="e">
        <f>+G23+G20+G17+G13+G9</f>
        <v>#REF!</v>
      </c>
      <c r="H28" s="2371">
        <f ca="1">SUM(C28/C77)</f>
        <v>0.57346609798334292</v>
      </c>
      <c r="I28" s="2372" t="e">
        <f>F28/C28</f>
        <v>#REF!</v>
      </c>
      <c r="J28" s="2372" t="e">
        <f>G28/E28</f>
        <v>#REF!</v>
      </c>
      <c r="K28" s="2456" t="e">
        <f>K9+K13+K17+K20+K23+K27</f>
        <v>#REF!</v>
      </c>
      <c r="L28" s="2374" t="s">
        <v>462</v>
      </c>
      <c r="M28" s="2448" t="e">
        <f>+M23+M20+M17+M13+M9</f>
        <v>#REF!</v>
      </c>
      <c r="N28" s="2448" t="e">
        <f>+N23+N20+N17+N13+N9</f>
        <v>#REF!</v>
      </c>
      <c r="O28" s="2448" t="e">
        <f>+O23+O20+O17+O13+O9</f>
        <v>#REF!</v>
      </c>
      <c r="P28" s="2376" t="e">
        <f>C28/M28</f>
        <v>#REF!</v>
      </c>
      <c r="Q28" s="2376" t="e">
        <f>C28/N28</f>
        <v>#REF!</v>
      </c>
      <c r="R28" s="2376" t="e">
        <f t="shared" si="1"/>
        <v>#REF!</v>
      </c>
      <c r="S28" s="2375">
        <f t="shared" ref="S28:X28" si="7">S9+S13+S17+S20+S23+S27</f>
        <v>0</v>
      </c>
      <c r="T28" s="2375">
        <f t="shared" si="7"/>
        <v>0</v>
      </c>
      <c r="U28" s="2375">
        <f t="shared" si="7"/>
        <v>0</v>
      </c>
      <c r="V28" s="2375">
        <f t="shared" si="7"/>
        <v>0</v>
      </c>
      <c r="W28" s="2375" t="e">
        <f t="shared" si="7"/>
        <v>#REF!</v>
      </c>
      <c r="X28" s="2375" t="e">
        <f t="shared" si="7"/>
        <v>#REF!</v>
      </c>
      <c r="Y28" s="2376" t="e">
        <f t="shared" si="5"/>
        <v>#REF!</v>
      </c>
      <c r="Z28" s="2377" t="e">
        <f t="shared" si="6"/>
        <v>#REF!</v>
      </c>
    </row>
    <row r="29" spans="2:27" ht="15.75" customHeight="1" x14ac:dyDescent="0.25">
      <c r="B29" s="2322"/>
      <c r="C29" s="2323"/>
      <c r="D29" s="2323"/>
      <c r="E29" s="2323"/>
      <c r="F29" s="2323"/>
      <c r="G29" s="2323"/>
      <c r="H29" s="2324"/>
      <c r="I29" s="2325"/>
      <c r="J29" s="2325"/>
      <c r="K29" s="2442"/>
      <c r="L29" s="2326"/>
      <c r="M29" s="2449"/>
      <c r="N29" s="2449"/>
      <c r="O29" s="2449"/>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443"/>
      <c r="L30" s="2159"/>
      <c r="M30" s="2443"/>
      <c r="N30" s="2443"/>
      <c r="O30" s="2443"/>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444"/>
      <c r="L31" s="2134"/>
      <c r="M31" s="2444"/>
      <c r="N31" s="2444"/>
      <c r="O31" s="2444"/>
      <c r="P31" s="341"/>
      <c r="Q31" s="336"/>
      <c r="R31" s="336"/>
      <c r="S31" s="336"/>
      <c r="T31" s="336"/>
      <c r="U31" s="336"/>
      <c r="V31" s="336"/>
      <c r="W31" s="2146" t="s">
        <v>3</v>
      </c>
      <c r="X31" s="2146" t="s">
        <v>3</v>
      </c>
      <c r="Y31" s="341" t="s">
        <v>3</v>
      </c>
      <c r="Z31" s="336" t="s">
        <v>3</v>
      </c>
    </row>
    <row r="32" spans="2:27" s="284" customFormat="1" ht="15" x14ac:dyDescent="0.2">
      <c r="B32" s="399" t="s">
        <v>125</v>
      </c>
      <c r="C32" s="351">
        <f>'CNG Table A'!$G$20</f>
        <v>1708700.7141989998</v>
      </c>
      <c r="D32" s="1108" t="e">
        <f>E32-C32</f>
        <v>#REF!</v>
      </c>
      <c r="E32" s="2463" t="e">
        <f>#REF!*1000</f>
        <v>#REF!</v>
      </c>
      <c r="F32" s="2464" t="e">
        <f>#REF!*1000</f>
        <v>#REF!</v>
      </c>
      <c r="G32" s="2463" t="e">
        <f>#REF!*1000</f>
        <v>#REF!</v>
      </c>
      <c r="H32" s="401">
        <f ca="1">SUM(C32/$C$75)</f>
        <v>0.11735567292689671</v>
      </c>
      <c r="I32" s="2137" t="e">
        <f>F32/C32</f>
        <v>#REF!</v>
      </c>
      <c r="J32" s="2137" t="e">
        <f>G32/E32</f>
        <v>#REF!</v>
      </c>
      <c r="K32" s="2466" t="e">
        <f>#REF!</f>
        <v>#REF!</v>
      </c>
      <c r="L32" s="354" t="s">
        <v>244</v>
      </c>
      <c r="M32" s="2466" t="e">
        <f>#REF!</f>
        <v>#REF!</v>
      </c>
      <c r="N32" s="2466" t="e">
        <f>#REF!</f>
        <v>#REF!</v>
      </c>
      <c r="O32" s="2466" t="e">
        <f>#REF!</f>
        <v>#REF!</v>
      </c>
      <c r="P32" s="2120" t="e">
        <f>C32/M32</f>
        <v>#REF!</v>
      </c>
      <c r="Q32" s="2378" t="e">
        <f>C32/N32</f>
        <v>#REF!</v>
      </c>
      <c r="R32" s="2378" t="e">
        <f>C32/O32</f>
        <v>#REF!</v>
      </c>
      <c r="S32" s="2121"/>
      <c r="T32" s="2121"/>
      <c r="U32" s="2121"/>
      <c r="V32" s="2121"/>
      <c r="W32" s="2121" t="e">
        <f t="shared" ref="W32:X34" si="8">+(M32*102900+S32*138690+U32*91330)/10^6</f>
        <v>#REF!</v>
      </c>
      <c r="X32" s="2121" t="e">
        <f t="shared" si="8"/>
        <v>#REF!</v>
      </c>
      <c r="Y32" s="2120" t="e">
        <f>+C32/W32</f>
        <v>#REF!</v>
      </c>
      <c r="Z32" s="356" t="e">
        <f>+C32/X32</f>
        <v>#REF!</v>
      </c>
    </row>
    <row r="33" spans="2:30" s="284" customFormat="1" ht="15" x14ac:dyDescent="0.2">
      <c r="B33" s="381" t="s">
        <v>126</v>
      </c>
      <c r="C33" s="331">
        <f>'SCG Table A'!$G$20</f>
        <v>1200880.6669574003</v>
      </c>
      <c r="D33" s="874" t="e">
        <f>E33-C33</f>
        <v>#REF!</v>
      </c>
      <c r="E33" s="2461" t="e">
        <f>#REF!*1000</f>
        <v>#REF!</v>
      </c>
      <c r="F33" s="2461" t="e">
        <f>#REF!*1000</f>
        <v>#REF!</v>
      </c>
      <c r="G33" s="2461" t="e">
        <f>#REF!*1000</f>
        <v>#REF!</v>
      </c>
      <c r="H33" s="332">
        <f ca="1">SUM(C33/$C$76)</f>
        <v>0.1017747212555461</v>
      </c>
      <c r="I33" s="333" t="e">
        <f>F33/C33</f>
        <v>#REF!</v>
      </c>
      <c r="J33" s="333" t="e">
        <f>G33/E33</f>
        <v>#REF!</v>
      </c>
      <c r="K33" s="2756" t="e">
        <f>#REF!</f>
        <v>#REF!</v>
      </c>
      <c r="L33" s="2337" t="s">
        <v>244</v>
      </c>
      <c r="M33" s="2756" t="e">
        <f>#REF!</f>
        <v>#REF!</v>
      </c>
      <c r="N33" s="2756" t="e">
        <f>#REF!</f>
        <v>#REF!</v>
      </c>
      <c r="O33" s="2756" t="e">
        <f>#REF!</f>
        <v>#REF!</v>
      </c>
      <c r="P33" s="335" t="e">
        <f>C33/M33</f>
        <v>#REF!</v>
      </c>
      <c r="Q33" s="2338" t="e">
        <f>C33/N33</f>
        <v>#REF!</v>
      </c>
      <c r="R33" s="2338" t="e">
        <f>C33/O33</f>
        <v>#REF!</v>
      </c>
      <c r="S33" s="804"/>
      <c r="T33" s="804"/>
      <c r="U33" s="804"/>
      <c r="V33" s="804"/>
      <c r="W33" s="804" t="e">
        <f t="shared" si="8"/>
        <v>#REF!</v>
      </c>
      <c r="X33" s="804" t="e">
        <f t="shared" si="8"/>
        <v>#REF!</v>
      </c>
      <c r="Y33" s="335" t="e">
        <f>+C33/W33</f>
        <v>#REF!</v>
      </c>
      <c r="Z33" s="358" t="e">
        <f>+C33/X33</f>
        <v>#REF!</v>
      </c>
    </row>
    <row r="34" spans="2:30" ht="17.25" customHeight="1" thickBot="1" x14ac:dyDescent="0.3">
      <c r="B34" s="2369" t="s">
        <v>137</v>
      </c>
      <c r="C34" s="2379">
        <f>SUM(C31:C33)</f>
        <v>2909581.3811563998</v>
      </c>
      <c r="D34" s="2379" t="e">
        <f>SUM(D31:D33)</f>
        <v>#REF!</v>
      </c>
      <c r="E34" s="2379" t="e">
        <f>SUM(E31:E33)</f>
        <v>#REF!</v>
      </c>
      <c r="F34" s="2379" t="e">
        <f>SUM(F31:F33)</f>
        <v>#REF!</v>
      </c>
      <c r="G34" s="2379" t="e">
        <f>SUM(G31:G33)</f>
        <v>#REF!</v>
      </c>
      <c r="H34" s="2380">
        <f ca="1">SUM(C34/$C$77)</f>
        <v>0.1103810924301647</v>
      </c>
      <c r="I34" s="2372" t="e">
        <f>F34/C34</f>
        <v>#REF!</v>
      </c>
      <c r="J34" s="2372" t="e">
        <f>G34/E34</f>
        <v>#REF!</v>
      </c>
      <c r="K34" s="2446" t="e">
        <f>+K31+K32+K33</f>
        <v>#REF!</v>
      </c>
      <c r="L34" s="2379" t="s">
        <v>244</v>
      </c>
      <c r="M34" s="2448" t="e">
        <f>SUM(M31:M33)</f>
        <v>#REF!</v>
      </c>
      <c r="N34" s="2448" t="e">
        <f>SUM(N31:N33)</f>
        <v>#REF!</v>
      </c>
      <c r="O34" s="2448" t="e">
        <f>SUM(O31:O33)</f>
        <v>#REF!</v>
      </c>
      <c r="P34" s="2382" t="e">
        <f>C34/M34</f>
        <v>#REF!</v>
      </c>
      <c r="Q34" s="2376" t="e">
        <f>C34/N34</f>
        <v>#REF!</v>
      </c>
      <c r="R34" s="2376" t="e">
        <f>C34/O34</f>
        <v>#REF!</v>
      </c>
      <c r="S34" s="2375">
        <f>SUM(S31:S33)</f>
        <v>0</v>
      </c>
      <c r="T34" s="2375">
        <f>SUM(T31:T33)</f>
        <v>0</v>
      </c>
      <c r="U34" s="2375">
        <f>SUM(U31:U33)</f>
        <v>0</v>
      </c>
      <c r="V34" s="2375">
        <f>SUM(V31:V33)</f>
        <v>0</v>
      </c>
      <c r="W34" s="2381" t="e">
        <f t="shared" si="8"/>
        <v>#REF!</v>
      </c>
      <c r="X34" s="2381" t="e">
        <f t="shared" si="8"/>
        <v>#REF!</v>
      </c>
      <c r="Y34" s="2382" t="e">
        <f>+C34/W34</f>
        <v>#REF!</v>
      </c>
      <c r="Z34" s="2377" t="e">
        <f>+C34/X34</f>
        <v>#REF!</v>
      </c>
    </row>
    <row r="35" spans="2:30" ht="15.75" customHeight="1" thickBot="1" x14ac:dyDescent="0.3">
      <c r="B35" s="2158" t="s">
        <v>132</v>
      </c>
      <c r="C35" s="2159"/>
      <c r="D35" s="2159"/>
      <c r="E35" s="2159"/>
      <c r="F35" s="2159"/>
      <c r="G35" s="2159"/>
      <c r="H35" s="2159"/>
      <c r="I35" s="2159"/>
      <c r="J35" s="2159"/>
      <c r="K35" s="2443"/>
      <c r="L35" s="2159"/>
      <c r="M35" s="2443"/>
      <c r="N35" s="2443"/>
      <c r="O35" s="2443"/>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444"/>
      <c r="L36" s="2134"/>
      <c r="M36" s="2444"/>
      <c r="N36" s="2444"/>
      <c r="O36" s="2444"/>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f>'CNG Table A'!$G$21</f>
        <v>1011721.7125900991</v>
      </c>
      <c r="D37" s="1108" t="e">
        <f>E37-C37</f>
        <v>#REF!</v>
      </c>
      <c r="E37" s="2461" t="e">
        <f>#REF!*1000</f>
        <v>#REF!</v>
      </c>
      <c r="F37" s="2461" t="e">
        <f>#REF!*1000</f>
        <v>#REF!</v>
      </c>
      <c r="G37" s="2461" t="e">
        <f>#REF!*1000</f>
        <v>#REF!</v>
      </c>
      <c r="H37" s="401">
        <f ca="1">SUM(C37/$C$75)</f>
        <v>6.948629529391985E-2</v>
      </c>
      <c r="I37" s="2137" t="e">
        <f>F37/C37</f>
        <v>#REF!</v>
      </c>
      <c r="J37" s="2137" t="e">
        <f>G37/E37</f>
        <v>#REF!</v>
      </c>
      <c r="K37" s="2467" t="e">
        <f>#REF!</f>
        <v>#REF!</v>
      </c>
      <c r="L37" s="354" t="s">
        <v>244</v>
      </c>
      <c r="M37" s="2467" t="e">
        <f>#REF!</f>
        <v>#REF!</v>
      </c>
      <c r="N37" s="2467" t="e">
        <f>#REF!</f>
        <v>#REF!</v>
      </c>
      <c r="O37" s="2467" t="e">
        <f>#REF!</f>
        <v>#REF!</v>
      </c>
      <c r="P37" s="2120" t="e">
        <f>C37/M37</f>
        <v>#REF!</v>
      </c>
      <c r="Q37" s="2378" t="e">
        <f>C37/N37</f>
        <v>#REF!</v>
      </c>
      <c r="R37" s="2378" t="e">
        <f t="shared" ref="R37:R48" si="9">C37/O37</f>
        <v>#REF!</v>
      </c>
      <c r="S37" s="2121"/>
      <c r="T37" s="2121"/>
      <c r="U37" s="2121"/>
      <c r="V37" s="2121"/>
      <c r="W37" s="2121" t="e">
        <f t="shared" ref="W37:X47" si="10">+(M37*102900+S37*138690+U37*91330)/10^6</f>
        <v>#REF!</v>
      </c>
      <c r="X37" s="2121" t="e">
        <f t="shared" si="10"/>
        <v>#REF!</v>
      </c>
      <c r="Y37" s="2120" t="e">
        <f>+C37/W37</f>
        <v>#REF!</v>
      </c>
      <c r="Z37" s="356" t="e">
        <f>+C37/X37</f>
        <v>#REF!</v>
      </c>
      <c r="AA37" s="295"/>
    </row>
    <row r="38" spans="2:30" s="284" customFormat="1" ht="15.75" customHeight="1" x14ac:dyDescent="0.2">
      <c r="B38" s="330" t="s">
        <v>130</v>
      </c>
      <c r="C38" s="331">
        <f>'SCG Table A'!$G$21</f>
        <v>822945.61635614105</v>
      </c>
      <c r="D38" s="874" t="e">
        <f>E38-C38</f>
        <v>#REF!</v>
      </c>
      <c r="E38" s="2461" t="e">
        <f>#REF!*1000</f>
        <v>#REF!</v>
      </c>
      <c r="F38" s="2461" t="e">
        <f>#REF!*1000</f>
        <v>#REF!</v>
      </c>
      <c r="G38" s="2461" t="e">
        <f>#REF!*1000</f>
        <v>#REF!</v>
      </c>
      <c r="H38" s="332">
        <f ca="1">SUM(C38/$C$76)</f>
        <v>6.9744699051009815E-2</v>
      </c>
      <c r="I38" s="333" t="e">
        <f>F38/C38</f>
        <v>#REF!</v>
      </c>
      <c r="J38" s="333" t="e">
        <f>G38/E38</f>
        <v>#REF!</v>
      </c>
      <c r="K38" s="2467" t="e">
        <f>#REF!</f>
        <v>#REF!</v>
      </c>
      <c r="L38" s="2337" t="s">
        <v>244</v>
      </c>
      <c r="M38" s="2467" t="e">
        <f>#REF!</f>
        <v>#REF!</v>
      </c>
      <c r="N38" s="2467" t="e">
        <f>#REF!</f>
        <v>#REF!</v>
      </c>
      <c r="O38" s="2467" t="e">
        <f>#REF!</f>
        <v>#REF!</v>
      </c>
      <c r="P38" s="335" t="e">
        <f>C38/M38</f>
        <v>#REF!</v>
      </c>
      <c r="Q38" s="2338" t="e">
        <f>C38/N38</f>
        <v>#REF!</v>
      </c>
      <c r="R38" s="2338" t="e">
        <f t="shared" si="9"/>
        <v>#REF!</v>
      </c>
      <c r="S38" s="804"/>
      <c r="T38" s="804"/>
      <c r="U38" s="804"/>
      <c r="V38" s="804"/>
      <c r="W38" s="804" t="e">
        <f t="shared" si="10"/>
        <v>#REF!</v>
      </c>
      <c r="X38" s="804" t="e">
        <f t="shared" si="10"/>
        <v>#REF!</v>
      </c>
      <c r="Y38" s="335" t="e">
        <f>+C38/W38</f>
        <v>#REF!</v>
      </c>
      <c r="Z38" s="358" t="e">
        <f>+C38/X38</f>
        <v>#REF!</v>
      </c>
      <c r="AA38" s="295"/>
    </row>
    <row r="39" spans="2:30" ht="18" customHeight="1" x14ac:dyDescent="0.25">
      <c r="B39" s="2366" t="s">
        <v>617</v>
      </c>
      <c r="C39" s="2330">
        <f>SUM(C36:C38)</f>
        <v>1834667.3289462402</v>
      </c>
      <c r="D39" s="2330" t="e">
        <f>SUM(D36:D38)</f>
        <v>#REF!</v>
      </c>
      <c r="E39" s="2330" t="e">
        <f>SUM(E36:E38)</f>
        <v>#REF!</v>
      </c>
      <c r="F39" s="2330" t="e">
        <f>SUM(F36:F38)</f>
        <v>#REF!</v>
      </c>
      <c r="G39" s="2330" t="e">
        <f>SUM(G36:G38)</f>
        <v>#REF!</v>
      </c>
      <c r="H39" s="2331">
        <f ca="1">SUM(C63/$C$77)</f>
        <v>0.31847362811688296</v>
      </c>
      <c r="I39" s="2332" t="e">
        <f>F63/C63</f>
        <v>#REF!</v>
      </c>
      <c r="J39" s="2332" t="e">
        <f>G63/E63</f>
        <v>#REF!</v>
      </c>
      <c r="K39" s="2439" t="e">
        <f>+K36+K37+K38</f>
        <v>#REF!</v>
      </c>
      <c r="L39" s="2330" t="s">
        <v>244</v>
      </c>
      <c r="M39" s="2447" t="e">
        <f>SUM(M36:M38)</f>
        <v>#REF!</v>
      </c>
      <c r="N39" s="2447" t="e">
        <f>SUM(N36:N38)</f>
        <v>#REF!</v>
      </c>
      <c r="O39" s="2447" t="e">
        <f>SUM(O36:O38)</f>
        <v>#REF!</v>
      </c>
      <c r="P39" s="2336" t="e">
        <f>C39/M39</f>
        <v>#REF!</v>
      </c>
      <c r="Q39" s="2339" t="e">
        <f>C39/N39</f>
        <v>#REF!</v>
      </c>
      <c r="R39" s="2339" t="e">
        <f t="shared" si="9"/>
        <v>#REF!</v>
      </c>
      <c r="S39" s="2335">
        <f>SUM(S36:S38)</f>
        <v>0</v>
      </c>
      <c r="T39" s="2335">
        <f>SUM(T36:T38)</f>
        <v>0</v>
      </c>
      <c r="U39" s="2335">
        <f>SUM(U36:U38)</f>
        <v>0</v>
      </c>
      <c r="V39" s="2335">
        <f>SUM(V36:V38)</f>
        <v>0</v>
      </c>
      <c r="W39" s="2333" t="e">
        <f t="shared" si="10"/>
        <v>#REF!</v>
      </c>
      <c r="X39" s="2333" t="e">
        <f t="shared" si="10"/>
        <v>#REF!</v>
      </c>
      <c r="Y39" s="2336" t="e">
        <f>+C39/W39</f>
        <v>#REF!</v>
      </c>
      <c r="Z39" s="2365" t="e">
        <f>+C39/X39</f>
        <v>#REF!</v>
      </c>
    </row>
    <row r="40" spans="2:30" s="284" customFormat="1" ht="15.75" hidden="1" customHeight="1" x14ac:dyDescent="0.2">
      <c r="B40" s="330" t="s">
        <v>133</v>
      </c>
      <c r="C40" s="331"/>
      <c r="D40" s="331"/>
      <c r="E40" s="331"/>
      <c r="F40" s="331"/>
      <c r="G40" s="331"/>
      <c r="H40" s="332"/>
      <c r="I40" s="333"/>
      <c r="J40" s="333"/>
      <c r="K40" s="2438"/>
      <c r="L40" s="2337"/>
      <c r="M40" s="2438"/>
      <c r="N40" s="2438"/>
      <c r="O40" s="2438"/>
      <c r="P40" s="335"/>
      <c r="Q40" s="2338"/>
      <c r="R40" s="2338" t="e">
        <f t="shared" si="9"/>
        <v>#DIV/0!</v>
      </c>
      <c r="S40" s="2337"/>
      <c r="T40" s="2337"/>
      <c r="U40" s="2337"/>
      <c r="V40" s="2337"/>
      <c r="W40" s="804">
        <f t="shared" si="10"/>
        <v>0</v>
      </c>
      <c r="X40" s="804">
        <f t="shared" si="10"/>
        <v>0</v>
      </c>
      <c r="Y40" s="335" t="s">
        <v>3</v>
      </c>
      <c r="Z40" s="358" t="s">
        <v>3</v>
      </c>
    </row>
    <row r="41" spans="2:30" s="284" customFormat="1" ht="15.75" customHeight="1" x14ac:dyDescent="0.2">
      <c r="B41" s="615" t="s">
        <v>582</v>
      </c>
      <c r="C41" s="331">
        <f>'CNG Table A'!$G$22</f>
        <v>536581.49806664698</v>
      </c>
      <c r="D41" s="874" t="e">
        <f>E41-C41</f>
        <v>#REF!</v>
      </c>
      <c r="E41" s="2461" t="e">
        <f>#REF!*1000</f>
        <v>#REF!</v>
      </c>
      <c r="F41" s="2461" t="e">
        <f>#REF!*1000</f>
        <v>#REF!</v>
      </c>
      <c r="G41" s="2461" t="e">
        <f>#REF!*1000</f>
        <v>#REF!</v>
      </c>
      <c r="H41" s="332">
        <f ca="1">SUM(C41/$C$75)</f>
        <v>3.6853079221221607E-2</v>
      </c>
      <c r="I41" s="333" t="e">
        <f>F41/C41</f>
        <v>#REF!</v>
      </c>
      <c r="J41" s="333" t="e">
        <f>G41/E41</f>
        <v>#REF!</v>
      </c>
      <c r="K41" s="2467" t="e">
        <f>#REF!</f>
        <v>#REF!</v>
      </c>
      <c r="L41" s="804" t="s">
        <v>244</v>
      </c>
      <c r="M41" s="2467" t="e">
        <f>#REF!</f>
        <v>#REF!</v>
      </c>
      <c r="N41" s="2467" t="e">
        <f>#REF!</f>
        <v>#REF!</v>
      </c>
      <c r="O41" s="2467" t="e">
        <f>#REF!</f>
        <v>#REF!</v>
      </c>
      <c r="P41" s="335" t="e">
        <f>C41/M41</f>
        <v>#REF!</v>
      </c>
      <c r="Q41" s="2338" t="e">
        <f>C41/N41</f>
        <v>#REF!</v>
      </c>
      <c r="R41" s="2338" t="e">
        <f t="shared" si="9"/>
        <v>#REF!</v>
      </c>
      <c r="S41" s="804"/>
      <c r="T41" s="804"/>
      <c r="U41" s="804"/>
      <c r="V41" s="804"/>
      <c r="W41" s="804" t="e">
        <f t="shared" si="10"/>
        <v>#REF!</v>
      </c>
      <c r="X41" s="804" t="e">
        <f t="shared" si="10"/>
        <v>#REF!</v>
      </c>
      <c r="Y41" s="335" t="e">
        <f>+C41/W41</f>
        <v>#REF!</v>
      </c>
      <c r="Z41" s="358" t="e">
        <f>+C41/X41</f>
        <v>#REF!</v>
      </c>
    </row>
    <row r="42" spans="2:30" s="284" customFormat="1" ht="16.5" customHeight="1" x14ac:dyDescent="0.2">
      <c r="B42" s="615" t="s">
        <v>583</v>
      </c>
      <c r="C42" s="331">
        <f>'SCG Table A'!$G$22</f>
        <v>369558.35938470898</v>
      </c>
      <c r="D42" s="874" t="e">
        <f>E42-C42</f>
        <v>#REF!</v>
      </c>
      <c r="E42" s="2461" t="e">
        <f>#REF!*1000</f>
        <v>#REF!</v>
      </c>
      <c r="F42" s="2461" t="e">
        <f>#REF!*1000</f>
        <v>#REF!</v>
      </c>
      <c r="G42" s="2461" t="e">
        <f>#REF!*1000</f>
        <v>#REF!</v>
      </c>
      <c r="H42" s="332">
        <f ca="1">SUM(C42/$C$76)</f>
        <v>3.1320097032896871E-2</v>
      </c>
      <c r="I42" s="333" t="e">
        <f>F42/C42</f>
        <v>#REF!</v>
      </c>
      <c r="J42" s="333" t="e">
        <f>G42/E42</f>
        <v>#REF!</v>
      </c>
      <c r="K42" s="2467" t="e">
        <f>#REF!</f>
        <v>#REF!</v>
      </c>
      <c r="L42" s="804" t="s">
        <v>244</v>
      </c>
      <c r="M42" s="2467" t="e">
        <f>#REF!</f>
        <v>#REF!</v>
      </c>
      <c r="N42" s="2467" t="e">
        <f>#REF!</f>
        <v>#REF!</v>
      </c>
      <c r="O42" s="2467" t="e">
        <f>#REF!</f>
        <v>#REF!</v>
      </c>
      <c r="P42" s="335" t="e">
        <f>C42/M42</f>
        <v>#REF!</v>
      </c>
      <c r="Q42" s="2338" t="e">
        <f>C42/N42</f>
        <v>#REF!</v>
      </c>
      <c r="R42" s="2338" t="e">
        <f t="shared" si="9"/>
        <v>#REF!</v>
      </c>
      <c r="S42" s="804"/>
      <c r="T42" s="804"/>
      <c r="U42" s="804"/>
      <c r="V42" s="804"/>
      <c r="W42" s="804" t="e">
        <f t="shared" si="10"/>
        <v>#REF!</v>
      </c>
      <c r="X42" s="804" t="e">
        <f t="shared" si="10"/>
        <v>#REF!</v>
      </c>
      <c r="Y42" s="335" t="e">
        <f>+C42/W42</f>
        <v>#REF!</v>
      </c>
      <c r="Z42" s="358" t="e">
        <f>+C42/X42</f>
        <v>#REF!</v>
      </c>
    </row>
    <row r="43" spans="2:30" ht="19.5" customHeight="1" x14ac:dyDescent="0.25">
      <c r="B43" s="2363" t="s">
        <v>136</v>
      </c>
      <c r="C43" s="2330">
        <f>SUM(C40:C42)</f>
        <v>906139.85745135602</v>
      </c>
      <c r="D43" s="2330" t="e">
        <f>SUM(D40:D42)</f>
        <v>#REF!</v>
      </c>
      <c r="E43" s="2330" t="e">
        <f>SUM(E41:E42)</f>
        <v>#REF!</v>
      </c>
      <c r="F43" s="2330" t="e">
        <f>SUM(F41:F42)</f>
        <v>#REF!</v>
      </c>
      <c r="G43" s="2330" t="e">
        <f>SUM(G41:G42)</f>
        <v>#REF!</v>
      </c>
      <c r="H43" s="2331">
        <f ca="1">SUM(C43/$C$77)</f>
        <v>3.4376322314875966E-2</v>
      </c>
      <c r="I43" s="2332" t="e">
        <f>F43/C43</f>
        <v>#REF!</v>
      </c>
      <c r="J43" s="2332" t="e">
        <f>G43/E43</f>
        <v>#REF!</v>
      </c>
      <c r="K43" s="2439" t="e">
        <f>SUM(K41:K42)</f>
        <v>#REF!</v>
      </c>
      <c r="L43" s="2330" t="s">
        <v>244</v>
      </c>
      <c r="M43" s="2447" t="e">
        <f>SUM(M40:M42)</f>
        <v>#REF!</v>
      </c>
      <c r="N43" s="2447" t="e">
        <f>SUM(N40:N42)</f>
        <v>#REF!</v>
      </c>
      <c r="O43" s="2447" t="e">
        <f>SUM(O40:O42)</f>
        <v>#REF!</v>
      </c>
      <c r="P43" s="2336" t="e">
        <f>C43/M43</f>
        <v>#REF!</v>
      </c>
      <c r="Q43" s="2339" t="e">
        <f>C43/N43</f>
        <v>#REF!</v>
      </c>
      <c r="R43" s="2339" t="e">
        <f t="shared" si="9"/>
        <v>#REF!</v>
      </c>
      <c r="S43" s="2335">
        <f>SUM(S40:S42)</f>
        <v>0</v>
      </c>
      <c r="T43" s="2335">
        <f>SUM(T40:T42)</f>
        <v>0</v>
      </c>
      <c r="U43" s="2335"/>
      <c r="V43" s="2335"/>
      <c r="W43" s="2333" t="e">
        <f t="shared" si="10"/>
        <v>#REF!</v>
      </c>
      <c r="X43" s="2333" t="e">
        <f t="shared" si="10"/>
        <v>#REF!</v>
      </c>
      <c r="Y43" s="2336" t="e">
        <f>+C43/W43</f>
        <v>#REF!</v>
      </c>
      <c r="Z43" s="2365" t="e">
        <f>+C43/X43</f>
        <v>#REF!</v>
      </c>
    </row>
    <row r="44" spans="2:30" ht="15.75" hidden="1" customHeight="1" x14ac:dyDescent="0.2">
      <c r="B44" s="330" t="s">
        <v>251</v>
      </c>
      <c r="C44" s="331"/>
      <c r="D44" s="331"/>
      <c r="E44" s="331"/>
      <c r="F44" s="331"/>
      <c r="G44" s="331"/>
      <c r="H44" s="332"/>
      <c r="I44" s="333"/>
      <c r="J44" s="333"/>
      <c r="K44" s="2438"/>
      <c r="L44" s="2337"/>
      <c r="M44" s="2438"/>
      <c r="N44" s="2438"/>
      <c r="O44" s="2438"/>
      <c r="P44" s="335"/>
      <c r="Q44" s="2338"/>
      <c r="R44" s="2338" t="e">
        <f t="shared" si="9"/>
        <v>#DIV/0!</v>
      </c>
      <c r="S44" s="2337"/>
      <c r="T44" s="2337"/>
      <c r="U44" s="2337"/>
      <c r="V44" s="2337"/>
      <c r="W44" s="804">
        <f t="shared" si="10"/>
        <v>0</v>
      </c>
      <c r="X44" s="804">
        <f t="shared" si="10"/>
        <v>0</v>
      </c>
      <c r="Y44" s="335" t="s">
        <v>3</v>
      </c>
      <c r="Z44" s="358" t="s">
        <v>3</v>
      </c>
    </row>
    <row r="45" spans="2:30" ht="15.75" customHeight="1" x14ac:dyDescent="0.2">
      <c r="B45" s="330" t="s">
        <v>252</v>
      </c>
      <c r="C45" s="331">
        <f>'CNG Table A'!$G$23</f>
        <v>433484.85750000004</v>
      </c>
      <c r="D45" s="874" t="e">
        <f>E45-C45</f>
        <v>#REF!</v>
      </c>
      <c r="E45" s="2461" t="e">
        <f>#REF!*1000</f>
        <v>#REF!</v>
      </c>
      <c r="F45" s="2461" t="e">
        <f>#REF!*1000</f>
        <v>#REF!</v>
      </c>
      <c r="G45" s="2461" t="e">
        <f>#REF!*1000</f>
        <v>#REF!</v>
      </c>
      <c r="H45" s="332">
        <f ca="1">SUM(C45/$C$75)</f>
        <v>2.9772274765730421E-2</v>
      </c>
      <c r="I45" s="333" t="e">
        <f>F45/C45</f>
        <v>#REF!</v>
      </c>
      <c r="J45" s="333" t="e">
        <f>G45/E45</f>
        <v>#REF!</v>
      </c>
      <c r="K45" s="2467" t="e">
        <f>#REF!</f>
        <v>#REF!</v>
      </c>
      <c r="L45" s="804" t="s">
        <v>244</v>
      </c>
      <c r="M45" s="2467" t="e">
        <f>#REF!</f>
        <v>#REF!</v>
      </c>
      <c r="N45" s="2467" t="e">
        <f>#REF!</f>
        <v>#REF!</v>
      </c>
      <c r="O45" s="2467" t="e">
        <f>#REF!</f>
        <v>#REF!</v>
      </c>
      <c r="P45" s="335" t="e">
        <f>C45/M45</f>
        <v>#REF!</v>
      </c>
      <c r="Q45" s="2338" t="e">
        <f>C45/N45</f>
        <v>#REF!</v>
      </c>
      <c r="R45" s="2338" t="e">
        <f t="shared" si="9"/>
        <v>#REF!</v>
      </c>
      <c r="S45" s="804"/>
      <c r="T45" s="804"/>
      <c r="U45" s="804"/>
      <c r="V45" s="804"/>
      <c r="W45" s="804" t="e">
        <f t="shared" si="10"/>
        <v>#REF!</v>
      </c>
      <c r="X45" s="804" t="e">
        <f t="shared" si="10"/>
        <v>#REF!</v>
      </c>
      <c r="Y45" s="335" t="e">
        <f>+C45/W45</f>
        <v>#REF!</v>
      </c>
      <c r="Z45" s="358" t="e">
        <f>+C45/X45</f>
        <v>#REF!</v>
      </c>
    </row>
    <row r="46" spans="2:30" ht="15.75" customHeight="1" x14ac:dyDescent="0.2">
      <c r="B46" s="330" t="s">
        <v>253</v>
      </c>
      <c r="C46" s="331">
        <f>'SCG Table A'!$G$23</f>
        <v>314296.37</v>
      </c>
      <c r="D46" s="874" t="e">
        <f>E46-C46</f>
        <v>#REF!</v>
      </c>
      <c r="E46" s="2461" t="e">
        <f>#REF!*1000</f>
        <v>#REF!</v>
      </c>
      <c r="F46" s="2461" t="e">
        <f>#REF!*1000</f>
        <v>#REF!</v>
      </c>
      <c r="G46" s="2461" t="e">
        <f>#REF!*1000</f>
        <v>#REF!</v>
      </c>
      <c r="H46" s="332">
        <f ca="1">SUM(C46/$C$76)</f>
        <v>2.6636639533405608E-2</v>
      </c>
      <c r="I46" s="333" t="e">
        <f>F46/C46</f>
        <v>#REF!</v>
      </c>
      <c r="J46" s="333" t="e">
        <f>G46/E46</f>
        <v>#REF!</v>
      </c>
      <c r="K46" s="2467" t="e">
        <v>#REF!</v>
      </c>
      <c r="L46" s="804" t="s">
        <v>244</v>
      </c>
      <c r="M46" s="2467" t="e">
        <f>#REF!</f>
        <v>#REF!</v>
      </c>
      <c r="N46" s="2467" t="e">
        <f>#REF!</f>
        <v>#REF!</v>
      </c>
      <c r="O46" s="2467" t="e">
        <f>#REF!</f>
        <v>#REF!</v>
      </c>
      <c r="P46" s="335" t="e">
        <f>C46/M46</f>
        <v>#REF!</v>
      </c>
      <c r="Q46" s="2338" t="e">
        <f>C46/N46</f>
        <v>#REF!</v>
      </c>
      <c r="R46" s="2338" t="e">
        <f t="shared" si="9"/>
        <v>#REF!</v>
      </c>
      <c r="S46" s="804"/>
      <c r="T46" s="804"/>
      <c r="U46" s="804"/>
      <c r="V46" s="804"/>
      <c r="W46" s="804" t="e">
        <f t="shared" si="10"/>
        <v>#REF!</v>
      </c>
      <c r="X46" s="804" t="e">
        <f t="shared" si="10"/>
        <v>#REF!</v>
      </c>
      <c r="Y46" s="335" t="e">
        <f>+C46/W46</f>
        <v>#REF!</v>
      </c>
      <c r="Z46" s="358" t="e">
        <f>+C46/X46</f>
        <v>#REF!</v>
      </c>
    </row>
    <row r="47" spans="2:30" ht="19.5" customHeight="1" x14ac:dyDescent="0.25">
      <c r="B47" s="2363" t="s">
        <v>302</v>
      </c>
      <c r="C47" s="2330">
        <f>SUM(C44:C46)</f>
        <v>747781.22750000004</v>
      </c>
      <c r="D47" s="2330" t="e">
        <f>SUM(D44:D46)</f>
        <v>#REF!</v>
      </c>
      <c r="E47" s="2330" t="e">
        <f>SUM(E44:E46)</f>
        <v>#REF!</v>
      </c>
      <c r="F47" s="2330" t="e">
        <f>SUM(F44:F46)</f>
        <v>#REF!</v>
      </c>
      <c r="G47" s="2330" t="e">
        <f>SUM(G44:G46)</f>
        <v>#REF!</v>
      </c>
      <c r="H47" s="2331">
        <f ca="1">SUM(C47/$C$77)</f>
        <v>2.8368654447951551E-2</v>
      </c>
      <c r="I47" s="2332" t="e">
        <f>F47/C47</f>
        <v>#REF!</v>
      </c>
      <c r="J47" s="2332" t="e">
        <f>G47/E47</f>
        <v>#REF!</v>
      </c>
      <c r="K47" s="2439" t="e">
        <f>SUM(K44:K46)</f>
        <v>#REF!</v>
      </c>
      <c r="L47" s="2330" t="s">
        <v>244</v>
      </c>
      <c r="M47" s="2447" t="e">
        <f>SUM(M44:M46)</f>
        <v>#REF!</v>
      </c>
      <c r="N47" s="2447" t="e">
        <f>SUM(N44:N46)</f>
        <v>#REF!</v>
      </c>
      <c r="O47" s="2447" t="e">
        <f>SUM(O44:O46)</f>
        <v>#REF!</v>
      </c>
      <c r="P47" s="2336" t="e">
        <f>C47/M47</f>
        <v>#REF!</v>
      </c>
      <c r="Q47" s="2339" t="e">
        <f>C47/N47</f>
        <v>#REF!</v>
      </c>
      <c r="R47" s="2339" t="e">
        <f t="shared" si="9"/>
        <v>#REF!</v>
      </c>
      <c r="S47" s="2335">
        <f>SUM(S44:S46)</f>
        <v>0</v>
      </c>
      <c r="T47" s="2335">
        <f>SUM(T44:T46)</f>
        <v>0</v>
      </c>
      <c r="U47" s="2335">
        <f>SUM(U44:U46)</f>
        <v>0</v>
      </c>
      <c r="V47" s="2335">
        <f>SUM(V44:V46)</f>
        <v>0</v>
      </c>
      <c r="W47" s="2333" t="e">
        <f t="shared" si="10"/>
        <v>#REF!</v>
      </c>
      <c r="X47" s="2333" t="e">
        <f t="shared" si="10"/>
        <v>#REF!</v>
      </c>
      <c r="Y47" s="2336" t="e">
        <f>+C47/W47</f>
        <v>#REF!</v>
      </c>
      <c r="Z47" s="2365" t="e">
        <f>+C47/X47</f>
        <v>#REF!</v>
      </c>
    </row>
    <row r="48" spans="2:30" ht="15.75" customHeight="1" thickBot="1" x14ac:dyDescent="0.3">
      <c r="B48" s="2369" t="s">
        <v>127</v>
      </c>
      <c r="C48" s="2370">
        <f>+C47+C43+C39+C34</f>
        <v>6398169.7950539961</v>
      </c>
      <c r="D48" s="2370" t="e">
        <f>D47+D43+D39+D34</f>
        <v>#REF!</v>
      </c>
      <c r="E48" s="2370" t="e">
        <f>+E47+E43+E39+E34</f>
        <v>#REF!</v>
      </c>
      <c r="F48" s="2370" t="e">
        <f>+F47+F43+F39+F34</f>
        <v>#REF!</v>
      </c>
      <c r="G48" s="2370" t="e">
        <f>+G47+G43+G39+G34</f>
        <v>#REF!</v>
      </c>
      <c r="H48" s="2371">
        <f ca="1">SUM(C48/C77)</f>
        <v>0.24272803507254104</v>
      </c>
      <c r="I48" s="2372" t="e">
        <f>F48/C48</f>
        <v>#REF!</v>
      </c>
      <c r="J48" s="2372" t="e">
        <f>G48/E48</f>
        <v>#REF!</v>
      </c>
      <c r="K48" s="2446" t="e">
        <f>K47+K43+K63+K34</f>
        <v>#REF!</v>
      </c>
      <c r="L48" s="2379" t="s">
        <v>244</v>
      </c>
      <c r="M48" s="2450" t="e">
        <f>M47+M43+M39+M34</f>
        <v>#REF!</v>
      </c>
      <c r="N48" s="2451" t="e">
        <f>N47+N43+N39+N34</f>
        <v>#REF!</v>
      </c>
      <c r="O48" s="2451" t="e">
        <f>O47+O43+O39+O34</f>
        <v>#REF!</v>
      </c>
      <c r="P48" s="2376" t="e">
        <f>C48/M48</f>
        <v>#REF!</v>
      </c>
      <c r="Q48" s="2376" t="e">
        <f>C48/N48</f>
        <v>#REF!</v>
      </c>
      <c r="R48" s="2376" t="e">
        <f t="shared" si="9"/>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f>'CNG Table A'!G39</f>
        <v>156292</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f>'SCG Table A'!G39</f>
        <v>211292</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f>SUM(C51:C53)</f>
        <v>367584</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f ca="1">'CNG Table A'!G34+'CNG Table A'!G50</f>
        <v>2318457.6896213512</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f ca="1">'SCG Table A'!G34+'SCG Table A'!G50</f>
        <v>2158974.03212704</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f ca="1">SUM(C55:C57)</f>
        <v>4477431.7217483912</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f ca="1">C54+C58</f>
        <v>4845015.7217483912</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1">SUM(C62/M62)</f>
        <v>#DIV/0!</v>
      </c>
      <c r="Q62" s="329" t="e">
        <f t="shared" ref="Q62:R69" si="12">SUM(C62/N62)</f>
        <v>#DIV/0!</v>
      </c>
      <c r="R62" s="329" t="e">
        <f t="shared" si="12"/>
        <v>#DIV/0!</v>
      </c>
      <c r="S62" s="2117"/>
      <c r="T62" s="2117"/>
      <c r="U62" s="2117"/>
      <c r="V62" s="2117"/>
      <c r="W62" s="2119">
        <f>+(M62*102900+S62*138690+U62*91330)/10^6</f>
        <v>0</v>
      </c>
      <c r="X62" s="2119">
        <f>+(N62*102900+T62*138690+V62*91330)/10^6</f>
        <v>0</v>
      </c>
      <c r="Y62" s="2118" t="s">
        <v>3</v>
      </c>
      <c r="Z62" s="1997" t="s">
        <v>3</v>
      </c>
    </row>
    <row r="63" spans="2:27" s="284" customFormat="1" ht="15.75" x14ac:dyDescent="0.25">
      <c r="B63" s="434" t="s">
        <v>92</v>
      </c>
      <c r="C63" s="351">
        <f t="shared" ref="C63:G64" si="13">C7+C11+C15+C18+C21+C25</f>
        <v>8394779.5619477313</v>
      </c>
      <c r="D63" s="351" t="e">
        <f t="shared" si="13"/>
        <v>#REF!</v>
      </c>
      <c r="E63" s="351" t="e">
        <f t="shared" si="13"/>
        <v>#REF!</v>
      </c>
      <c r="F63" s="351" t="e">
        <f t="shared" si="13"/>
        <v>#REF!</v>
      </c>
      <c r="G63" s="351" t="e">
        <f t="shared" si="13"/>
        <v>#REF!</v>
      </c>
      <c r="H63" s="497">
        <f ca="1">SUM(C63/$C$75)</f>
        <v>0.57656381622522046</v>
      </c>
      <c r="I63" s="400"/>
      <c r="J63" s="400"/>
      <c r="K63" s="2471" t="e">
        <f>K7+K11+K15+K18+K21+K25</f>
        <v>#REF!</v>
      </c>
      <c r="L63" s="400"/>
      <c r="M63" s="424" t="e">
        <f t="shared" ref="M63:O64" si="14">M7+M11+M15+M18+M21+M25</f>
        <v>#REF!</v>
      </c>
      <c r="N63" s="424" t="e">
        <f t="shared" si="14"/>
        <v>#REF!</v>
      </c>
      <c r="O63" s="424" t="e">
        <f t="shared" si="14"/>
        <v>#REF!</v>
      </c>
      <c r="P63" s="2120" t="e">
        <f t="shared" si="11"/>
        <v>#REF!</v>
      </c>
      <c r="Q63" s="2378" t="e">
        <f t="shared" si="12"/>
        <v>#REF!</v>
      </c>
      <c r="R63" s="2378" t="e">
        <f t="shared" ref="R63:R69" si="15">C63/O63</f>
        <v>#REF!</v>
      </c>
      <c r="S63" s="424">
        <f t="shared" ref="S63:X64" si="16">S7+S11+S15+S18+S21+S25</f>
        <v>0</v>
      </c>
      <c r="T63" s="424">
        <f t="shared" si="16"/>
        <v>0</v>
      </c>
      <c r="U63" s="424">
        <f t="shared" si="16"/>
        <v>0</v>
      </c>
      <c r="V63" s="424">
        <f t="shared" si="16"/>
        <v>0</v>
      </c>
      <c r="W63" s="2121" t="e">
        <f t="shared" si="16"/>
        <v>#REF!</v>
      </c>
      <c r="X63" s="2121" t="e">
        <f t="shared" si="16"/>
        <v>#REF!</v>
      </c>
      <c r="Y63" s="2120" t="e">
        <f>+C63/W63</f>
        <v>#REF!</v>
      </c>
      <c r="Z63" s="356" t="e">
        <f>+C63/X63</f>
        <v>#REF!</v>
      </c>
    </row>
    <row r="64" spans="2:27" s="284" customFormat="1" ht="19.5" customHeight="1" x14ac:dyDescent="0.25">
      <c r="B64" s="437" t="s">
        <v>93</v>
      </c>
      <c r="C64" s="331">
        <f>C8+C12+C16+C19+C22</f>
        <v>6721453.161264291</v>
      </c>
      <c r="D64" s="331" t="e">
        <f t="shared" si="13"/>
        <v>#REF!</v>
      </c>
      <c r="E64" s="331" t="e">
        <f t="shared" si="13"/>
        <v>#REF!</v>
      </c>
      <c r="F64" s="331" t="e">
        <f t="shared" si="13"/>
        <v>#REF!</v>
      </c>
      <c r="G64" s="331" t="e">
        <f t="shared" si="13"/>
        <v>#REF!</v>
      </c>
      <c r="H64" s="494">
        <f ca="1">SUM(C64/$C$76)</f>
        <v>0.56964362966478588</v>
      </c>
      <c r="I64" s="402"/>
      <c r="J64" s="402"/>
      <c r="K64" s="2472" t="e">
        <f>K8+K12+K16+K19+K22+K26</f>
        <v>#REF!</v>
      </c>
      <c r="L64" s="402"/>
      <c r="M64" s="2350" t="e">
        <f t="shared" si="14"/>
        <v>#REF!</v>
      </c>
      <c r="N64" s="2350" t="e">
        <f t="shared" si="14"/>
        <v>#REF!</v>
      </c>
      <c r="O64" s="2350" t="e">
        <f t="shared" si="14"/>
        <v>#REF!</v>
      </c>
      <c r="P64" s="335" t="e">
        <f t="shared" si="11"/>
        <v>#REF!</v>
      </c>
      <c r="Q64" s="2338" t="e">
        <f t="shared" si="12"/>
        <v>#REF!</v>
      </c>
      <c r="R64" s="2338" t="e">
        <f t="shared" si="15"/>
        <v>#REF!</v>
      </c>
      <c r="S64" s="2350">
        <f t="shared" si="16"/>
        <v>0</v>
      </c>
      <c r="T64" s="2350">
        <f t="shared" si="16"/>
        <v>0</v>
      </c>
      <c r="U64" s="2350">
        <f t="shared" si="16"/>
        <v>0</v>
      </c>
      <c r="V64" s="2350">
        <f t="shared" si="16"/>
        <v>0</v>
      </c>
      <c r="W64" s="804" t="e">
        <f t="shared" si="16"/>
        <v>#REF!</v>
      </c>
      <c r="X64" s="804" t="e">
        <f t="shared" si="16"/>
        <v>#REF!</v>
      </c>
      <c r="Y64" s="335" t="e">
        <f>+C64/W64</f>
        <v>#REF!</v>
      </c>
      <c r="Z64" s="358" t="e">
        <f>+C64/X64</f>
        <v>#REF!</v>
      </c>
    </row>
    <row r="65" spans="2:26" ht="15.75" x14ac:dyDescent="0.25">
      <c r="B65" s="2363" t="s">
        <v>94</v>
      </c>
      <c r="C65" s="2347">
        <f>SUM(C62:C64)</f>
        <v>15116232.723212022</v>
      </c>
      <c r="D65" s="2347" t="e">
        <f>SUM(D62:D64)</f>
        <v>#REF!</v>
      </c>
      <c r="E65" s="2347" t="e">
        <f>SUM(E62:E64)</f>
        <v>#REF!</v>
      </c>
      <c r="F65" s="2347" t="e">
        <f>SUM(F62:F64)</f>
        <v>#REF!</v>
      </c>
      <c r="G65" s="2347" t="e">
        <f>SUM(G62:G64)</f>
        <v>#REF!</v>
      </c>
      <c r="H65" s="2351">
        <f ca="1">SUM(C65/$C$77)</f>
        <v>0.57346609798334292</v>
      </c>
      <c r="I65" s="402"/>
      <c r="J65" s="402"/>
      <c r="K65" s="2335" t="e">
        <f>SUM(K62:K64)</f>
        <v>#REF!</v>
      </c>
      <c r="L65" s="402"/>
      <c r="M65" s="2352" t="e">
        <f>SUM(M62:M64)</f>
        <v>#REF!</v>
      </c>
      <c r="N65" s="2352" t="e">
        <f>SUM(N62:N64)</f>
        <v>#REF!</v>
      </c>
      <c r="O65" s="2352" t="e">
        <f>SUM(O62:O64)</f>
        <v>#REF!</v>
      </c>
      <c r="P65" s="2336" t="e">
        <f t="shared" si="11"/>
        <v>#REF!</v>
      </c>
      <c r="Q65" s="2339" t="e">
        <f t="shared" si="12"/>
        <v>#REF!</v>
      </c>
      <c r="R65" s="2339" t="e">
        <f t="shared" si="15"/>
        <v>#REF!</v>
      </c>
      <c r="S65" s="2352">
        <f>SUM(S62:S64)</f>
        <v>0</v>
      </c>
      <c r="T65" s="2352">
        <f>SUM(T62:T64)</f>
        <v>0</v>
      </c>
      <c r="U65" s="2352">
        <f>SUM(U62:U64)</f>
        <v>0</v>
      </c>
      <c r="V65" s="2352">
        <f>SUM(V62:V64)</f>
        <v>0</v>
      </c>
      <c r="W65" s="2333" t="e">
        <f t="shared" ref="W65:X77" si="17">+(M65*102900+S65*138690+U65*91330)/10^6</f>
        <v>#REF!</v>
      </c>
      <c r="X65" s="2333" t="e">
        <f t="shared" si="17"/>
        <v>#REF!</v>
      </c>
      <c r="Y65" s="2336" t="e">
        <f>+C65/W65</f>
        <v>#REF!</v>
      </c>
      <c r="Z65" s="2365" t="e">
        <f>+C65/X65</f>
        <v>#REF!</v>
      </c>
    </row>
    <row r="66" spans="2:26" s="284" customFormat="1" ht="15.75" hidden="1" x14ac:dyDescent="0.25">
      <c r="B66" s="437" t="s">
        <v>95</v>
      </c>
      <c r="C66" s="331">
        <f t="shared" ref="C66:G68" si="18">C31+C36+C40+C44</f>
        <v>0</v>
      </c>
      <c r="D66" s="331">
        <f t="shared" si="18"/>
        <v>0</v>
      </c>
      <c r="E66" s="331">
        <f t="shared" si="18"/>
        <v>0</v>
      </c>
      <c r="F66" s="331">
        <f t="shared" si="18"/>
        <v>0</v>
      </c>
      <c r="G66" s="331">
        <f t="shared" si="18"/>
        <v>0</v>
      </c>
      <c r="H66" s="494" t="e">
        <f>SUM(C66/$C$74)</f>
        <v>#DIV/0!</v>
      </c>
      <c r="I66" s="402"/>
      <c r="J66" s="402"/>
      <c r="K66" s="2472">
        <f>K31+K36+K40+K44</f>
        <v>0</v>
      </c>
      <c r="L66" s="402"/>
      <c r="M66" s="2350">
        <f t="shared" ref="M66:O68" si="19">M31+M36+M40+M44</f>
        <v>0</v>
      </c>
      <c r="N66" s="2350">
        <f t="shared" si="19"/>
        <v>0</v>
      </c>
      <c r="O66" s="2350">
        <f t="shared" si="19"/>
        <v>0</v>
      </c>
      <c r="P66" s="438" t="e">
        <f t="shared" si="11"/>
        <v>#DIV/0!</v>
      </c>
      <c r="Q66" s="438" t="e">
        <f t="shared" si="12"/>
        <v>#DIV/0!</v>
      </c>
      <c r="R66" s="438" t="e">
        <f t="shared" si="15"/>
        <v>#DIV/0!</v>
      </c>
      <c r="S66" s="402"/>
      <c r="T66" s="402"/>
      <c r="U66" s="402"/>
      <c r="V66" s="402"/>
      <c r="W66" s="804">
        <f t="shared" si="17"/>
        <v>0</v>
      </c>
      <c r="X66" s="804">
        <f t="shared" si="17"/>
        <v>0</v>
      </c>
      <c r="Y66" s="2008" t="s">
        <v>3</v>
      </c>
      <c r="Z66" s="2009" t="s">
        <v>3</v>
      </c>
    </row>
    <row r="67" spans="2:26" s="284" customFormat="1" ht="15.75" x14ac:dyDescent="0.25">
      <c r="B67" s="437" t="s">
        <v>96</v>
      </c>
      <c r="C67" s="331">
        <f t="shared" si="18"/>
        <v>3690488.7823557458</v>
      </c>
      <c r="D67" s="331" t="e">
        <f t="shared" si="18"/>
        <v>#REF!</v>
      </c>
      <c r="E67" s="331" t="e">
        <f t="shared" si="18"/>
        <v>#REF!</v>
      </c>
      <c r="F67" s="331" t="e">
        <f t="shared" si="18"/>
        <v>#REF!</v>
      </c>
      <c r="G67" s="331" t="e">
        <f t="shared" si="18"/>
        <v>#REF!</v>
      </c>
      <c r="H67" s="494">
        <f ca="1">SUM(C67/$C$75)</f>
        <v>0.25346732220776858</v>
      </c>
      <c r="I67" s="402"/>
      <c r="J67" s="402"/>
      <c r="K67" s="2472" t="e">
        <f>K32+K37+K41+K45</f>
        <v>#REF!</v>
      </c>
      <c r="L67" s="402"/>
      <c r="M67" s="2350" t="e">
        <f t="shared" si="19"/>
        <v>#REF!</v>
      </c>
      <c r="N67" s="2350" t="e">
        <f t="shared" si="19"/>
        <v>#REF!</v>
      </c>
      <c r="O67" s="2350" t="e">
        <f t="shared" si="19"/>
        <v>#REF!</v>
      </c>
      <c r="P67" s="438" t="e">
        <f t="shared" si="11"/>
        <v>#REF!</v>
      </c>
      <c r="Q67" s="438" t="e">
        <f t="shared" si="12"/>
        <v>#REF!</v>
      </c>
      <c r="R67" s="438" t="e">
        <f t="shared" si="15"/>
        <v>#REF!</v>
      </c>
      <c r="S67" s="2350">
        <f>S32+S37+S41+S45</f>
        <v>0</v>
      </c>
      <c r="T67" s="2350">
        <f>T32+T37+T41+T45</f>
        <v>0</v>
      </c>
      <c r="U67" s="2350"/>
      <c r="V67" s="2350"/>
      <c r="W67" s="804" t="e">
        <f t="shared" si="17"/>
        <v>#REF!</v>
      </c>
      <c r="X67" s="804" t="e">
        <f t="shared" si="17"/>
        <v>#REF!</v>
      </c>
      <c r="Y67" s="335" t="e">
        <f>+C67/W67</f>
        <v>#REF!</v>
      </c>
      <c r="Z67" s="358" t="e">
        <f>+C67/X67</f>
        <v>#REF!</v>
      </c>
    </row>
    <row r="68" spans="2:26" s="284" customFormat="1" ht="15.75" x14ac:dyDescent="0.25">
      <c r="B68" s="437" t="s">
        <v>97</v>
      </c>
      <c r="C68" s="331">
        <f t="shared" si="18"/>
        <v>2707681.0126982504</v>
      </c>
      <c r="D68" s="331" t="e">
        <f t="shared" si="18"/>
        <v>#REF!</v>
      </c>
      <c r="E68" s="331" t="e">
        <f t="shared" si="18"/>
        <v>#REF!</v>
      </c>
      <c r="F68" s="331" t="e">
        <f t="shared" si="18"/>
        <v>#REF!</v>
      </c>
      <c r="G68" s="331" t="e">
        <f t="shared" si="18"/>
        <v>#REF!</v>
      </c>
      <c r="H68" s="494">
        <f ca="1">SUM(C68/$C$76)</f>
        <v>0.22947615687285841</v>
      </c>
      <c r="I68" s="402"/>
      <c r="J68" s="402"/>
      <c r="K68" s="2472" t="e">
        <f>K33+K38+K42+K46</f>
        <v>#REF!</v>
      </c>
      <c r="L68" s="402"/>
      <c r="M68" s="2350" t="e">
        <f t="shared" si="19"/>
        <v>#REF!</v>
      </c>
      <c r="N68" s="2350" t="e">
        <f t="shared" si="19"/>
        <v>#REF!</v>
      </c>
      <c r="O68" s="2350" t="e">
        <f t="shared" si="19"/>
        <v>#REF!</v>
      </c>
      <c r="P68" s="438" t="e">
        <f t="shared" si="11"/>
        <v>#REF!</v>
      </c>
      <c r="Q68" s="438" t="e">
        <f t="shared" si="12"/>
        <v>#REF!</v>
      </c>
      <c r="R68" s="438" t="e">
        <f t="shared" si="15"/>
        <v>#REF!</v>
      </c>
      <c r="S68" s="2350">
        <f>S33+S38+S42+S46</f>
        <v>0</v>
      </c>
      <c r="T68" s="2350">
        <f>T33+T38+T42+T46</f>
        <v>0</v>
      </c>
      <c r="U68" s="2350"/>
      <c r="V68" s="2350"/>
      <c r="W68" s="804" t="e">
        <f t="shared" si="17"/>
        <v>#REF!</v>
      </c>
      <c r="X68" s="804" t="e">
        <f t="shared" si="17"/>
        <v>#REF!</v>
      </c>
      <c r="Y68" s="335" t="e">
        <f>+C68/W68</f>
        <v>#REF!</v>
      </c>
      <c r="Z68" s="358" t="e">
        <f>+C68/X68</f>
        <v>#REF!</v>
      </c>
    </row>
    <row r="69" spans="2:26" ht="15.75" x14ac:dyDescent="0.25">
      <c r="B69" s="2363" t="s">
        <v>98</v>
      </c>
      <c r="C69" s="2347">
        <f>SUM(C66:C68)</f>
        <v>6398169.7950539961</v>
      </c>
      <c r="D69" s="2347" t="e">
        <f>SUM(D66:D68)</f>
        <v>#REF!</v>
      </c>
      <c r="E69" s="2347" t="e">
        <f>SUM(E66:E68)</f>
        <v>#REF!</v>
      </c>
      <c r="F69" s="2347" t="e">
        <f>SUM(F66:F68)</f>
        <v>#REF!</v>
      </c>
      <c r="G69" s="2347" t="e">
        <f>SUM(G66:G68)</f>
        <v>#REF!</v>
      </c>
      <c r="H69" s="2351">
        <f ca="1">SUM(C69/$C$77)</f>
        <v>0.24272803507254104</v>
      </c>
      <c r="I69" s="402"/>
      <c r="J69" s="402"/>
      <c r="K69" s="2335" t="e">
        <f>SUM(K66:K68)</f>
        <v>#REF!</v>
      </c>
      <c r="L69" s="402"/>
      <c r="M69" s="2352" t="e">
        <f>SUM(M66:M68)</f>
        <v>#REF!</v>
      </c>
      <c r="N69" s="2352" t="e">
        <f>SUM(N66:N68)</f>
        <v>#REF!</v>
      </c>
      <c r="O69" s="2352" t="e">
        <f>SUM(O66:O68)</f>
        <v>#REF!</v>
      </c>
      <c r="P69" s="2353" t="e">
        <f t="shared" si="11"/>
        <v>#REF!</v>
      </c>
      <c r="Q69" s="2353" t="e">
        <f t="shared" si="12"/>
        <v>#REF!</v>
      </c>
      <c r="R69" s="2353" t="e">
        <f t="shared" si="15"/>
        <v>#REF!</v>
      </c>
      <c r="S69" s="2352">
        <f>SUM(S66:S68)</f>
        <v>0</v>
      </c>
      <c r="T69" s="2352">
        <f>SUM(T66:T68)</f>
        <v>0</v>
      </c>
      <c r="U69" s="2352"/>
      <c r="V69" s="2352"/>
      <c r="W69" s="2333" t="e">
        <f t="shared" si="17"/>
        <v>#REF!</v>
      </c>
      <c r="X69" s="2333" t="e">
        <f t="shared" si="17"/>
        <v>#REF!</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17"/>
        <v>0</v>
      </c>
      <c r="X70" s="804">
        <f t="shared" si="17"/>
        <v>0</v>
      </c>
      <c r="Y70" s="2029"/>
      <c r="Z70" s="439"/>
    </row>
    <row r="71" spans="2:26" s="284" customFormat="1" ht="15.75" x14ac:dyDescent="0.25">
      <c r="B71" s="437" t="s">
        <v>100</v>
      </c>
      <c r="C71" s="331">
        <f ca="1">C52+C56</f>
        <v>2474749.6896213512</v>
      </c>
      <c r="D71" s="331"/>
      <c r="E71" s="331"/>
      <c r="F71" s="331"/>
      <c r="G71" s="331"/>
      <c r="H71" s="494">
        <f ca="1">SUM(C71/$C$75)</f>
        <v>0.16996886156701088</v>
      </c>
      <c r="I71" s="402"/>
      <c r="J71" s="402"/>
      <c r="K71" s="814"/>
      <c r="L71" s="402"/>
      <c r="M71" s="450"/>
      <c r="N71" s="450"/>
      <c r="O71" s="450"/>
      <c r="P71" s="450"/>
      <c r="Q71" s="438"/>
      <c r="R71" s="438"/>
      <c r="S71" s="402"/>
      <c r="T71" s="402"/>
      <c r="U71" s="402"/>
      <c r="V71" s="402"/>
      <c r="W71" s="804">
        <f t="shared" si="17"/>
        <v>0</v>
      </c>
      <c r="X71" s="804">
        <f t="shared" si="17"/>
        <v>0</v>
      </c>
      <c r="Y71" s="450"/>
      <c r="Z71" s="439"/>
    </row>
    <row r="72" spans="2:26" s="284" customFormat="1" ht="15.75" x14ac:dyDescent="0.25">
      <c r="B72" s="437" t="s">
        <v>101</v>
      </c>
      <c r="C72" s="331">
        <f ca="1">C53+C57</f>
        <v>2370266.03212704</v>
      </c>
      <c r="D72" s="331"/>
      <c r="E72" s="331"/>
      <c r="F72" s="331"/>
      <c r="G72" s="331"/>
      <c r="H72" s="494">
        <f ca="1">SUM(C72/$C$76)</f>
        <v>0.20088021346235579</v>
      </c>
      <c r="I72" s="402"/>
      <c r="J72" s="402"/>
      <c r="K72" s="814"/>
      <c r="L72" s="402"/>
      <c r="M72" s="450"/>
      <c r="N72" s="450"/>
      <c r="O72" s="450"/>
      <c r="P72" s="450"/>
      <c r="Q72" s="438"/>
      <c r="R72" s="438"/>
      <c r="S72" s="402"/>
      <c r="T72" s="402"/>
      <c r="U72" s="402"/>
      <c r="V72" s="402"/>
      <c r="W72" s="804">
        <f t="shared" si="17"/>
        <v>0</v>
      </c>
      <c r="X72" s="804">
        <f t="shared" si="17"/>
        <v>0</v>
      </c>
      <c r="Y72" s="450"/>
      <c r="Z72" s="439"/>
    </row>
    <row r="73" spans="2:26" s="284" customFormat="1" ht="15.75" x14ac:dyDescent="0.25">
      <c r="B73" s="2363" t="s">
        <v>102</v>
      </c>
      <c r="C73" s="2347">
        <f ca="1">SUM(C70:C72)</f>
        <v>4845015.7217483912</v>
      </c>
      <c r="D73" s="2347">
        <f>SUM(D70:D72)</f>
        <v>0</v>
      </c>
      <c r="E73" s="2347">
        <f>SUM(E70:E72)</f>
        <v>0</v>
      </c>
      <c r="F73" s="2347">
        <f>SUM(F70:F72)</f>
        <v>0</v>
      </c>
      <c r="G73" s="2347">
        <f>SUM(G70:G72)</f>
        <v>0</v>
      </c>
      <c r="H73" s="2351">
        <f ca="1">SUM(C73/$C$77)</f>
        <v>0.18380586694411591</v>
      </c>
      <c r="I73" s="402"/>
      <c r="J73" s="402"/>
      <c r="K73" s="2472">
        <f>SUM(K70:K72)</f>
        <v>0</v>
      </c>
      <c r="L73" s="402"/>
      <c r="M73" s="2350">
        <f>SUM(M70:M72)</f>
        <v>0</v>
      </c>
      <c r="N73" s="2350">
        <f>SUM(N70:N72)</f>
        <v>0</v>
      </c>
      <c r="O73" s="2350">
        <f>SUM(O70:O72)</f>
        <v>0</v>
      </c>
      <c r="P73" s="438"/>
      <c r="Q73" s="438"/>
      <c r="R73" s="438"/>
      <c r="S73" s="402"/>
      <c r="T73" s="402"/>
      <c r="U73" s="402"/>
      <c r="V73" s="402"/>
      <c r="W73" s="2333">
        <f t="shared" si="17"/>
        <v>0</v>
      </c>
      <c r="X73" s="2333">
        <f t="shared" si="17"/>
        <v>0</v>
      </c>
      <c r="Y73" s="438"/>
      <c r="Z73" s="439"/>
    </row>
    <row r="74" spans="2:26" s="284" customFormat="1" ht="15.75" hidden="1" x14ac:dyDescent="0.25">
      <c r="B74" s="2363" t="s">
        <v>103</v>
      </c>
      <c r="C74" s="331">
        <f t="shared" ref="C74:G76" si="20">SUM(C62,C66,C70)</f>
        <v>0</v>
      </c>
      <c r="D74" s="331">
        <f t="shared" si="20"/>
        <v>0</v>
      </c>
      <c r="E74" s="331">
        <f t="shared" si="20"/>
        <v>0</v>
      </c>
      <c r="F74" s="331">
        <f t="shared" si="20"/>
        <v>0</v>
      </c>
      <c r="G74" s="331">
        <f t="shared" si="20"/>
        <v>0</v>
      </c>
      <c r="H74" s="494">
        <f ca="1">SUM(C74/$C$77)</f>
        <v>0</v>
      </c>
      <c r="I74" s="402"/>
      <c r="J74" s="402"/>
      <c r="K74" s="814">
        <f>SUM(K62,K66,K70)</f>
        <v>0</v>
      </c>
      <c r="L74" s="402"/>
      <c r="M74" s="450">
        <f t="shared" ref="M74:N76" si="21">SUM(M62,M66,M70)</f>
        <v>0</v>
      </c>
      <c r="N74" s="450">
        <f t="shared" si="21"/>
        <v>0</v>
      </c>
      <c r="O74" s="450">
        <f>SUM(O62,O66,O70)</f>
        <v>0</v>
      </c>
      <c r="P74" s="438" t="e">
        <f>SUM(C74/M74)</f>
        <v>#DIV/0!</v>
      </c>
      <c r="Q74" s="438" t="e">
        <f>SUM(C74/N74)</f>
        <v>#DIV/0!</v>
      </c>
      <c r="R74" s="438" t="e">
        <f>SUM(D74/O74)</f>
        <v>#DIV/0!</v>
      </c>
      <c r="S74" s="402"/>
      <c r="T74" s="402"/>
      <c r="U74" s="402"/>
      <c r="V74" s="402"/>
      <c r="W74" s="804">
        <f t="shared" si="17"/>
        <v>0</v>
      </c>
      <c r="X74" s="804">
        <f t="shared" si="17"/>
        <v>0</v>
      </c>
      <c r="Y74" s="2008"/>
      <c r="Z74" s="2009"/>
    </row>
    <row r="75" spans="2:26" s="284" customFormat="1" ht="15.75" x14ac:dyDescent="0.25">
      <c r="B75" s="2363" t="s">
        <v>104</v>
      </c>
      <c r="C75" s="331">
        <f t="shared" ca="1" si="20"/>
        <v>14560018.033924829</v>
      </c>
      <c r="D75" s="331" t="e">
        <f t="shared" si="20"/>
        <v>#REF!</v>
      </c>
      <c r="E75" s="331" t="e">
        <f t="shared" si="20"/>
        <v>#REF!</v>
      </c>
      <c r="F75" s="331" t="e">
        <f t="shared" si="20"/>
        <v>#REF!</v>
      </c>
      <c r="G75" s="331" t="e">
        <f t="shared" si="20"/>
        <v>#REF!</v>
      </c>
      <c r="H75" s="494">
        <f ca="1">SUM(C75/$C$77)</f>
        <v>0.55236492328280118</v>
      </c>
      <c r="I75" s="402"/>
      <c r="J75" s="402"/>
      <c r="K75" s="814" t="e">
        <f>SUM(K63,K67,K71)</f>
        <v>#REF!</v>
      </c>
      <c r="L75" s="402"/>
      <c r="M75" s="450" t="e">
        <f t="shared" si="21"/>
        <v>#REF!</v>
      </c>
      <c r="N75" s="450" t="e">
        <f t="shared" si="21"/>
        <v>#REF!</v>
      </c>
      <c r="O75" s="450" t="e">
        <f>SUM(O63,O67,O71)</f>
        <v>#REF!</v>
      </c>
      <c r="P75" s="438" t="e">
        <f ca="1">SUM(C75/M75)</f>
        <v>#REF!</v>
      </c>
      <c r="Q75" s="438" t="e">
        <f ca="1">SUM(C75/N75)</f>
        <v>#REF!</v>
      </c>
      <c r="R75" s="438" t="e">
        <f ca="1">C75/O75</f>
        <v>#REF!</v>
      </c>
      <c r="S75" s="450">
        <f t="shared" ref="S75:V76" si="22">SUM(S63,S67,S71)</f>
        <v>0</v>
      </c>
      <c r="T75" s="450">
        <f t="shared" si="22"/>
        <v>0</v>
      </c>
      <c r="U75" s="450">
        <f t="shared" si="22"/>
        <v>0</v>
      </c>
      <c r="V75" s="450">
        <f t="shared" si="22"/>
        <v>0</v>
      </c>
      <c r="W75" s="804" t="e">
        <f t="shared" si="17"/>
        <v>#REF!</v>
      </c>
      <c r="X75" s="804" t="e">
        <f t="shared" si="17"/>
        <v>#REF!</v>
      </c>
      <c r="Y75" s="335" t="e">
        <f ca="1">+C75/W75</f>
        <v>#REF!</v>
      </c>
      <c r="Z75" s="358" t="e">
        <f ca="1">+C75/X75</f>
        <v>#REF!</v>
      </c>
    </row>
    <row r="76" spans="2:26" s="284" customFormat="1" ht="15.75" x14ac:dyDescent="0.25">
      <c r="B76" s="2363" t="s">
        <v>105</v>
      </c>
      <c r="C76" s="331">
        <f t="shared" ca="1" si="20"/>
        <v>11799400.20608958</v>
      </c>
      <c r="D76" s="331" t="e">
        <f t="shared" si="20"/>
        <v>#REF!</v>
      </c>
      <c r="E76" s="331" t="e">
        <f t="shared" si="20"/>
        <v>#REF!</v>
      </c>
      <c r="F76" s="331" t="e">
        <f t="shared" si="20"/>
        <v>#REF!</v>
      </c>
      <c r="G76" s="331" t="e">
        <f t="shared" si="20"/>
        <v>#REF!</v>
      </c>
      <c r="H76" s="494">
        <f ca="1">SUM(C76/$C$77)</f>
        <v>0.44763507671719882</v>
      </c>
      <c r="I76" s="402"/>
      <c r="J76" s="402"/>
      <c r="K76" s="814" t="e">
        <f>SUM(K64,K68,K72)</f>
        <v>#REF!</v>
      </c>
      <c r="L76" s="402"/>
      <c r="M76" s="450" t="e">
        <f t="shared" si="21"/>
        <v>#REF!</v>
      </c>
      <c r="N76" s="450" t="e">
        <f t="shared" si="21"/>
        <v>#REF!</v>
      </c>
      <c r="O76" s="450" t="e">
        <f>SUM(O64,O68,O72)</f>
        <v>#REF!</v>
      </c>
      <c r="P76" s="438" t="e">
        <f ca="1">SUM(C76/M76)</f>
        <v>#REF!</v>
      </c>
      <c r="Q76" s="438" t="e">
        <f ca="1">SUM(C76/N76)</f>
        <v>#REF!</v>
      </c>
      <c r="R76" s="438" t="e">
        <f ca="1">C76/O76</f>
        <v>#REF!</v>
      </c>
      <c r="S76" s="450">
        <f t="shared" si="22"/>
        <v>0</v>
      </c>
      <c r="T76" s="450">
        <f t="shared" si="22"/>
        <v>0</v>
      </c>
      <c r="U76" s="450">
        <f t="shared" si="22"/>
        <v>0</v>
      </c>
      <c r="V76" s="450">
        <f t="shared" si="22"/>
        <v>0</v>
      </c>
      <c r="W76" s="804" t="e">
        <f t="shared" si="17"/>
        <v>#REF!</v>
      </c>
      <c r="X76" s="804" t="e">
        <f t="shared" si="17"/>
        <v>#REF!</v>
      </c>
      <c r="Y76" s="335" t="e">
        <f ca="1">+C76/W76</f>
        <v>#REF!</v>
      </c>
      <c r="Z76" s="358" t="e">
        <f ca="1">+C76/X76</f>
        <v>#REF!</v>
      </c>
    </row>
    <row r="77" spans="2:26" ht="16.5" thickBot="1" x14ac:dyDescent="0.3">
      <c r="B77" s="2369" t="s">
        <v>106</v>
      </c>
      <c r="C77" s="2370">
        <f ca="1">SUM(C74:C76)</f>
        <v>26359418.240014412</v>
      </c>
      <c r="D77" s="2370" t="e">
        <f>SUM(D74:D76)</f>
        <v>#REF!</v>
      </c>
      <c r="E77" s="2370" t="e">
        <f>SUM(E74:E76)</f>
        <v>#REF!</v>
      </c>
      <c r="F77" s="2370" t="e">
        <f>SUM(F74:F76)</f>
        <v>#REF!</v>
      </c>
      <c r="G77" s="2370" t="e">
        <f>SUM(G74:G76)</f>
        <v>#REF!</v>
      </c>
      <c r="H77" s="2396">
        <f ca="1">SUM(C77/$C$77)</f>
        <v>1</v>
      </c>
      <c r="I77" s="2372" t="e">
        <f ca="1">F77/C77</f>
        <v>#REF!</v>
      </c>
      <c r="J77" s="2372" t="e">
        <f>G77/E77</f>
        <v>#REF!</v>
      </c>
      <c r="K77" s="2397" t="e">
        <f>SUM(K74:K76)</f>
        <v>#REF!</v>
      </c>
      <c r="L77" s="2398"/>
      <c r="M77" s="2384" t="e">
        <f>SUM(M74:M76)</f>
        <v>#REF!</v>
      </c>
      <c r="N77" s="2384" t="e">
        <f>SUM(N74:N76)</f>
        <v>#REF!</v>
      </c>
      <c r="O77" s="2384" t="e">
        <f>SUM(O74:O76)</f>
        <v>#REF!</v>
      </c>
      <c r="P77" s="2376" t="e">
        <f ca="1">SUM(C77/M77)</f>
        <v>#REF!</v>
      </c>
      <c r="Q77" s="2376" t="e">
        <f ca="1">SUM(C77/N77)</f>
        <v>#REF!</v>
      </c>
      <c r="R77" s="2376" t="e">
        <f ca="1">C77/O77</f>
        <v>#REF!</v>
      </c>
      <c r="S77" s="2384">
        <f>SUM(S74:S76)</f>
        <v>0</v>
      </c>
      <c r="T77" s="2384">
        <f>SUM(T74:T76)</f>
        <v>0</v>
      </c>
      <c r="U77" s="2384">
        <f>SUM(U74:U76)</f>
        <v>0</v>
      </c>
      <c r="V77" s="2384">
        <f>SUM(V74:V76)</f>
        <v>0</v>
      </c>
      <c r="W77" s="2381" t="e">
        <f t="shared" si="17"/>
        <v>#REF!</v>
      </c>
      <c r="X77" s="2381" t="e">
        <f t="shared" si="17"/>
        <v>#REF!</v>
      </c>
      <c r="Y77" s="2382" t="e">
        <f ca="1">+C77/W77</f>
        <v>#REF!</v>
      </c>
      <c r="Z77" s="2377" t="e">
        <f ca="1">+C77/X77</f>
        <v>#REF!</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N82" s="1038"/>
      <c r="S82" s="704"/>
      <c r="T82" s="704"/>
      <c r="U82" s="704"/>
      <c r="V82" s="704"/>
      <c r="W82" s="704"/>
      <c r="X82" s="704"/>
    </row>
    <row r="83" spans="3:26" x14ac:dyDescent="0.2">
      <c r="M83" s="1038"/>
      <c r="N83" s="1038"/>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3"/>
  <dimension ref="B1:AD90"/>
  <sheetViews>
    <sheetView zoomScale="90" zoomScaleNormal="90" workbookViewId="0">
      <pane xSplit="2" ySplit="5" topLeftCell="C6" activePane="bottomRight" state="frozen"/>
      <selection activeCell="M7" sqref="M7"/>
      <selection pane="topRight" activeCell="M7" sqref="M7"/>
      <selection pane="bottomLeft" activeCell="M7" sqref="M7"/>
      <selection pane="bottomRight" activeCell="M7" sqref="M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8"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6.42578125" style="321" customWidth="1"/>
    <col min="13" max="13" width="26.7109375" style="321" customWidth="1"/>
    <col min="14" max="14" width="20.140625" style="321" bestFit="1" customWidth="1"/>
    <col min="15" max="15" width="23.140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473"/>
      <c r="O1" s="2153"/>
      <c r="P1" s="2153"/>
      <c r="Q1" s="2153"/>
      <c r="R1" s="2153"/>
      <c r="S1" s="2153"/>
      <c r="T1" s="2153"/>
      <c r="U1" s="2153"/>
      <c r="V1" s="2153"/>
      <c r="W1" s="2153"/>
      <c r="X1" s="2153"/>
      <c r="Y1" s="2153"/>
      <c r="Z1" s="2153"/>
    </row>
    <row r="2" spans="2:29" s="284" customFormat="1" ht="18" customHeight="1" x14ac:dyDescent="0.25">
      <c r="B2" s="2154" t="s">
        <v>706</v>
      </c>
      <c r="C2" s="2154"/>
      <c r="D2" s="2154"/>
      <c r="E2" s="2154"/>
      <c r="F2" s="2154"/>
      <c r="G2" s="2154"/>
      <c r="H2" s="2154"/>
      <c r="I2" s="2154"/>
      <c r="J2" s="2154"/>
      <c r="K2" s="2154"/>
      <c r="L2" s="2154"/>
      <c r="M2" s="2154"/>
      <c r="N2" s="2473"/>
      <c r="O2" s="2154"/>
      <c r="P2" s="2154"/>
      <c r="Q2" s="2154"/>
      <c r="R2" s="2154"/>
      <c r="S2" s="2154"/>
      <c r="T2" s="2154"/>
      <c r="U2" s="2154"/>
      <c r="V2" s="2154"/>
      <c r="W2" s="2154"/>
      <c r="X2" s="2154"/>
      <c r="Y2" s="2154"/>
      <c r="Z2" s="2154"/>
    </row>
    <row r="3" spans="2:29" s="284" customFormat="1" ht="13.5" thickBot="1" x14ac:dyDescent="0.25">
      <c r="C3" s="243"/>
      <c r="K3" s="2154"/>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thickBot="1" x14ac:dyDescent="0.25">
      <c r="B6" s="359" t="s">
        <v>232</v>
      </c>
      <c r="C6" s="2132"/>
      <c r="D6" s="2133"/>
      <c r="E6" s="2133"/>
      <c r="F6" s="2133"/>
      <c r="G6" s="2133"/>
      <c r="H6" s="337"/>
      <c r="I6" s="338"/>
      <c r="J6" s="338"/>
      <c r="K6" s="2119"/>
      <c r="L6" s="2134"/>
      <c r="M6" s="2119"/>
      <c r="N6" s="2119"/>
      <c r="O6" s="2119"/>
      <c r="P6" s="341"/>
      <c r="Q6" s="336"/>
      <c r="R6" s="329"/>
      <c r="S6" s="2119"/>
      <c r="T6" s="2119"/>
      <c r="U6" s="2119"/>
      <c r="V6" s="2119"/>
      <c r="W6" s="2119">
        <f t="shared" ref="W6:X27" si="0">+(M6*102900+S6*138690+U6*91330)/10^6</f>
        <v>0</v>
      </c>
      <c r="X6" s="2119">
        <f t="shared" si="0"/>
        <v>0</v>
      </c>
      <c r="Y6" s="341" t="s">
        <v>3</v>
      </c>
      <c r="Z6" s="336" t="s">
        <v>3</v>
      </c>
    </row>
    <row r="7" spans="2:29" s="2060" customFormat="1" ht="18" customHeight="1" x14ac:dyDescent="0.2">
      <c r="B7" s="2290" t="s">
        <v>233</v>
      </c>
      <c r="C7" s="2354">
        <f>'CNG Table A'!$J$16</f>
        <v>4737409.9147097096</v>
      </c>
      <c r="D7" s="2291" t="e">
        <f>E7-C7</f>
        <v>#REF!</v>
      </c>
      <c r="E7" s="2461" t="e">
        <f>#REF!*1000</f>
        <v>#REF!</v>
      </c>
      <c r="F7" s="2461" t="e">
        <f>#REF!*1000</f>
        <v>#REF!</v>
      </c>
      <c r="G7" s="2461" t="e">
        <f>#REF!*1000</f>
        <v>#REF!</v>
      </c>
      <c r="H7" s="401" t="e">
        <f>#REF!*1000</f>
        <v>#REF!</v>
      </c>
      <c r="I7" s="2137" t="e">
        <f>F7/C7</f>
        <v>#REF!</v>
      </c>
      <c r="J7" s="2137" t="e">
        <f>G7/E7</f>
        <v>#REF!</v>
      </c>
      <c r="K7" s="2462" t="e">
        <f>#REF!</f>
        <v>#REF!</v>
      </c>
      <c r="L7" s="354" t="s">
        <v>241</v>
      </c>
      <c r="M7" s="2462" t="e">
        <f>#REF!</f>
        <v>#REF!</v>
      </c>
      <c r="N7" s="2462" t="e">
        <f>#REF!</f>
        <v>#REF!</v>
      </c>
      <c r="O7" s="2462" t="e">
        <f>#REF!</f>
        <v>#REF!</v>
      </c>
      <c r="P7" s="2120" t="e">
        <f>C7/M7</f>
        <v>#REF!</v>
      </c>
      <c r="Q7" s="2378" t="e">
        <f>C7/N7</f>
        <v>#REF!</v>
      </c>
      <c r="R7" s="2378" t="e">
        <f>C7/O7</f>
        <v>#REF!</v>
      </c>
      <c r="S7" s="2357"/>
      <c r="T7" s="2357"/>
      <c r="U7" s="2357"/>
      <c r="V7" s="2357"/>
      <c r="W7" s="2357" t="e">
        <f t="shared" si="0"/>
        <v>#REF!</v>
      </c>
      <c r="X7" s="2357" t="e">
        <f t="shared" si="0"/>
        <v>#REF!</v>
      </c>
      <c r="Y7" s="2359" t="e">
        <f>+C7/W7</f>
        <v>#REF!</v>
      </c>
      <c r="Z7" s="2361" t="e">
        <f>+C7/X7</f>
        <v>#REF!</v>
      </c>
    </row>
    <row r="8" spans="2:29" s="2060" customFormat="1" ht="20.25" customHeight="1" x14ac:dyDescent="0.2">
      <c r="B8" s="2202" t="s">
        <v>234</v>
      </c>
      <c r="C8" s="2200">
        <f>'SCG Table A'!$J$16</f>
        <v>3876844.8191903494</v>
      </c>
      <c r="D8" s="2052" t="e">
        <f>E8-C8</f>
        <v>#REF!</v>
      </c>
      <c r="E8" s="2461" t="e">
        <f>#REF!*1000</f>
        <v>#REF!</v>
      </c>
      <c r="F8" s="2461" t="e">
        <f>#REF!*1000</f>
        <v>#REF!</v>
      </c>
      <c r="G8" s="2461" t="e">
        <f>#REF!*1000</f>
        <v>#REF!</v>
      </c>
      <c r="H8" s="332">
        <f ca="1">SUM(C8/$C$76)</f>
        <v>0.26842159648575381</v>
      </c>
      <c r="I8" s="333" t="e">
        <f>F8/C8</f>
        <v>#REF!</v>
      </c>
      <c r="J8" s="333" t="e">
        <f>G8/E8</f>
        <v>#REF!</v>
      </c>
      <c r="K8" s="2462" t="e">
        <f>#REF!</f>
        <v>#REF!</v>
      </c>
      <c r="L8" s="2337" t="s">
        <v>241</v>
      </c>
      <c r="M8" s="2462" t="e">
        <f>#REF!</f>
        <v>#REF!</v>
      </c>
      <c r="N8" s="2462" t="e">
        <f>#REF!</f>
        <v>#REF!</v>
      </c>
      <c r="O8" s="2462" t="e">
        <f>#REF!</f>
        <v>#REF!</v>
      </c>
      <c r="P8" s="335" t="e">
        <f>C8/M8</f>
        <v>#REF!</v>
      </c>
      <c r="Q8" s="2338" t="e">
        <f>C8/N8</f>
        <v>#REF!</v>
      </c>
      <c r="R8" s="2338" t="e">
        <f t="shared" ref="R8:R28" si="1">C8/O8</f>
        <v>#REF!</v>
      </c>
      <c r="S8" s="2055"/>
      <c r="T8" s="2055"/>
      <c r="U8" s="2055"/>
      <c r="V8" s="2055"/>
      <c r="W8" s="2055" t="e">
        <f t="shared" si="0"/>
        <v>#REF!</v>
      </c>
      <c r="X8" s="2055" t="e">
        <f t="shared" si="0"/>
        <v>#REF!</v>
      </c>
      <c r="Y8" s="2057" t="e">
        <f>+C8/W8</f>
        <v>#REF!</v>
      </c>
      <c r="Z8" s="2362" t="e">
        <f>+C8/X8</f>
        <v>#REF!</v>
      </c>
    </row>
    <row r="9" spans="2:29" ht="17.25" customHeight="1" x14ac:dyDescent="0.25">
      <c r="B9" s="2363" t="s">
        <v>235</v>
      </c>
      <c r="C9" s="2330">
        <f>SUM(C6:C8)</f>
        <v>8614254.733900059</v>
      </c>
      <c r="D9" s="2330" t="e">
        <f>SUM(D6:D8)</f>
        <v>#REF!</v>
      </c>
      <c r="E9" s="2330" t="e">
        <f>SUM(E6:E8)</f>
        <v>#REF!</v>
      </c>
      <c r="F9" s="2330" t="e">
        <f>SUM(F6:F8)</f>
        <v>#REF!</v>
      </c>
      <c r="G9" s="2330" t="e">
        <f>SUM(G6:G8)</f>
        <v>#REF!</v>
      </c>
      <c r="H9" s="2331">
        <f ca="1">SUM(C9/$C$77)</f>
        <v>0.28048749890446162</v>
      </c>
      <c r="I9" s="2332" t="e">
        <f>F9/C9</f>
        <v>#REF!</v>
      </c>
      <c r="J9" s="2332" t="e">
        <f>G9/E9</f>
        <v>#REF!</v>
      </c>
      <c r="K9" s="2439" t="e">
        <f>SUM(K6:K8)</f>
        <v>#REF!</v>
      </c>
      <c r="L9" s="2334" t="s">
        <v>241</v>
      </c>
      <c r="M9" s="2447" t="e">
        <f>SUM(M6:M8)</f>
        <v>#REF!</v>
      </c>
      <c r="N9" s="2447" t="e">
        <f>SUM(N6:N8)</f>
        <v>#REF!</v>
      </c>
      <c r="O9" s="2447" t="e">
        <f>SUM(O6:O8)</f>
        <v>#REF!</v>
      </c>
      <c r="P9" s="2336" t="e">
        <f>C9/M9</f>
        <v>#REF!</v>
      </c>
      <c r="Q9" s="2336" t="e">
        <f>C9/N9</f>
        <v>#REF!</v>
      </c>
      <c r="R9" s="2336" t="e">
        <f t="shared" si="1"/>
        <v>#REF!</v>
      </c>
      <c r="S9" s="2335">
        <f>SUM(S6:S8)</f>
        <v>0</v>
      </c>
      <c r="T9" s="2335">
        <f>SUM(T6:T8)</f>
        <v>0</v>
      </c>
      <c r="U9" s="2335"/>
      <c r="V9" s="2335"/>
      <c r="W9" s="2333" t="e">
        <f t="shared" si="0"/>
        <v>#REF!</v>
      </c>
      <c r="X9" s="2333" t="e">
        <f t="shared" si="0"/>
        <v>#REF!</v>
      </c>
      <c r="Y9" s="2336" t="e">
        <f>+C9/W9</f>
        <v>#REF!</v>
      </c>
      <c r="Z9" s="2364" t="e">
        <f>+C9/X9</f>
        <v>#REF!</v>
      </c>
      <c r="AB9" s="704"/>
    </row>
    <row r="10" spans="2:29" s="284" customFormat="1" ht="15" hidden="1" x14ac:dyDescent="0.2">
      <c r="B10" s="330" t="s">
        <v>139</v>
      </c>
      <c r="C10" s="331"/>
      <c r="D10" s="331"/>
      <c r="E10" s="331"/>
      <c r="F10" s="331"/>
      <c r="G10" s="331"/>
      <c r="H10" s="332"/>
      <c r="I10" s="333"/>
      <c r="J10" s="333"/>
      <c r="K10" s="2438"/>
      <c r="L10" s="2337"/>
      <c r="M10" s="2438"/>
      <c r="N10" s="2438"/>
      <c r="O10" s="2438"/>
      <c r="P10" s="335"/>
      <c r="Q10" s="2338"/>
      <c r="R10" s="2338" t="e">
        <f t="shared" si="1"/>
        <v>#DIV/0!</v>
      </c>
      <c r="S10" s="804"/>
      <c r="T10" s="804"/>
      <c r="U10" s="804"/>
      <c r="V10" s="804"/>
      <c r="W10" s="804">
        <f t="shared" si="0"/>
        <v>0</v>
      </c>
      <c r="X10" s="804">
        <f t="shared" si="0"/>
        <v>0</v>
      </c>
      <c r="Y10" s="335" t="s">
        <v>3</v>
      </c>
      <c r="Z10" s="358" t="s">
        <v>3</v>
      </c>
      <c r="AA10" s="393"/>
      <c r="AB10" s="797"/>
    </row>
    <row r="11" spans="2:29" s="2060" customFormat="1" ht="15" x14ac:dyDescent="0.2">
      <c r="B11" s="2202" t="s">
        <v>140</v>
      </c>
      <c r="C11" s="2052">
        <f>'CNG Table A'!$J$14</f>
        <v>3317020.5047965101</v>
      </c>
      <c r="D11" s="2052" t="e">
        <f>E11-C11</f>
        <v>#REF!</v>
      </c>
      <c r="E11" s="2461" t="e">
        <f>#REF!*1000</f>
        <v>#REF!</v>
      </c>
      <c r="F11" s="2461" t="e">
        <f>#REF!*1000</f>
        <v>#REF!</v>
      </c>
      <c r="G11" s="2461" t="e">
        <f>#REF!*1000</f>
        <v>#REF!</v>
      </c>
      <c r="H11" s="332">
        <f ca="1">SUM(C11/$C$75)</f>
        <v>0.20389088443909226</v>
      </c>
      <c r="I11" s="333" t="e">
        <f>F11/C11</f>
        <v>#REF!</v>
      </c>
      <c r="J11" s="333" t="e">
        <f>G11/E11</f>
        <v>#REF!</v>
      </c>
      <c r="K11" s="2462" t="e">
        <f>#REF!</f>
        <v>#REF!</v>
      </c>
      <c r="L11" s="2337" t="s">
        <v>241</v>
      </c>
      <c r="M11" s="2462" t="e">
        <f>#REF!</f>
        <v>#REF!</v>
      </c>
      <c r="N11" s="2462" t="e">
        <f>#REF!</f>
        <v>#REF!</v>
      </c>
      <c r="O11" s="2462" t="e">
        <f>#REF!</f>
        <v>#REF!</v>
      </c>
      <c r="P11" s="335" t="e">
        <f>C11/M11</f>
        <v>#REF!</v>
      </c>
      <c r="Q11" s="2338" t="e">
        <f>C11/N11</f>
        <v>#REF!</v>
      </c>
      <c r="R11" s="2338" t="e">
        <f t="shared" si="1"/>
        <v>#REF!</v>
      </c>
      <c r="S11" s="2055">
        <v>0</v>
      </c>
      <c r="T11" s="2055">
        <v>0</v>
      </c>
      <c r="U11" s="2055">
        <v>0</v>
      </c>
      <c r="V11" s="2055">
        <v>0</v>
      </c>
      <c r="W11" s="2055" t="e">
        <f t="shared" si="0"/>
        <v>#REF!</v>
      </c>
      <c r="X11" s="2055" t="e">
        <f t="shared" si="0"/>
        <v>#REF!</v>
      </c>
      <c r="Y11" s="2057" t="e">
        <f>+C11/W11</f>
        <v>#REF!</v>
      </c>
      <c r="Z11" s="2362" t="e">
        <f>+C11/X11</f>
        <v>#REF!</v>
      </c>
      <c r="AA11" s="2072"/>
      <c r="AB11" s="2203"/>
      <c r="AC11" s="2072"/>
    </row>
    <row r="12" spans="2:29" s="2060" customFormat="1" ht="15" x14ac:dyDescent="0.2">
      <c r="B12" s="2202" t="s">
        <v>141</v>
      </c>
      <c r="C12" s="2052">
        <f>'SCG Table A'!$J$14</f>
        <v>3018666.8668640885</v>
      </c>
      <c r="D12" s="2052" t="e">
        <f>E12-C12</f>
        <v>#REF!</v>
      </c>
      <c r="E12" s="2461" t="e">
        <f>#REF!*1000</f>
        <v>#REF!</v>
      </c>
      <c r="F12" s="2461" t="e">
        <f>#REF!*1000</f>
        <v>#REF!</v>
      </c>
      <c r="G12" s="2461" t="e">
        <f>#REF!*1000</f>
        <v>#REF!</v>
      </c>
      <c r="H12" s="332">
        <f ca="1">SUM(C12/$C$75)</f>
        <v>0.18555165891253977</v>
      </c>
      <c r="I12" s="333" t="e">
        <f>F12/C12</f>
        <v>#REF!</v>
      </c>
      <c r="J12" s="333" t="e">
        <f>G12/E12</f>
        <v>#REF!</v>
      </c>
      <c r="K12" s="2462" t="e">
        <f>#REF!</f>
        <v>#REF!</v>
      </c>
      <c r="L12" s="2337" t="s">
        <v>241</v>
      </c>
      <c r="M12" s="2462" t="e">
        <f>#REF!</f>
        <v>#REF!</v>
      </c>
      <c r="N12" s="2462" t="e">
        <f>#REF!</f>
        <v>#REF!</v>
      </c>
      <c r="O12" s="2462" t="e">
        <f>#REF!</f>
        <v>#REF!</v>
      </c>
      <c r="P12" s="335" t="e">
        <f>C12/M12</f>
        <v>#REF!</v>
      </c>
      <c r="Q12" s="2338" t="e">
        <f>C12/N12</f>
        <v>#REF!</v>
      </c>
      <c r="R12" s="2338" t="e">
        <f t="shared" si="1"/>
        <v>#REF!</v>
      </c>
      <c r="S12" s="2055"/>
      <c r="T12" s="2055"/>
      <c r="U12" s="2055"/>
      <c r="V12" s="2055"/>
      <c r="W12" s="2055" t="e">
        <f>+(M12*102900+S12*138690+U12*91330)/10^6</f>
        <v>#REF!</v>
      </c>
      <c r="X12" s="2055" t="e">
        <f>+(N12*102900+T12*138690+V12*91330)/10^6</f>
        <v>#REF!</v>
      </c>
      <c r="Y12" s="2057" t="e">
        <f>+C12/W12</f>
        <v>#REF!</v>
      </c>
      <c r="Z12" s="2362" t="e">
        <f>+C12/X12</f>
        <v>#REF!</v>
      </c>
      <c r="AA12" s="2072"/>
      <c r="AB12" s="2203"/>
      <c r="AC12" s="2072"/>
    </row>
    <row r="13" spans="2:29" ht="17.25" customHeight="1" x14ac:dyDescent="0.25">
      <c r="B13" s="2363" t="s">
        <v>146</v>
      </c>
      <c r="C13" s="2330">
        <f>SUM(C10:C12)</f>
        <v>6335687.3716605986</v>
      </c>
      <c r="D13" s="2330" t="e">
        <f>SUM(D10:D12)</f>
        <v>#REF!</v>
      </c>
      <c r="E13" s="2330" t="e">
        <f>SUM(E10:E12)</f>
        <v>#REF!</v>
      </c>
      <c r="F13" s="2330" t="e">
        <f>SUM(F10:F12)</f>
        <v>#REF!</v>
      </c>
      <c r="G13" s="2330" t="e">
        <f>SUM(G10:G12)</f>
        <v>#REF!</v>
      </c>
      <c r="H13" s="2331">
        <f ca="1">SUM(C13/$C$77)</f>
        <v>0.20629539752571249</v>
      </c>
      <c r="I13" s="2332" t="e">
        <f>F13/C13</f>
        <v>#REF!</v>
      </c>
      <c r="J13" s="2332" t="e">
        <f>G13/E13</f>
        <v>#REF!</v>
      </c>
      <c r="K13" s="2439" t="e">
        <f>SUM(K10:K12)</f>
        <v>#REF!</v>
      </c>
      <c r="L13" s="2334" t="s">
        <v>241</v>
      </c>
      <c r="M13" s="2447" t="e">
        <f>SUM(M10:M12)</f>
        <v>#REF!</v>
      </c>
      <c r="N13" s="2447" t="e">
        <f>SUM(N10:N12)</f>
        <v>#REF!</v>
      </c>
      <c r="O13" s="2447" t="e">
        <f>SUM(O10:O12)</f>
        <v>#REF!</v>
      </c>
      <c r="P13" s="2336" t="e">
        <f>C13/M13</f>
        <v>#REF!</v>
      </c>
      <c r="Q13" s="2339" t="e">
        <f>C13/N13</f>
        <v>#REF!</v>
      </c>
      <c r="R13" s="2339" t="e">
        <f t="shared" si="1"/>
        <v>#REF!</v>
      </c>
      <c r="S13" s="2335">
        <f>SUM(S10:S12)</f>
        <v>0</v>
      </c>
      <c r="T13" s="2335">
        <f>SUM(T10:T12)</f>
        <v>0</v>
      </c>
      <c r="U13" s="2335">
        <f>SUM(U10:U12)</f>
        <v>0</v>
      </c>
      <c r="V13" s="2335">
        <f>SUM(V10:V12)</f>
        <v>0</v>
      </c>
      <c r="W13" s="2333" t="e">
        <f t="shared" si="0"/>
        <v>#REF!</v>
      </c>
      <c r="X13" s="2333" t="e">
        <f t="shared" si="0"/>
        <v>#REF!</v>
      </c>
      <c r="Y13" s="2336" t="e">
        <f>+C13/W13</f>
        <v>#REF!</v>
      </c>
      <c r="Z13" s="2365" t="e">
        <f>+C13/X13</f>
        <v>#REF!</v>
      </c>
    </row>
    <row r="14" spans="2:29" s="284" customFormat="1" ht="15.75" hidden="1" customHeight="1" x14ac:dyDescent="0.2">
      <c r="B14" s="330" t="s">
        <v>169</v>
      </c>
      <c r="C14" s="331"/>
      <c r="D14" s="331"/>
      <c r="E14" s="331"/>
      <c r="F14" s="331"/>
      <c r="G14" s="331"/>
      <c r="H14" s="332"/>
      <c r="I14" s="333"/>
      <c r="J14" s="333"/>
      <c r="K14" s="2438"/>
      <c r="L14" s="2337"/>
      <c r="M14" s="2438"/>
      <c r="N14" s="2438"/>
      <c r="O14" s="2438"/>
      <c r="P14" s="335"/>
      <c r="Q14" s="2338"/>
      <c r="R14" s="2338" t="e">
        <f t="shared" si="1"/>
        <v>#DIV/0!</v>
      </c>
      <c r="S14" s="804"/>
      <c r="T14" s="804"/>
      <c r="U14" s="804"/>
      <c r="V14" s="804"/>
      <c r="W14" s="804">
        <f t="shared" si="0"/>
        <v>0</v>
      </c>
      <c r="X14" s="804">
        <f t="shared" si="0"/>
        <v>0</v>
      </c>
      <c r="Y14" s="335" t="s">
        <v>3</v>
      </c>
      <c r="Z14" s="358" t="s">
        <v>3</v>
      </c>
    </row>
    <row r="15" spans="2:29" s="284" customFormat="1" ht="30" x14ac:dyDescent="0.2">
      <c r="B15" s="2073" t="s">
        <v>597</v>
      </c>
      <c r="C15" s="2052">
        <f>'CNG Table A'!$J$15</f>
        <v>1062339.0412094784</v>
      </c>
      <c r="D15" s="2052" t="e">
        <f>E15-C15</f>
        <v>#REF!</v>
      </c>
      <c r="E15" s="2461" t="e">
        <f>#REF!*1000</f>
        <v>#REF!</v>
      </c>
      <c r="F15" s="2461" t="e">
        <f>#REF!*1000</f>
        <v>#REF!</v>
      </c>
      <c r="G15" s="2461" t="e">
        <f>#REF!*1000</f>
        <v>#REF!</v>
      </c>
      <c r="H15" s="332">
        <f ca="1">SUM(C15/$C$75)</f>
        <v>6.5299942033269318E-2</v>
      </c>
      <c r="I15" s="2598" t="e">
        <f t="shared" ref="I15:I22" si="2">F15/C15</f>
        <v>#REF!</v>
      </c>
      <c r="J15" s="333" t="e">
        <f>G15/E15</f>
        <v>#REF!</v>
      </c>
      <c r="K15" s="2462" t="e">
        <f>#REF!</f>
        <v>#REF!</v>
      </c>
      <c r="L15" s="2337" t="s">
        <v>572</v>
      </c>
      <c r="M15" s="2462" t="e">
        <f>#REF!</f>
        <v>#REF!</v>
      </c>
      <c r="N15" s="2462" t="e">
        <f>#REF!</f>
        <v>#REF!</v>
      </c>
      <c r="O15" s="2462" t="e">
        <f>#REF!</f>
        <v>#REF!</v>
      </c>
      <c r="P15" s="335" t="e">
        <f t="shared" ref="P15:P23" si="3">C15/M15</f>
        <v>#REF!</v>
      </c>
      <c r="Q15" s="2338" t="e">
        <f t="shared" ref="Q15:Q23" si="4">C15/N15</f>
        <v>#REF!</v>
      </c>
      <c r="R15" s="2338" t="e">
        <f t="shared" si="1"/>
        <v>#REF!</v>
      </c>
      <c r="S15" s="804"/>
      <c r="T15" s="804"/>
      <c r="U15" s="804"/>
      <c r="V15" s="804"/>
      <c r="W15" s="2055" t="e">
        <f t="shared" si="0"/>
        <v>#REF!</v>
      </c>
      <c r="X15" s="2055" t="e">
        <f t="shared" si="0"/>
        <v>#REF!</v>
      </c>
      <c r="Y15" s="2057" t="e">
        <f t="shared" ref="Y15:Y28" si="5">+C15/W15</f>
        <v>#REF!</v>
      </c>
      <c r="Z15" s="2362" t="e">
        <f>+C15/X15</f>
        <v>#REF!</v>
      </c>
    </row>
    <row r="16" spans="2:29" s="284" customFormat="1" ht="30" x14ac:dyDescent="0.2">
      <c r="B16" s="2073" t="s">
        <v>598</v>
      </c>
      <c r="C16" s="2052">
        <f>'SCG Table A'!$J$15</f>
        <v>1174703.2309999999</v>
      </c>
      <c r="D16" s="2052" t="e">
        <f>E16-C16</f>
        <v>#REF!</v>
      </c>
      <c r="E16" s="2461" t="e">
        <f>#REF!*1000</f>
        <v>#REF!</v>
      </c>
      <c r="F16" s="2461" t="e">
        <f>#REF!*1000</f>
        <v>#REF!</v>
      </c>
      <c r="G16" s="2461" t="e">
        <f>#REF!*1000</f>
        <v>#REF!</v>
      </c>
      <c r="H16" s="332">
        <f ca="1">SUM(C16/$C$76)</f>
        <v>8.1333076604248655E-2</v>
      </c>
      <c r="I16" s="333" t="e">
        <f t="shared" si="2"/>
        <v>#REF!</v>
      </c>
      <c r="J16" s="333" t="e">
        <f>G16/E16</f>
        <v>#REF!</v>
      </c>
      <c r="K16" s="2462" t="e">
        <f>#REF!</f>
        <v>#REF!</v>
      </c>
      <c r="L16" s="2337" t="s">
        <v>572</v>
      </c>
      <c r="M16" s="2462" t="e">
        <f>#REF!</f>
        <v>#REF!</v>
      </c>
      <c r="N16" s="2462" t="e">
        <f>#REF!</f>
        <v>#REF!</v>
      </c>
      <c r="O16" s="2462" t="e">
        <f>#REF!</f>
        <v>#REF!</v>
      </c>
      <c r="P16" s="335" t="e">
        <f t="shared" si="3"/>
        <v>#REF!</v>
      </c>
      <c r="Q16" s="2338" t="e">
        <f t="shared" si="4"/>
        <v>#REF!</v>
      </c>
      <c r="R16" s="2338" t="e">
        <f t="shared" si="1"/>
        <v>#REF!</v>
      </c>
      <c r="S16" s="804"/>
      <c r="T16" s="804"/>
      <c r="U16" s="804"/>
      <c r="V16" s="804"/>
      <c r="W16" s="2055" t="e">
        <f t="shared" si="0"/>
        <v>#REF!</v>
      </c>
      <c r="X16" s="2055" t="e">
        <f t="shared" si="0"/>
        <v>#REF!</v>
      </c>
      <c r="Y16" s="2057" t="e">
        <f t="shared" si="5"/>
        <v>#REF!</v>
      </c>
      <c r="Z16" s="2362" t="e">
        <f>+C16/X16</f>
        <v>#REF!</v>
      </c>
    </row>
    <row r="17" spans="2:27" s="284" customFormat="1" ht="15.75" customHeight="1" x14ac:dyDescent="0.25">
      <c r="B17" s="2366" t="s">
        <v>599</v>
      </c>
      <c r="C17" s="2330">
        <f>SUM(C14:C16)</f>
        <v>2237042.2722094785</v>
      </c>
      <c r="D17" s="2330" t="e">
        <f>SUM(D14:D16)</f>
        <v>#REF!</v>
      </c>
      <c r="E17" s="2330" t="e">
        <f>SUM(E14:E16)</f>
        <v>#REF!</v>
      </c>
      <c r="F17" s="2330" t="e">
        <f>SUM(F14:F16)</f>
        <v>#REF!</v>
      </c>
      <c r="G17" s="2330" t="e">
        <f>SUM(G14:G16)</f>
        <v>#REF!</v>
      </c>
      <c r="H17" s="2331">
        <f ca="1">SUM(C17/$C$77)</f>
        <v>7.2840008945441306E-2</v>
      </c>
      <c r="I17" s="2332" t="e">
        <f t="shared" si="2"/>
        <v>#REF!</v>
      </c>
      <c r="J17" s="2332" t="e">
        <f>G17/E17</f>
        <v>#REF!</v>
      </c>
      <c r="K17" s="2439" t="e">
        <f>SUM(K14:K16)</f>
        <v>#REF!</v>
      </c>
      <c r="L17" s="2334" t="s">
        <v>572</v>
      </c>
      <c r="M17" s="2447" t="e">
        <f>SUM(M14:M16)</f>
        <v>#REF!</v>
      </c>
      <c r="N17" s="2447" t="e">
        <f>SUM(N14:N16)</f>
        <v>#REF!</v>
      </c>
      <c r="O17" s="2447" t="e">
        <f>SUM(O14:O16)</f>
        <v>#REF!</v>
      </c>
      <c r="P17" s="2336" t="e">
        <f t="shared" si="3"/>
        <v>#REF!</v>
      </c>
      <c r="Q17" s="2339" t="e">
        <f t="shared" si="4"/>
        <v>#REF!</v>
      </c>
      <c r="R17" s="2339" t="e">
        <f t="shared" si="1"/>
        <v>#REF!</v>
      </c>
      <c r="S17" s="2335">
        <f>SUM(S14:S16)</f>
        <v>0</v>
      </c>
      <c r="T17" s="2335">
        <f>SUM(T14:T16)</f>
        <v>0</v>
      </c>
      <c r="U17" s="2335">
        <f>SUM(U14:U16)</f>
        <v>0</v>
      </c>
      <c r="V17" s="2335">
        <f>SUM(V14:V16)</f>
        <v>0</v>
      </c>
      <c r="W17" s="2333" t="e">
        <f t="shared" si="0"/>
        <v>#REF!</v>
      </c>
      <c r="X17" s="2333" t="e">
        <f t="shared" si="0"/>
        <v>#REF!</v>
      </c>
      <c r="Y17" s="2336" t="e">
        <f t="shared" si="5"/>
        <v>#REF!</v>
      </c>
      <c r="Z17" s="2365" t="e">
        <f>+C17/X17</f>
        <v>#REF!</v>
      </c>
    </row>
    <row r="18" spans="2:27" s="284" customFormat="1" ht="15" x14ac:dyDescent="0.2">
      <c r="B18" s="2073" t="s">
        <v>609</v>
      </c>
      <c r="C18" s="2052">
        <f>'CNG Table A'!$J$17</f>
        <v>171155.52915580795</v>
      </c>
      <c r="D18" s="2340" t="e">
        <f>E18-C18</f>
        <v>#REF!</v>
      </c>
      <c r="E18" s="2461" t="e">
        <f>#REF!*1000</f>
        <v>#REF!</v>
      </c>
      <c r="F18" s="2461" t="e">
        <f>#REF!*1000</f>
        <v>#REF!</v>
      </c>
      <c r="G18" s="2461" t="e">
        <f>#REF!*1000</f>
        <v>#REF!</v>
      </c>
      <c r="H18" s="1115">
        <f ca="1">SUM(C18/$C$75)</f>
        <v>1.0520601897322115E-2</v>
      </c>
      <c r="I18" s="1922" t="e">
        <f t="shared" si="2"/>
        <v>#REF!</v>
      </c>
      <c r="J18" s="333" t="e">
        <f>G18/E18</f>
        <v>#REF!</v>
      </c>
      <c r="K18" s="2462" t="e">
        <f>#REF!</f>
        <v>#REF!</v>
      </c>
      <c r="L18" s="2342" t="s">
        <v>242</v>
      </c>
      <c r="M18" s="2462" t="e">
        <f>#REF!</f>
        <v>#REF!</v>
      </c>
      <c r="N18" s="2462" t="e">
        <f>#REF!</f>
        <v>#REF!</v>
      </c>
      <c r="O18" s="2462" t="e">
        <f>#REF!</f>
        <v>#REF!</v>
      </c>
      <c r="P18" s="2341" t="e">
        <f t="shared" si="3"/>
        <v>#REF!</v>
      </c>
      <c r="Q18" s="2400" t="e">
        <f t="shared" si="4"/>
        <v>#REF!</v>
      </c>
      <c r="R18" s="2400"/>
      <c r="S18" s="2342">
        <v>0</v>
      </c>
      <c r="T18" s="2342">
        <v>0</v>
      </c>
      <c r="U18" s="2342">
        <v>0</v>
      </c>
      <c r="V18" s="2342">
        <v>0</v>
      </c>
      <c r="W18" s="1923" t="e">
        <f t="shared" si="0"/>
        <v>#REF!</v>
      </c>
      <c r="X18" s="1923" t="e">
        <f t="shared" si="0"/>
        <v>#REF!</v>
      </c>
      <c r="Y18" s="1925" t="e">
        <f t="shared" si="5"/>
        <v>#REF!</v>
      </c>
      <c r="Z18" s="1989" t="e">
        <f>+E18/X18</f>
        <v>#REF!</v>
      </c>
    </row>
    <row r="19" spans="2:27" s="2060" customFormat="1" ht="15" x14ac:dyDescent="0.2">
      <c r="B19" s="693" t="s">
        <v>530</v>
      </c>
      <c r="C19" s="2340">
        <f>'SCG Table A'!$J$17</f>
        <v>198719.80308169994</v>
      </c>
      <c r="D19" s="2340"/>
      <c r="E19" s="2461" t="e">
        <f>#REF!*1000</f>
        <v>#REF!</v>
      </c>
      <c r="F19" s="2461" t="e">
        <f>#REF!*1000</f>
        <v>#REF!</v>
      </c>
      <c r="G19" s="2461" t="e">
        <f>#REF!*1000</f>
        <v>#REF!</v>
      </c>
      <c r="H19" s="1115">
        <f ca="1">H18</f>
        <v>1.0520601897322115E-2</v>
      </c>
      <c r="I19" s="1922" t="e">
        <f t="shared" si="2"/>
        <v>#REF!</v>
      </c>
      <c r="J19" s="333" t="e">
        <f>G19/E19</f>
        <v>#REF!</v>
      </c>
      <c r="K19" s="2462" t="e">
        <f>#REF!</f>
        <v>#REF!</v>
      </c>
      <c r="L19" s="2342" t="str">
        <f>L18</f>
        <v>Units</v>
      </c>
      <c r="M19" s="2462" t="e">
        <f>#REF!</f>
        <v>#REF!</v>
      </c>
      <c r="N19" s="2462" t="e">
        <f>#REF!</f>
        <v>#REF!</v>
      </c>
      <c r="O19" s="2462" t="e">
        <f>#REF!</f>
        <v>#REF!</v>
      </c>
      <c r="P19" s="2341" t="e">
        <f t="shared" si="3"/>
        <v>#REF!</v>
      </c>
      <c r="Q19" s="2400" t="e">
        <f t="shared" si="4"/>
        <v>#REF!</v>
      </c>
      <c r="R19" s="2400"/>
      <c r="S19" s="2342">
        <v>0</v>
      </c>
      <c r="T19" s="2342">
        <v>0</v>
      </c>
      <c r="U19" s="2342">
        <v>0</v>
      </c>
      <c r="V19" s="2342">
        <v>0</v>
      </c>
      <c r="W19" s="1923" t="e">
        <f>+(M19*102900+S19*138690+U19*91330)/10^6</f>
        <v>#REF!</v>
      </c>
      <c r="X19" s="1923" t="e">
        <f>+(N19*102900+T19*138690+V19*91330)/10^6</f>
        <v>#REF!</v>
      </c>
      <c r="Y19" s="1925" t="e">
        <f>+C19/W19</f>
        <v>#REF!</v>
      </c>
      <c r="Z19" s="1989" t="e">
        <f>+E19/X19</f>
        <v>#REF!</v>
      </c>
    </row>
    <row r="20" spans="2:27" s="284" customFormat="1" ht="15.75" x14ac:dyDescent="0.25">
      <c r="B20" s="2366" t="s">
        <v>610</v>
      </c>
      <c r="C20" s="2330">
        <f>SUM(C18:C19)</f>
        <v>369875.33223750792</v>
      </c>
      <c r="D20" s="2330" t="e">
        <f>SUM(D18:D19)</f>
        <v>#REF!</v>
      </c>
      <c r="E20" s="2330" t="e">
        <f>SUM(E18:E19)</f>
        <v>#REF!</v>
      </c>
      <c r="F20" s="2330" t="e">
        <f>SUM(F18:F19)</f>
        <v>#REF!</v>
      </c>
      <c r="G20" s="2330" t="e">
        <f>SUM(G18:G19)</f>
        <v>#REF!</v>
      </c>
      <c r="H20" s="2331">
        <f ca="1">SUM(C20/$C$77)</f>
        <v>1.2043457043066242E-2</v>
      </c>
      <c r="I20" s="2332" t="e">
        <f t="shared" si="2"/>
        <v>#REF!</v>
      </c>
      <c r="J20" s="2332"/>
      <c r="K20" s="2439" t="e">
        <f>SUM(K18:K19)</f>
        <v>#REF!</v>
      </c>
      <c r="L20" s="2334"/>
      <c r="M20" s="2447" t="e">
        <f>SUM(M18:M19)</f>
        <v>#REF!</v>
      </c>
      <c r="N20" s="2447" t="e">
        <f>SUM(N18:N19)</f>
        <v>#REF!</v>
      </c>
      <c r="O20" s="2447" t="e">
        <f>SUM(O18:O19)</f>
        <v>#REF!</v>
      </c>
      <c r="P20" s="2336" t="e">
        <f t="shared" si="3"/>
        <v>#REF!</v>
      </c>
      <c r="Q20" s="2339" t="e">
        <f t="shared" si="4"/>
        <v>#REF!</v>
      </c>
      <c r="R20" s="2339"/>
      <c r="S20" s="2335">
        <f>SUM(S18:S19)</f>
        <v>0</v>
      </c>
      <c r="T20" s="2335">
        <f>SUM(T18:T19)</f>
        <v>0</v>
      </c>
      <c r="U20" s="2335">
        <f>SUM(U18:U19)</f>
        <v>0</v>
      </c>
      <c r="V20" s="2335">
        <f>SUM(V18:V19)</f>
        <v>0</v>
      </c>
      <c r="W20" s="2333" t="e">
        <f t="shared" si="0"/>
        <v>#REF!</v>
      </c>
      <c r="X20" s="2333" t="e">
        <f t="shared" si="0"/>
        <v>#REF!</v>
      </c>
      <c r="Y20" s="2336" t="e">
        <f t="shared" si="5"/>
        <v>#REF!</v>
      </c>
      <c r="Z20" s="2365" t="e">
        <f>+C20/X20</f>
        <v>#REF!</v>
      </c>
    </row>
    <row r="21" spans="2:27" s="2060" customFormat="1" ht="15.75" customHeight="1" x14ac:dyDescent="0.2">
      <c r="B21" s="2202" t="s">
        <v>170</v>
      </c>
      <c r="C21" s="2052">
        <f>'CNG Table A'!$J$13</f>
        <v>293761.55409718014</v>
      </c>
      <c r="D21" s="2052" t="e">
        <f>E21-C21</f>
        <v>#REF!</v>
      </c>
      <c r="E21" s="2461" t="e">
        <f>#REF!*1000</f>
        <v>#REF!</v>
      </c>
      <c r="F21" s="2461" t="e">
        <f>#REF!*1000</f>
        <v>#REF!</v>
      </c>
      <c r="G21" s="2461" t="e">
        <f>#REF!*1000</f>
        <v>#REF!</v>
      </c>
      <c r="H21" s="1115">
        <f ca="1">SUM(C21/$C$75)</f>
        <v>1.8056958946279022E-2</v>
      </c>
      <c r="I21" s="1922" t="e">
        <f t="shared" si="2"/>
        <v>#REF!</v>
      </c>
      <c r="J21" s="333" t="e">
        <f>G21/E21</f>
        <v>#REF!</v>
      </c>
      <c r="K21" s="2462" t="e">
        <f>#REF!</f>
        <v>#REF!</v>
      </c>
      <c r="L21" s="2342" t="s">
        <v>241</v>
      </c>
      <c r="M21" s="2462" t="e">
        <f>#REF!</f>
        <v>#REF!</v>
      </c>
      <c r="N21" s="2462" t="e">
        <f>#REF!</f>
        <v>#REF!</v>
      </c>
      <c r="O21" s="2462" t="e">
        <f>#REF!</f>
        <v>#REF!</v>
      </c>
      <c r="P21" s="335" t="e">
        <f t="shared" si="3"/>
        <v>#REF!</v>
      </c>
      <c r="Q21" s="2338" t="e">
        <f t="shared" si="4"/>
        <v>#REF!</v>
      </c>
      <c r="R21" s="2338" t="e">
        <f t="shared" si="1"/>
        <v>#REF!</v>
      </c>
      <c r="S21" s="2055"/>
      <c r="T21" s="2055"/>
      <c r="U21" s="2055"/>
      <c r="V21" s="2055"/>
      <c r="W21" s="2055" t="e">
        <f t="shared" si="0"/>
        <v>#REF!</v>
      </c>
      <c r="X21" s="2055" t="e">
        <f t="shared" si="0"/>
        <v>#REF!</v>
      </c>
      <c r="Y21" s="2057" t="e">
        <f t="shared" si="5"/>
        <v>#REF!</v>
      </c>
      <c r="Z21" s="2362" t="e">
        <f t="shared" ref="Z21:Z28" si="6">+C21/X21</f>
        <v>#REF!</v>
      </c>
    </row>
    <row r="22" spans="2:27" s="2060" customFormat="1" ht="15.75" customHeight="1" x14ac:dyDescent="0.2">
      <c r="B22" s="2202" t="s">
        <v>171</v>
      </c>
      <c r="C22" s="2052">
        <f>'SCG Table A'!$J$13</f>
        <v>325476.62145017151</v>
      </c>
      <c r="D22" s="2052" t="e">
        <f>E22-C22</f>
        <v>#REF!</v>
      </c>
      <c r="E22" s="2461" t="e">
        <f>#REF!*1000</f>
        <v>#REF!</v>
      </c>
      <c r="F22" s="2461" t="e">
        <f>#REF!*1000</f>
        <v>#REF!</v>
      </c>
      <c r="G22" s="2461" t="e">
        <f>#REF!*1000</f>
        <v>#REF!</v>
      </c>
      <c r="H22" s="1115">
        <f ca="1">H21</f>
        <v>1.8056958946279022E-2</v>
      </c>
      <c r="I22" s="1922" t="e">
        <f t="shared" si="2"/>
        <v>#REF!</v>
      </c>
      <c r="J22" s="333" t="e">
        <f>G22/E22</f>
        <v>#REF!</v>
      </c>
      <c r="K22" s="2462" t="e">
        <f>#REF!</f>
        <v>#REF!</v>
      </c>
      <c r="L22" s="2342" t="s">
        <v>241</v>
      </c>
      <c r="M22" s="2462" t="e">
        <f>#REF!</f>
        <v>#REF!</v>
      </c>
      <c r="N22" s="2462" t="e">
        <f>#REF!</f>
        <v>#REF!</v>
      </c>
      <c r="O22" s="2462" t="e">
        <f>#REF!</f>
        <v>#REF!</v>
      </c>
      <c r="P22" s="335" t="e">
        <f t="shared" si="3"/>
        <v>#REF!</v>
      </c>
      <c r="Q22" s="2338" t="e">
        <f t="shared" si="4"/>
        <v>#REF!</v>
      </c>
      <c r="R22" s="2338" t="e">
        <f t="shared" si="1"/>
        <v>#REF!</v>
      </c>
      <c r="S22" s="2055"/>
      <c r="T22" s="2055"/>
      <c r="U22" s="2055"/>
      <c r="V22" s="2055"/>
      <c r="W22" s="2055" t="e">
        <f t="shared" si="0"/>
        <v>#REF!</v>
      </c>
      <c r="X22" s="2055" t="e">
        <f t="shared" si="0"/>
        <v>#REF!</v>
      </c>
      <c r="Y22" s="2057" t="e">
        <f t="shared" si="5"/>
        <v>#REF!</v>
      </c>
      <c r="Z22" s="2362" t="e">
        <f t="shared" si="6"/>
        <v>#REF!</v>
      </c>
    </row>
    <row r="23" spans="2:27" ht="17.25" customHeight="1" x14ac:dyDescent="0.25">
      <c r="B23" s="2363" t="s">
        <v>204</v>
      </c>
      <c r="C23" s="2330">
        <f>SUM(C21:C22)</f>
        <v>619238.1755473516</v>
      </c>
      <c r="D23" s="2330" t="e">
        <f>SUM(D21:D22)</f>
        <v>#REF!</v>
      </c>
      <c r="E23" s="2330" t="e">
        <f>SUM(E21:E22)</f>
        <v>#REF!</v>
      </c>
      <c r="F23" s="2330" t="e">
        <f>SUM(F21:F22)</f>
        <v>#REF!</v>
      </c>
      <c r="G23" s="2330" t="e">
        <f>SUM(G21:G22)</f>
        <v>#REF!</v>
      </c>
      <c r="H23" s="2331">
        <f ca="1">SUM(C23/$C$77)</f>
        <v>2.0162924414333171E-2</v>
      </c>
      <c r="I23" s="2332" t="e">
        <f>F23/C23</f>
        <v>#REF!</v>
      </c>
      <c r="J23" s="2332" t="e">
        <f>G23/E23</f>
        <v>#REF!</v>
      </c>
      <c r="K23" s="2439" t="e">
        <f>SUM(K21:K22)</f>
        <v>#REF!</v>
      </c>
      <c r="L23" s="2334" t="s">
        <v>241</v>
      </c>
      <c r="M23" s="2447" t="e">
        <f>SUM(M21:M22)</f>
        <v>#REF!</v>
      </c>
      <c r="N23" s="2447" t="e">
        <f>SUM(N21:N22)</f>
        <v>#REF!</v>
      </c>
      <c r="O23" s="2447" t="e">
        <f>SUM(O21:O22)</f>
        <v>#REF!</v>
      </c>
      <c r="P23" s="2336" t="e">
        <f t="shared" si="3"/>
        <v>#REF!</v>
      </c>
      <c r="Q23" s="2339" t="e">
        <f t="shared" si="4"/>
        <v>#REF!</v>
      </c>
      <c r="R23" s="2339" t="e">
        <f t="shared" si="1"/>
        <v>#REF!</v>
      </c>
      <c r="S23" s="2344">
        <f>SUM(S14:S22)</f>
        <v>0</v>
      </c>
      <c r="T23" s="2344">
        <f>SUM(T14:T22)</f>
        <v>0</v>
      </c>
      <c r="U23" s="2344">
        <f>SUM(U14:U22)</f>
        <v>0</v>
      </c>
      <c r="V23" s="2344">
        <f>SUM(V14:V22)</f>
        <v>0</v>
      </c>
      <c r="W23" s="2333" t="e">
        <f t="shared" si="0"/>
        <v>#REF!</v>
      </c>
      <c r="X23" s="2333" t="e">
        <f t="shared" si="0"/>
        <v>#REF!</v>
      </c>
      <c r="Y23" s="2345" t="e">
        <f t="shared" si="5"/>
        <v>#REF!</v>
      </c>
      <c r="Z23" s="2367" t="e">
        <f t="shared" si="6"/>
        <v>#REF!</v>
      </c>
    </row>
    <row r="24" spans="2:27" s="284" customFormat="1" ht="15.75" hidden="1" customHeight="1" x14ac:dyDescent="0.2">
      <c r="B24" s="330" t="s">
        <v>142</v>
      </c>
      <c r="C24" s="331"/>
      <c r="D24" s="331"/>
      <c r="E24" s="331"/>
      <c r="F24" s="331"/>
      <c r="G24" s="331"/>
      <c r="H24" s="332"/>
      <c r="I24" s="333"/>
      <c r="J24" s="333"/>
      <c r="K24" s="2438"/>
      <c r="L24" s="2337"/>
      <c r="M24" s="2438"/>
      <c r="N24" s="2438"/>
      <c r="O24" s="2438"/>
      <c r="P24" s="335"/>
      <c r="Q24" s="2338"/>
      <c r="R24" s="2338" t="e">
        <f t="shared" si="1"/>
        <v>#DIV/0!</v>
      </c>
      <c r="S24" s="2055"/>
      <c r="T24" s="2055"/>
      <c r="U24" s="2055"/>
      <c r="V24" s="2055"/>
      <c r="W24" s="804">
        <f t="shared" si="0"/>
        <v>0</v>
      </c>
      <c r="X24" s="804">
        <f t="shared" si="0"/>
        <v>0</v>
      </c>
      <c r="Y24" s="2078" t="s">
        <v>3</v>
      </c>
      <c r="Z24" s="2368" t="s">
        <v>3</v>
      </c>
    </row>
    <row r="25" spans="2:27" s="2060" customFormat="1" ht="15.75" hidden="1" customHeight="1" x14ac:dyDescent="0.2">
      <c r="B25" s="2202" t="s">
        <v>143</v>
      </c>
      <c r="C25" s="2052"/>
      <c r="D25" s="2052"/>
      <c r="E25" s="2052"/>
      <c r="F25" s="2052"/>
      <c r="G25" s="2052"/>
      <c r="H25" s="2053">
        <f ca="1">SUM(C25/$C$75)</f>
        <v>0</v>
      </c>
      <c r="I25" s="2054" t="e">
        <f>F25/C25</f>
        <v>#DIV/0!</v>
      </c>
      <c r="J25" s="2054" t="e">
        <f>G25/E25</f>
        <v>#DIV/0!</v>
      </c>
      <c r="K25" s="2440"/>
      <c r="L25" s="2328" t="s">
        <v>242</v>
      </c>
      <c r="M25" s="2440"/>
      <c r="N25" s="2440"/>
      <c r="O25" s="2440"/>
      <c r="P25" s="2057" t="e">
        <f>C25/M25</f>
        <v>#DIV/0!</v>
      </c>
      <c r="Q25" s="2329" t="e">
        <f>C25/N25</f>
        <v>#DIV/0!</v>
      </c>
      <c r="R25" s="2329" t="e">
        <f t="shared" si="1"/>
        <v>#DIV/0!</v>
      </c>
      <c r="S25" s="2077"/>
      <c r="T25" s="2077"/>
      <c r="U25" s="2077"/>
      <c r="V25" s="2077"/>
      <c r="W25" s="2055">
        <f t="shared" si="0"/>
        <v>0</v>
      </c>
      <c r="X25" s="2055">
        <f t="shared" si="0"/>
        <v>0</v>
      </c>
      <c r="Y25" s="2078" t="e">
        <f t="shared" si="5"/>
        <v>#DIV/0!</v>
      </c>
      <c r="Z25" s="2368" t="e">
        <f t="shared" si="6"/>
        <v>#DIV/0!</v>
      </c>
    </row>
    <row r="26" spans="2:27" s="2060" customFormat="1" ht="15.75" hidden="1" customHeight="1" thickBot="1" x14ac:dyDescent="0.25">
      <c r="B26" s="2202" t="s">
        <v>144</v>
      </c>
      <c r="C26" s="2052" t="e">
        <f>'SCG Table A'!#REF!</f>
        <v>#REF!</v>
      </c>
      <c r="D26" s="2052" t="e">
        <f>E26-C26</f>
        <v>#REF!</v>
      </c>
      <c r="E26" s="2052"/>
      <c r="F26" s="2052"/>
      <c r="G26" s="2052"/>
      <c r="H26" s="2053" t="e">
        <f ca="1">SUM(C26/$C$76)</f>
        <v>#REF!</v>
      </c>
      <c r="I26" s="2054" t="e">
        <f>F26/C26</f>
        <v>#REF!</v>
      </c>
      <c r="J26" s="2054" t="e">
        <f>G26/E26</f>
        <v>#DIV/0!</v>
      </c>
      <c r="K26" s="2440"/>
      <c r="L26" s="2328" t="s">
        <v>242</v>
      </c>
      <c r="M26" s="2440"/>
      <c r="N26" s="2440"/>
      <c r="O26" s="2440"/>
      <c r="P26" s="2057" t="e">
        <f>C26/M26</f>
        <v>#REF!</v>
      </c>
      <c r="Q26" s="2329" t="e">
        <f>C26/N26</f>
        <v>#REF!</v>
      </c>
      <c r="R26" s="2329" t="e">
        <f t="shared" si="1"/>
        <v>#REF!</v>
      </c>
      <c r="S26" s="2077"/>
      <c r="T26" s="2077"/>
      <c r="U26" s="2077"/>
      <c r="V26" s="2077"/>
      <c r="W26" s="2055">
        <f t="shared" si="0"/>
        <v>0</v>
      </c>
      <c r="X26" s="2055">
        <f t="shared" si="0"/>
        <v>0</v>
      </c>
      <c r="Y26" s="2078" t="e">
        <f t="shared" si="5"/>
        <v>#REF!</v>
      </c>
      <c r="Z26" s="2368" t="e">
        <f t="shared" si="6"/>
        <v>#REF!</v>
      </c>
    </row>
    <row r="27" spans="2:27" ht="17.25" hidden="1" customHeight="1" thickBot="1" x14ac:dyDescent="0.3">
      <c r="B27" s="2363" t="s">
        <v>145</v>
      </c>
      <c r="C27" s="2330" t="e">
        <f>SUM(C24:C26)</f>
        <v>#REF!</v>
      </c>
      <c r="D27" s="2330" t="e">
        <f>SUM(D24:D26)</f>
        <v>#REF!</v>
      </c>
      <c r="E27" s="2330">
        <f>SUM(E24:E26)</f>
        <v>0</v>
      </c>
      <c r="F27" s="2330">
        <f>SUM(F24:F26)</f>
        <v>0</v>
      </c>
      <c r="G27" s="2330">
        <f>SUM(G24:G26)</f>
        <v>0</v>
      </c>
      <c r="H27" s="2331" t="e">
        <f ca="1">SUM(C27/$C$77)</f>
        <v>#REF!</v>
      </c>
      <c r="I27" s="2332" t="e">
        <f>F27/C27</f>
        <v>#REF!</v>
      </c>
      <c r="J27" s="2332" t="e">
        <f>G27/E27</f>
        <v>#DIV/0!</v>
      </c>
      <c r="K27" s="2439">
        <f>SUM(K24:K26)</f>
        <v>0</v>
      </c>
      <c r="L27" s="2346" t="s">
        <v>242</v>
      </c>
      <c r="M27" s="2447">
        <f>SUM(M24:M26)</f>
        <v>0</v>
      </c>
      <c r="N27" s="2447">
        <f>SUM(N24:N26)</f>
        <v>0</v>
      </c>
      <c r="O27" s="2447">
        <f>SUM(O24:O26)</f>
        <v>0</v>
      </c>
      <c r="P27" s="2336" t="e">
        <f>C27/M27</f>
        <v>#REF!</v>
      </c>
      <c r="Q27" s="2339" t="e">
        <f>C27/N27</f>
        <v>#REF!</v>
      </c>
      <c r="R27" s="2339" t="e">
        <f t="shared" si="1"/>
        <v>#REF!</v>
      </c>
      <c r="S27" s="2335">
        <f>SUM(S24:S26)</f>
        <v>0</v>
      </c>
      <c r="T27" s="2335">
        <f>SUM(T24:T26)</f>
        <v>0</v>
      </c>
      <c r="U27" s="2335">
        <f>SUM(U24:U26)</f>
        <v>0</v>
      </c>
      <c r="V27" s="2335">
        <f>SUM(V24:V26)</f>
        <v>0</v>
      </c>
      <c r="W27" s="2333">
        <f t="shared" si="0"/>
        <v>0</v>
      </c>
      <c r="X27" s="2333">
        <f t="shared" si="0"/>
        <v>0</v>
      </c>
      <c r="Y27" s="2336" t="e">
        <f t="shared" si="5"/>
        <v>#REF!</v>
      </c>
      <c r="Z27" s="2365" t="e">
        <f t="shared" si="6"/>
        <v>#REF!</v>
      </c>
    </row>
    <row r="28" spans="2:27" ht="16.5" thickBot="1" x14ac:dyDescent="0.3">
      <c r="B28" s="2369" t="s">
        <v>88</v>
      </c>
      <c r="C28" s="2370">
        <f>+C23+C20+C17+C13+C9</f>
        <v>18176097.885554995</v>
      </c>
      <c r="D28" s="2370" t="e">
        <f>D9+D13+D17+D20+D23+D27</f>
        <v>#REF!</v>
      </c>
      <c r="E28" s="2370" t="e">
        <f>+E23+E20+E17+E13+E9</f>
        <v>#REF!</v>
      </c>
      <c r="F28" s="2370" t="e">
        <f>+F23+F20+F17+F13+F9</f>
        <v>#REF!</v>
      </c>
      <c r="G28" s="2370" t="e">
        <f>+G23+G20+G17+G13+G9</f>
        <v>#REF!</v>
      </c>
      <c r="H28" s="2371">
        <f ca="1">SUM(C28/C77)</f>
        <v>0.59182928683301483</v>
      </c>
      <c r="I28" s="2372" t="e">
        <f>F28/C28</f>
        <v>#REF!</v>
      </c>
      <c r="J28" s="2372" t="e">
        <f>G28/E28</f>
        <v>#REF!</v>
      </c>
      <c r="K28" s="2456" t="e">
        <f>K9+K13+K17+K20+K23+K27</f>
        <v>#REF!</v>
      </c>
      <c r="L28" s="2374" t="s">
        <v>462</v>
      </c>
      <c r="M28" s="2448" t="e">
        <f>+M23+M20+M17+M13+M9</f>
        <v>#REF!</v>
      </c>
      <c r="N28" s="2448" t="e">
        <f>+N23+N20+N17+N13+N9</f>
        <v>#REF!</v>
      </c>
      <c r="O28" s="2448" t="e">
        <f>+O23+O20+O17+O13+O9</f>
        <v>#REF!</v>
      </c>
      <c r="P28" s="2376" t="e">
        <f>C28/M28</f>
        <v>#REF!</v>
      </c>
      <c r="Q28" s="2376" t="e">
        <f>C28/N28</f>
        <v>#REF!</v>
      </c>
      <c r="R28" s="2376" t="e">
        <f t="shared" si="1"/>
        <v>#REF!</v>
      </c>
      <c r="S28" s="2375">
        <f t="shared" ref="S28:X28" si="7">S9+S13+S17+S20+S23+S27</f>
        <v>0</v>
      </c>
      <c r="T28" s="2375">
        <f t="shared" si="7"/>
        <v>0</v>
      </c>
      <c r="U28" s="2375">
        <f t="shared" si="7"/>
        <v>0</v>
      </c>
      <c r="V28" s="2375">
        <f t="shared" si="7"/>
        <v>0</v>
      </c>
      <c r="W28" s="2375" t="e">
        <f t="shared" si="7"/>
        <v>#REF!</v>
      </c>
      <c r="X28" s="2375" t="e">
        <f t="shared" si="7"/>
        <v>#REF!</v>
      </c>
      <c r="Y28" s="2376" t="e">
        <f t="shared" si="5"/>
        <v>#REF!</v>
      </c>
      <c r="Z28" s="2377" t="e">
        <f t="shared" si="6"/>
        <v>#REF!</v>
      </c>
    </row>
    <row r="29" spans="2:27" ht="15.75" customHeight="1" x14ac:dyDescent="0.25">
      <c r="B29" s="2322"/>
      <c r="C29" s="2323"/>
      <c r="D29" s="2323"/>
      <c r="E29" s="2323"/>
      <c r="F29" s="2323"/>
      <c r="G29" s="2323"/>
      <c r="H29" s="2324"/>
      <c r="I29" s="2325"/>
      <c r="J29" s="2325"/>
      <c r="K29" s="2442"/>
      <c r="L29" s="2326"/>
      <c r="M29" s="2449"/>
      <c r="N29" s="2449"/>
      <c r="O29" s="2449"/>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443"/>
      <c r="L30" s="2159"/>
      <c r="M30" s="2443"/>
      <c r="N30" s="2443"/>
      <c r="O30" s="2443"/>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444"/>
      <c r="L31" s="2134"/>
      <c r="M31" s="2444"/>
      <c r="N31" s="2444"/>
      <c r="O31" s="2444"/>
      <c r="P31" s="341"/>
      <c r="Q31" s="336"/>
      <c r="R31" s="336"/>
      <c r="S31" s="336"/>
      <c r="T31" s="336"/>
      <c r="U31" s="336"/>
      <c r="V31" s="336"/>
      <c r="W31" s="2146" t="s">
        <v>3</v>
      </c>
      <c r="X31" s="2146" t="s">
        <v>3</v>
      </c>
      <c r="Y31" s="341" t="s">
        <v>3</v>
      </c>
      <c r="Z31" s="336" t="s">
        <v>3</v>
      </c>
    </row>
    <row r="32" spans="2:27" s="284" customFormat="1" ht="15" x14ac:dyDescent="0.2">
      <c r="B32" s="399" t="s">
        <v>125</v>
      </c>
      <c r="C32" s="351">
        <f>'CNG Table A'!$J$20</f>
        <v>1975107.6746147869</v>
      </c>
      <c r="D32" s="1108" t="e">
        <f>E32-C32</f>
        <v>#REF!</v>
      </c>
      <c r="E32" s="2463" t="e">
        <f>#REF!*1000</f>
        <v>#REF!</v>
      </c>
      <c r="F32" s="2464" t="e">
        <f>#REF!*1000</f>
        <v>#REF!</v>
      </c>
      <c r="G32" s="2463" t="e">
        <f>#REF!*1000</f>
        <v>#REF!</v>
      </c>
      <c r="H32" s="401">
        <f ca="1">SUM(C32/$C$75)</f>
        <v>0.12140607815276459</v>
      </c>
      <c r="I32" s="2137" t="e">
        <f>F32/C32</f>
        <v>#REF!</v>
      </c>
      <c r="J32" s="2137" t="e">
        <f>G32/E32</f>
        <v>#REF!</v>
      </c>
      <c r="K32" s="2466" t="e">
        <f>#REF!</f>
        <v>#REF!</v>
      </c>
      <c r="L32" s="354" t="s">
        <v>244</v>
      </c>
      <c r="M32" s="2466" t="e">
        <f>#REF!</f>
        <v>#REF!</v>
      </c>
      <c r="N32" s="2466" t="e">
        <f>#REF!</f>
        <v>#REF!</v>
      </c>
      <c r="O32" s="2466" t="e">
        <f>#REF!</f>
        <v>#REF!</v>
      </c>
      <c r="P32" s="2120" t="e">
        <f>C32/M32</f>
        <v>#REF!</v>
      </c>
      <c r="Q32" s="2378" t="e">
        <f>C32/N32</f>
        <v>#REF!</v>
      </c>
      <c r="R32" s="2378" t="e">
        <f>C32/O32</f>
        <v>#REF!</v>
      </c>
      <c r="S32" s="2121"/>
      <c r="T32" s="2121"/>
      <c r="U32" s="2121"/>
      <c r="V32" s="2121"/>
      <c r="W32" s="2121" t="e">
        <f t="shared" ref="W32:X34" si="8">+(M32*102900+S32*138690+U32*91330)/10^6</f>
        <v>#REF!</v>
      </c>
      <c r="X32" s="2121" t="e">
        <f t="shared" si="8"/>
        <v>#REF!</v>
      </c>
      <c r="Y32" s="2120" t="e">
        <f>+C32/W32</f>
        <v>#REF!</v>
      </c>
      <c r="Z32" s="356" t="e">
        <f>+C32/X32</f>
        <v>#REF!</v>
      </c>
    </row>
    <row r="33" spans="2:30" s="284" customFormat="1" ht="15" x14ac:dyDescent="0.2">
      <c r="B33" s="381" t="s">
        <v>126</v>
      </c>
      <c r="C33" s="331">
        <f>'SCG Table A'!$J$20</f>
        <v>1627060.417187348</v>
      </c>
      <c r="D33" s="874" t="e">
        <f>E33-C33</f>
        <v>#REF!</v>
      </c>
      <c r="E33" s="2461" t="e">
        <f>#REF!*1000</f>
        <v>#REF!</v>
      </c>
      <c r="F33" s="2461" t="e">
        <f>#REF!*1000</f>
        <v>#REF!</v>
      </c>
      <c r="G33" s="2461" t="e">
        <f>#REF!*1000</f>
        <v>#REF!</v>
      </c>
      <c r="H33" s="332">
        <f ca="1">SUM(C33/$C$76)</f>
        <v>0.11265298848134296</v>
      </c>
      <c r="I33" s="333" t="e">
        <f>F33/C33</f>
        <v>#REF!</v>
      </c>
      <c r="J33" s="333" t="e">
        <f>G33/E33</f>
        <v>#REF!</v>
      </c>
      <c r="K33" s="2756" t="e">
        <f>#REF!</f>
        <v>#REF!</v>
      </c>
      <c r="L33" s="2337" t="s">
        <v>244</v>
      </c>
      <c r="M33" s="2756" t="e">
        <f>#REF!</f>
        <v>#REF!</v>
      </c>
      <c r="N33" s="2756" t="e">
        <f>#REF!</f>
        <v>#REF!</v>
      </c>
      <c r="O33" s="2756" t="e">
        <f>#REF!</f>
        <v>#REF!</v>
      </c>
      <c r="P33" s="335" t="e">
        <f>C33/M33</f>
        <v>#REF!</v>
      </c>
      <c r="Q33" s="2338" t="e">
        <f>C33/N33</f>
        <v>#REF!</v>
      </c>
      <c r="R33" s="2338" t="e">
        <f>C33/O33</f>
        <v>#REF!</v>
      </c>
      <c r="S33" s="804"/>
      <c r="T33" s="804"/>
      <c r="U33" s="804"/>
      <c r="V33" s="804"/>
      <c r="W33" s="804" t="e">
        <f t="shared" si="8"/>
        <v>#REF!</v>
      </c>
      <c r="X33" s="804" t="e">
        <f t="shared" si="8"/>
        <v>#REF!</v>
      </c>
      <c r="Y33" s="335" t="e">
        <f>+C33/W33</f>
        <v>#REF!</v>
      </c>
      <c r="Z33" s="358" t="e">
        <f>+C33/X33</f>
        <v>#REF!</v>
      </c>
    </row>
    <row r="34" spans="2:30" ht="17.25" customHeight="1" thickBot="1" x14ac:dyDescent="0.3">
      <c r="B34" s="2369" t="s">
        <v>137</v>
      </c>
      <c r="C34" s="2379">
        <f>SUM(C31:C33)</f>
        <v>3602168.0918021351</v>
      </c>
      <c r="D34" s="2379" t="e">
        <f>SUM(D31:D33)</f>
        <v>#REF!</v>
      </c>
      <c r="E34" s="2379" t="e">
        <f>SUM(E31:E33)</f>
        <v>#REF!</v>
      </c>
      <c r="F34" s="2379" t="e">
        <f>SUM(F31:F33)</f>
        <v>#REF!</v>
      </c>
      <c r="G34" s="2379" t="e">
        <f>SUM(G31:G33)</f>
        <v>#REF!</v>
      </c>
      <c r="H34" s="2380">
        <f ca="1">SUM(C34/$C$77)</f>
        <v>0.11728967274753452</v>
      </c>
      <c r="I34" s="2372" t="e">
        <f>F34/C34</f>
        <v>#REF!</v>
      </c>
      <c r="J34" s="2372" t="e">
        <f>G34/E34</f>
        <v>#REF!</v>
      </c>
      <c r="K34" s="2446" t="e">
        <f>+K31+K32+K33</f>
        <v>#REF!</v>
      </c>
      <c r="L34" s="2379" t="s">
        <v>244</v>
      </c>
      <c r="M34" s="2448" t="e">
        <f>SUM(M31:M33)</f>
        <v>#REF!</v>
      </c>
      <c r="N34" s="2448" t="e">
        <f>SUM(N31:N33)</f>
        <v>#REF!</v>
      </c>
      <c r="O34" s="2448" t="e">
        <f>SUM(O31:O33)</f>
        <v>#REF!</v>
      </c>
      <c r="P34" s="2382" t="e">
        <f>C34/M34</f>
        <v>#REF!</v>
      </c>
      <c r="Q34" s="2376" t="e">
        <f>C34/N34</f>
        <v>#REF!</v>
      </c>
      <c r="R34" s="2376" t="e">
        <f>C34/O34</f>
        <v>#REF!</v>
      </c>
      <c r="S34" s="2375">
        <f>SUM(S31:S33)</f>
        <v>0</v>
      </c>
      <c r="T34" s="2375">
        <f>SUM(T31:T33)</f>
        <v>0</v>
      </c>
      <c r="U34" s="2375">
        <f>SUM(U31:U33)</f>
        <v>0</v>
      </c>
      <c r="V34" s="2375">
        <f>SUM(V31:V33)</f>
        <v>0</v>
      </c>
      <c r="W34" s="2381" t="e">
        <f t="shared" si="8"/>
        <v>#REF!</v>
      </c>
      <c r="X34" s="2381" t="e">
        <f t="shared" si="8"/>
        <v>#REF!</v>
      </c>
      <c r="Y34" s="2382" t="e">
        <f>+C34/W34</f>
        <v>#REF!</v>
      </c>
      <c r="Z34" s="2377" t="e">
        <f>+C34/X34</f>
        <v>#REF!</v>
      </c>
    </row>
    <row r="35" spans="2:30" ht="15.75" customHeight="1" thickBot="1" x14ac:dyDescent="0.3">
      <c r="B35" s="2158" t="s">
        <v>132</v>
      </c>
      <c r="C35" s="2159"/>
      <c r="D35" s="2159"/>
      <c r="E35" s="2159"/>
      <c r="F35" s="2159"/>
      <c r="G35" s="2159"/>
      <c r="H35" s="2159"/>
      <c r="I35" s="2159"/>
      <c r="J35" s="2159"/>
      <c r="K35" s="2443"/>
      <c r="L35" s="2159"/>
      <c r="M35" s="2443"/>
      <c r="N35" s="2443"/>
      <c r="O35" s="2443"/>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444"/>
      <c r="L36" s="2134"/>
      <c r="M36" s="2444"/>
      <c r="N36" s="2444"/>
      <c r="O36" s="2444"/>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f>'CNG Table A'!$J$21</f>
        <v>1152717.7822517415</v>
      </c>
      <c r="D37" s="1108" t="e">
        <f>E37-C37</f>
        <v>#REF!</v>
      </c>
      <c r="E37" s="2461" t="e">
        <f>#REF!*1000</f>
        <v>#REF!</v>
      </c>
      <c r="F37" s="2461" t="e">
        <f>#REF!*1000</f>
        <v>#REF!</v>
      </c>
      <c r="G37" s="2461" t="e">
        <f>#REF!*1000</f>
        <v>#REF!</v>
      </c>
      <c r="H37" s="401">
        <f ca="1">SUM(C37/$C$75)</f>
        <v>7.0855349791211164E-2</v>
      </c>
      <c r="I37" s="2137" t="e">
        <f>F37/C37</f>
        <v>#REF!</v>
      </c>
      <c r="J37" s="2137" t="e">
        <f>G37/E37</f>
        <v>#REF!</v>
      </c>
      <c r="K37" s="2467" t="e">
        <f>#REF!</f>
        <v>#REF!</v>
      </c>
      <c r="L37" s="354" t="s">
        <v>244</v>
      </c>
      <c r="M37" s="2467" t="e">
        <f>#REF!</f>
        <v>#REF!</v>
      </c>
      <c r="N37" s="2467" t="e">
        <f>#REF!</f>
        <v>#REF!</v>
      </c>
      <c r="O37" s="2467" t="e">
        <f>#REF!</f>
        <v>#REF!</v>
      </c>
      <c r="P37" s="2120" t="e">
        <f>C37/M37</f>
        <v>#REF!</v>
      </c>
      <c r="Q37" s="2378" t="e">
        <f>C37/N37</f>
        <v>#REF!</v>
      </c>
      <c r="R37" s="2378" t="e">
        <f t="shared" ref="R37:R48" si="9">C37/O37</f>
        <v>#REF!</v>
      </c>
      <c r="S37" s="2121"/>
      <c r="T37" s="2121"/>
      <c r="U37" s="2121"/>
      <c r="V37" s="2121"/>
      <c r="W37" s="2121" t="e">
        <f t="shared" ref="W37:X47" si="10">+(M37*102900+S37*138690+U37*91330)/10^6</f>
        <v>#REF!</v>
      </c>
      <c r="X37" s="2121" t="e">
        <f t="shared" si="10"/>
        <v>#REF!</v>
      </c>
      <c r="Y37" s="2120" t="e">
        <f>+C37/W37</f>
        <v>#REF!</v>
      </c>
      <c r="Z37" s="356" t="e">
        <f>+C37/X37</f>
        <v>#REF!</v>
      </c>
      <c r="AA37" s="295"/>
    </row>
    <row r="38" spans="2:30" s="284" customFormat="1" ht="15.75" customHeight="1" x14ac:dyDescent="0.2">
      <c r="B38" s="330" t="s">
        <v>130</v>
      </c>
      <c r="C38" s="331">
        <f>'SCG Table A'!$J$21</f>
        <v>1072738.4886555539</v>
      </c>
      <c r="D38" s="874" t="e">
        <f>E38-C38</f>
        <v>#REF!</v>
      </c>
      <c r="E38" s="2461" t="e">
        <f>#REF!*1000</f>
        <v>#REF!</v>
      </c>
      <c r="F38" s="2461" t="e">
        <f>#REF!*1000</f>
        <v>#REF!</v>
      </c>
      <c r="G38" s="2461" t="e">
        <f>#REF!*1000</f>
        <v>#REF!</v>
      </c>
      <c r="H38" s="332">
        <f ca="1">SUM(C38/$C$76)</f>
        <v>7.4273330805325846E-2</v>
      </c>
      <c r="I38" s="333" t="e">
        <f>F38/C38</f>
        <v>#REF!</v>
      </c>
      <c r="J38" s="333" t="e">
        <f>G38/E38</f>
        <v>#REF!</v>
      </c>
      <c r="K38" s="2467" t="e">
        <f>#REF!</f>
        <v>#REF!</v>
      </c>
      <c r="L38" s="2337" t="s">
        <v>244</v>
      </c>
      <c r="M38" s="2467" t="e">
        <f>#REF!</f>
        <v>#REF!</v>
      </c>
      <c r="N38" s="2467" t="e">
        <f>#REF!</f>
        <v>#REF!</v>
      </c>
      <c r="O38" s="2467" t="e">
        <f>#REF!</f>
        <v>#REF!</v>
      </c>
      <c r="P38" s="335" t="e">
        <f>C38/M38</f>
        <v>#REF!</v>
      </c>
      <c r="Q38" s="2338" t="e">
        <f>C38/N38</f>
        <v>#REF!</v>
      </c>
      <c r="R38" s="2338" t="e">
        <f t="shared" si="9"/>
        <v>#REF!</v>
      </c>
      <c r="S38" s="804"/>
      <c r="T38" s="804"/>
      <c r="U38" s="804"/>
      <c r="V38" s="804"/>
      <c r="W38" s="804" t="e">
        <f t="shared" si="10"/>
        <v>#REF!</v>
      </c>
      <c r="X38" s="804" t="e">
        <f t="shared" si="10"/>
        <v>#REF!</v>
      </c>
      <c r="Y38" s="335" t="e">
        <f>+C38/W38</f>
        <v>#REF!</v>
      </c>
      <c r="Z38" s="358" t="e">
        <f>+C38/X38</f>
        <v>#REF!</v>
      </c>
      <c r="AA38" s="295"/>
    </row>
    <row r="39" spans="2:30" ht="18" customHeight="1" x14ac:dyDescent="0.25">
      <c r="B39" s="2366" t="s">
        <v>617</v>
      </c>
      <c r="C39" s="2330">
        <f>SUM(C36:C38)</f>
        <v>2225456.2709072954</v>
      </c>
      <c r="D39" s="2330" t="e">
        <f>SUM(D36:D38)</f>
        <v>#REF!</v>
      </c>
      <c r="E39" s="2330" t="e">
        <f>SUM(E36:E38)</f>
        <v>#REF!</v>
      </c>
      <c r="F39" s="2330" t="e">
        <f>SUM(F36:F38)</f>
        <v>#REF!</v>
      </c>
      <c r="G39" s="2330" t="e">
        <f>SUM(G36:G38)</f>
        <v>#REF!</v>
      </c>
      <c r="H39" s="2331">
        <f ca="1">SUM(C63/$C$77)</f>
        <v>0.31198790574742385</v>
      </c>
      <c r="I39" s="2332" t="e">
        <f>F63/C63</f>
        <v>#REF!</v>
      </c>
      <c r="J39" s="2332" t="e">
        <f>G63/E63</f>
        <v>#REF!</v>
      </c>
      <c r="K39" s="2439" t="e">
        <f>+K36+K37+K38</f>
        <v>#REF!</v>
      </c>
      <c r="L39" s="2330" t="s">
        <v>244</v>
      </c>
      <c r="M39" s="2447" t="e">
        <f>SUM(M36:M38)</f>
        <v>#REF!</v>
      </c>
      <c r="N39" s="2447" t="e">
        <f>SUM(N36:N38)</f>
        <v>#REF!</v>
      </c>
      <c r="O39" s="2447" t="e">
        <f>SUM(O36:O38)</f>
        <v>#REF!</v>
      </c>
      <c r="P39" s="2336" t="e">
        <f>C39/M39</f>
        <v>#REF!</v>
      </c>
      <c r="Q39" s="2339" t="e">
        <f>C39/N39</f>
        <v>#REF!</v>
      </c>
      <c r="R39" s="2339" t="e">
        <f t="shared" si="9"/>
        <v>#REF!</v>
      </c>
      <c r="S39" s="2335">
        <f>SUM(S36:S38)</f>
        <v>0</v>
      </c>
      <c r="T39" s="2335">
        <f>SUM(T36:T38)</f>
        <v>0</v>
      </c>
      <c r="U39" s="2335">
        <f>SUM(U36:U38)</f>
        <v>0</v>
      </c>
      <c r="V39" s="2335">
        <f>SUM(V36:V38)</f>
        <v>0</v>
      </c>
      <c r="W39" s="2333" t="e">
        <f t="shared" si="10"/>
        <v>#REF!</v>
      </c>
      <c r="X39" s="2333" t="e">
        <f t="shared" si="10"/>
        <v>#REF!</v>
      </c>
      <c r="Y39" s="2336" t="e">
        <f>+C39/W39</f>
        <v>#REF!</v>
      </c>
      <c r="Z39" s="2365" t="e">
        <f>+C39/X39</f>
        <v>#REF!</v>
      </c>
    </row>
    <row r="40" spans="2:30" s="284" customFormat="1" ht="15.75" hidden="1" customHeight="1" x14ac:dyDescent="0.2">
      <c r="B40" s="330" t="s">
        <v>133</v>
      </c>
      <c r="C40" s="331"/>
      <c r="D40" s="331"/>
      <c r="E40" s="331"/>
      <c r="F40" s="331"/>
      <c r="G40" s="331"/>
      <c r="H40" s="332"/>
      <c r="I40" s="333"/>
      <c r="J40" s="333"/>
      <c r="K40" s="2438"/>
      <c r="L40" s="2337"/>
      <c r="M40" s="2438"/>
      <c r="N40" s="2438"/>
      <c r="O40" s="2438"/>
      <c r="P40" s="335"/>
      <c r="Q40" s="2338"/>
      <c r="R40" s="2338" t="e">
        <f t="shared" si="9"/>
        <v>#DIV/0!</v>
      </c>
      <c r="S40" s="2337"/>
      <c r="T40" s="2337"/>
      <c r="U40" s="2337"/>
      <c r="V40" s="2337"/>
      <c r="W40" s="804">
        <f t="shared" si="10"/>
        <v>0</v>
      </c>
      <c r="X40" s="804">
        <f t="shared" si="10"/>
        <v>0</v>
      </c>
      <c r="Y40" s="335" t="s">
        <v>3</v>
      </c>
      <c r="Z40" s="358" t="s">
        <v>3</v>
      </c>
    </row>
    <row r="41" spans="2:30" s="284" customFormat="1" ht="15.75" customHeight="1" x14ac:dyDescent="0.2">
      <c r="B41" s="615" t="s">
        <v>582</v>
      </c>
      <c r="C41" s="331">
        <f>'CNG Table A'!$J$22</f>
        <v>608762.80100521806</v>
      </c>
      <c r="D41" s="874" t="e">
        <f>E41-C41</f>
        <v>#REF!</v>
      </c>
      <c r="E41" s="2461" t="e">
        <f>#REF!*1000</f>
        <v>#REF!</v>
      </c>
      <c r="F41" s="2461" t="e">
        <f>#REF!*1000</f>
        <v>#REF!</v>
      </c>
      <c r="G41" s="2461" t="e">
        <f>#REF!*1000</f>
        <v>#REF!</v>
      </c>
      <c r="H41" s="332">
        <f ca="1">SUM(C41/$C$75)</f>
        <v>3.741948104664717E-2</v>
      </c>
      <c r="I41" s="333" t="e">
        <f>F41/C41</f>
        <v>#REF!</v>
      </c>
      <c r="J41" s="333" t="e">
        <f>G41/E41</f>
        <v>#REF!</v>
      </c>
      <c r="K41" s="2467" t="e">
        <f>#REF!</f>
        <v>#REF!</v>
      </c>
      <c r="L41" s="804" t="s">
        <v>244</v>
      </c>
      <c r="M41" s="2467" t="e">
        <f>#REF!</f>
        <v>#REF!</v>
      </c>
      <c r="N41" s="2467" t="e">
        <f>#REF!</f>
        <v>#REF!</v>
      </c>
      <c r="O41" s="2467" t="e">
        <f>#REF!</f>
        <v>#REF!</v>
      </c>
      <c r="P41" s="335" t="e">
        <f>C41/M41</f>
        <v>#REF!</v>
      </c>
      <c r="Q41" s="2338" t="e">
        <f>C41/N41</f>
        <v>#REF!</v>
      </c>
      <c r="R41" s="2338" t="e">
        <f t="shared" si="9"/>
        <v>#REF!</v>
      </c>
      <c r="S41" s="804"/>
      <c r="T41" s="804"/>
      <c r="U41" s="804"/>
      <c r="V41" s="804"/>
      <c r="W41" s="804" t="e">
        <f t="shared" si="10"/>
        <v>#REF!</v>
      </c>
      <c r="X41" s="804" t="e">
        <f t="shared" si="10"/>
        <v>#REF!</v>
      </c>
      <c r="Y41" s="335" t="e">
        <f>+C41/W41</f>
        <v>#REF!</v>
      </c>
      <c r="Z41" s="358" t="e">
        <f>+C41/X41</f>
        <v>#REF!</v>
      </c>
    </row>
    <row r="42" spans="2:30" s="284" customFormat="1" ht="16.5" customHeight="1" x14ac:dyDescent="0.2">
      <c r="B42" s="615" t="s">
        <v>583</v>
      </c>
      <c r="C42" s="331">
        <f>'SCG Table A'!$J$22</f>
        <v>481971.15184258</v>
      </c>
      <c r="D42" s="874" t="e">
        <f>E42-C42</f>
        <v>#REF!</v>
      </c>
      <c r="E42" s="2461" t="e">
        <f>#REF!*1000</f>
        <v>#REF!</v>
      </c>
      <c r="F42" s="2461" t="e">
        <f>#REF!*1000</f>
        <v>#REF!</v>
      </c>
      <c r="G42" s="2461" t="e">
        <f>#REF!*1000</f>
        <v>#REF!</v>
      </c>
      <c r="H42" s="332">
        <f ca="1">SUM(C42/$C$76)</f>
        <v>3.3370297773404632E-2</v>
      </c>
      <c r="I42" s="333" t="e">
        <f>F42/C42</f>
        <v>#REF!</v>
      </c>
      <c r="J42" s="333" t="e">
        <f>G42/E42</f>
        <v>#REF!</v>
      </c>
      <c r="K42" s="2467" t="e">
        <f>#REF!</f>
        <v>#REF!</v>
      </c>
      <c r="L42" s="804" t="s">
        <v>244</v>
      </c>
      <c r="M42" s="2467" t="e">
        <f>#REF!</f>
        <v>#REF!</v>
      </c>
      <c r="N42" s="2467" t="e">
        <f>#REF!</f>
        <v>#REF!</v>
      </c>
      <c r="O42" s="2467" t="e">
        <f>#REF!</f>
        <v>#REF!</v>
      </c>
      <c r="P42" s="335" t="e">
        <f>C42/M42</f>
        <v>#REF!</v>
      </c>
      <c r="Q42" s="2338" t="e">
        <f>C42/N42</f>
        <v>#REF!</v>
      </c>
      <c r="R42" s="2338" t="e">
        <f t="shared" si="9"/>
        <v>#REF!</v>
      </c>
      <c r="S42" s="804"/>
      <c r="T42" s="804"/>
      <c r="U42" s="804"/>
      <c r="V42" s="804"/>
      <c r="W42" s="804" t="e">
        <f t="shared" si="10"/>
        <v>#REF!</v>
      </c>
      <c r="X42" s="804" t="e">
        <f t="shared" si="10"/>
        <v>#REF!</v>
      </c>
      <c r="Y42" s="335" t="e">
        <f>+C42/W42</f>
        <v>#REF!</v>
      </c>
      <c r="Z42" s="358" t="e">
        <f>+C42/X42</f>
        <v>#REF!</v>
      </c>
    </row>
    <row r="43" spans="2:30" ht="19.5" customHeight="1" x14ac:dyDescent="0.25">
      <c r="B43" s="2363" t="s">
        <v>136</v>
      </c>
      <c r="C43" s="2330">
        <f>SUM(C40:C42)</f>
        <v>1090733.9528477981</v>
      </c>
      <c r="D43" s="2330" t="e">
        <f>SUM(D40:D42)</f>
        <v>#REF!</v>
      </c>
      <c r="E43" s="2330" t="e">
        <f>SUM(E41:E42)</f>
        <v>#REF!</v>
      </c>
      <c r="F43" s="2330" t="e">
        <f>SUM(F41:F42)</f>
        <v>#REF!</v>
      </c>
      <c r="G43" s="2330" t="e">
        <f>SUM(G41:G42)</f>
        <v>#REF!</v>
      </c>
      <c r="H43" s="2331">
        <f ca="1">SUM(C43/$C$77)</f>
        <v>3.5515230029184934E-2</v>
      </c>
      <c r="I43" s="2332" t="e">
        <f>F43/C43</f>
        <v>#REF!</v>
      </c>
      <c r="J43" s="2332" t="e">
        <f>G43/E43</f>
        <v>#REF!</v>
      </c>
      <c r="K43" s="2439" t="e">
        <f>SUM(K41:K42)</f>
        <v>#REF!</v>
      </c>
      <c r="L43" s="2330" t="s">
        <v>244</v>
      </c>
      <c r="M43" s="2447" t="e">
        <f>SUM(M40:M42)</f>
        <v>#REF!</v>
      </c>
      <c r="N43" s="2447" t="e">
        <f>SUM(N40:N42)</f>
        <v>#REF!</v>
      </c>
      <c r="O43" s="2447" t="e">
        <f>SUM(O40:O42)</f>
        <v>#REF!</v>
      </c>
      <c r="P43" s="2336" t="e">
        <f>C43/M43</f>
        <v>#REF!</v>
      </c>
      <c r="Q43" s="2339" t="e">
        <f>C43/N43</f>
        <v>#REF!</v>
      </c>
      <c r="R43" s="2339" t="e">
        <f t="shared" si="9"/>
        <v>#REF!</v>
      </c>
      <c r="S43" s="2335">
        <f>SUM(S40:S42)</f>
        <v>0</v>
      </c>
      <c r="T43" s="2335">
        <f>SUM(T40:T42)</f>
        <v>0</v>
      </c>
      <c r="U43" s="2335"/>
      <c r="V43" s="2335"/>
      <c r="W43" s="2333" t="e">
        <f t="shared" si="10"/>
        <v>#REF!</v>
      </c>
      <c r="X43" s="2333" t="e">
        <f t="shared" si="10"/>
        <v>#REF!</v>
      </c>
      <c r="Y43" s="2336" t="e">
        <f>+C43/W43</f>
        <v>#REF!</v>
      </c>
      <c r="Z43" s="2365" t="e">
        <f>+C43/X43</f>
        <v>#REF!</v>
      </c>
    </row>
    <row r="44" spans="2:30" ht="15.75" hidden="1" customHeight="1" x14ac:dyDescent="0.2">
      <c r="B44" s="330" t="s">
        <v>251</v>
      </c>
      <c r="C44" s="331"/>
      <c r="D44" s="331"/>
      <c r="E44" s="331"/>
      <c r="F44" s="331"/>
      <c r="G44" s="331"/>
      <c r="H44" s="332"/>
      <c r="I44" s="333"/>
      <c r="J44" s="333"/>
      <c r="K44" s="2438"/>
      <c r="L44" s="2337"/>
      <c r="M44" s="2438"/>
      <c r="N44" s="2438"/>
      <c r="O44" s="2438"/>
      <c r="P44" s="335"/>
      <c r="Q44" s="2338"/>
      <c r="R44" s="2338" t="e">
        <f t="shared" si="9"/>
        <v>#DIV/0!</v>
      </c>
      <c r="S44" s="2337"/>
      <c r="T44" s="2337"/>
      <c r="U44" s="2337"/>
      <c r="V44" s="2337"/>
      <c r="W44" s="804">
        <f t="shared" si="10"/>
        <v>0</v>
      </c>
      <c r="X44" s="804">
        <f t="shared" si="10"/>
        <v>0</v>
      </c>
      <c r="Y44" s="335" t="s">
        <v>3</v>
      </c>
      <c r="Z44" s="358" t="s">
        <v>3</v>
      </c>
    </row>
    <row r="45" spans="2:30" ht="15.75" customHeight="1" x14ac:dyDescent="0.2">
      <c r="B45" s="330" t="s">
        <v>252</v>
      </c>
      <c r="C45" s="331">
        <f>'CNG Table A'!$J$23</f>
        <v>475581.6991567784</v>
      </c>
      <c r="D45" s="874" t="e">
        <f>E45-C45</f>
        <v>#REF!</v>
      </c>
      <c r="E45" s="2461" t="e">
        <f>#REF!*1000</f>
        <v>#REF!</v>
      </c>
      <c r="F45" s="2461" t="e">
        <f>#REF!*1000</f>
        <v>#REF!</v>
      </c>
      <c r="G45" s="2461" t="e">
        <f>#REF!*1000</f>
        <v>#REF!</v>
      </c>
      <c r="H45" s="332">
        <f ca="1">SUM(C45/$C$75)</f>
        <v>2.9233094315788827E-2</v>
      </c>
      <c r="I45" s="333" t="e">
        <f>F45/C45</f>
        <v>#REF!</v>
      </c>
      <c r="J45" s="333" t="e">
        <f>G45/E45</f>
        <v>#REF!</v>
      </c>
      <c r="K45" s="2467" t="e">
        <f>#REF!</f>
        <v>#REF!</v>
      </c>
      <c r="L45" s="804" t="s">
        <v>244</v>
      </c>
      <c r="M45" s="2467" t="e">
        <f>#REF!</f>
        <v>#REF!</v>
      </c>
      <c r="N45" s="2467" t="e">
        <f>#REF!</f>
        <v>#REF!</v>
      </c>
      <c r="O45" s="2467" t="e">
        <f>#REF!</f>
        <v>#REF!</v>
      </c>
      <c r="P45" s="335" t="e">
        <f>C45/M45</f>
        <v>#REF!</v>
      </c>
      <c r="Q45" s="2338" t="e">
        <f>C45/N45</f>
        <v>#REF!</v>
      </c>
      <c r="R45" s="2338" t="e">
        <f t="shared" si="9"/>
        <v>#REF!</v>
      </c>
      <c r="S45" s="804"/>
      <c r="T45" s="804"/>
      <c r="U45" s="804"/>
      <c r="V45" s="804"/>
      <c r="W45" s="804" t="e">
        <f t="shared" si="10"/>
        <v>#REF!</v>
      </c>
      <c r="X45" s="804" t="e">
        <f t="shared" si="10"/>
        <v>#REF!</v>
      </c>
      <c r="Y45" s="335" t="e">
        <f>+C45/W45</f>
        <v>#REF!</v>
      </c>
      <c r="Z45" s="358" t="e">
        <f>+C45/X45</f>
        <v>#REF!</v>
      </c>
    </row>
    <row r="46" spans="2:30" ht="15.75" customHeight="1" x14ac:dyDescent="0.2">
      <c r="B46" s="330" t="s">
        <v>253</v>
      </c>
      <c r="C46" s="331">
        <f>'SCG Table A'!$J$23</f>
        <v>296670.67067276919</v>
      </c>
      <c r="D46" s="874" t="e">
        <f>E46-C46</f>
        <v>#REF!</v>
      </c>
      <c r="E46" s="2461" t="e">
        <f>#REF!*1000</f>
        <v>#REF!</v>
      </c>
      <c r="F46" s="2461" t="e">
        <f>#REF!*1000</f>
        <v>#REF!</v>
      </c>
      <c r="G46" s="2461" t="e">
        <f>#REF!*1000</f>
        <v>#REF!</v>
      </c>
      <c r="H46" s="332">
        <f ca="1">SUM(C46/$C$76)</f>
        <v>2.0540624855114716E-2</v>
      </c>
      <c r="I46" s="333" t="e">
        <f>F46/C46</f>
        <v>#REF!</v>
      </c>
      <c r="J46" s="333" t="e">
        <f>G46/E46</f>
        <v>#REF!</v>
      </c>
      <c r="K46" s="2467" t="e">
        <f>#REF!</f>
        <v>#REF!</v>
      </c>
      <c r="L46" s="804" t="s">
        <v>244</v>
      </c>
      <c r="M46" s="2467" t="e">
        <f>#REF!</f>
        <v>#REF!</v>
      </c>
      <c r="N46" s="2467" t="e">
        <f>#REF!</f>
        <v>#REF!</v>
      </c>
      <c r="O46" s="2467" t="e">
        <f>#REF!</f>
        <v>#REF!</v>
      </c>
      <c r="P46" s="335" t="e">
        <f>C46/M46</f>
        <v>#REF!</v>
      </c>
      <c r="Q46" s="2338" t="e">
        <f>C46/N46</f>
        <v>#REF!</v>
      </c>
      <c r="R46" s="2338" t="e">
        <f t="shared" si="9"/>
        <v>#REF!</v>
      </c>
      <c r="S46" s="804"/>
      <c r="T46" s="804"/>
      <c r="U46" s="804"/>
      <c r="V46" s="804"/>
      <c r="W46" s="804" t="e">
        <f t="shared" si="10"/>
        <v>#REF!</v>
      </c>
      <c r="X46" s="804" t="e">
        <f t="shared" si="10"/>
        <v>#REF!</v>
      </c>
      <c r="Y46" s="335" t="e">
        <f>+C46/W46</f>
        <v>#REF!</v>
      </c>
      <c r="Z46" s="358" t="e">
        <f>+C46/X46</f>
        <v>#REF!</v>
      </c>
    </row>
    <row r="47" spans="2:30" ht="19.5" customHeight="1" x14ac:dyDescent="0.25">
      <c r="B47" s="2363" t="s">
        <v>302</v>
      </c>
      <c r="C47" s="2330">
        <f>SUM(C44:C46)</f>
        <v>772252.36982954759</v>
      </c>
      <c r="D47" s="2330" t="e">
        <f>SUM(D44:D46)</f>
        <v>#REF!</v>
      </c>
      <c r="E47" s="2330" t="e">
        <f>SUM(E44:E46)</f>
        <v>#REF!</v>
      </c>
      <c r="F47" s="2330" t="e">
        <f>SUM(F44:F46)</f>
        <v>#REF!</v>
      </c>
      <c r="G47" s="2330" t="e">
        <f>SUM(G44:G46)</f>
        <v>#REF!</v>
      </c>
      <c r="H47" s="2331">
        <f ca="1">SUM(C47/$C$77)</f>
        <v>2.5145197399852763E-2</v>
      </c>
      <c r="I47" s="2332" t="e">
        <f>F47/C47</f>
        <v>#REF!</v>
      </c>
      <c r="J47" s="2332" t="e">
        <f>G47/E47</f>
        <v>#REF!</v>
      </c>
      <c r="K47" s="2439" t="e">
        <f>SUM(K44:K46)</f>
        <v>#REF!</v>
      </c>
      <c r="L47" s="2330" t="s">
        <v>244</v>
      </c>
      <c r="M47" s="2447" t="e">
        <f>SUM(M44:M46)</f>
        <v>#REF!</v>
      </c>
      <c r="N47" s="2447" t="e">
        <f>SUM(N44:N46)</f>
        <v>#REF!</v>
      </c>
      <c r="O47" s="2447" t="e">
        <f>SUM(O44:O46)</f>
        <v>#REF!</v>
      </c>
      <c r="P47" s="2336" t="e">
        <f>C47/M47</f>
        <v>#REF!</v>
      </c>
      <c r="Q47" s="2339" t="e">
        <f>C47/N47</f>
        <v>#REF!</v>
      </c>
      <c r="R47" s="2339" t="e">
        <f t="shared" si="9"/>
        <v>#REF!</v>
      </c>
      <c r="S47" s="2335">
        <f>SUM(S44:S46)</f>
        <v>0</v>
      </c>
      <c r="T47" s="2335">
        <f>SUM(T44:T46)</f>
        <v>0</v>
      </c>
      <c r="U47" s="2335">
        <f>SUM(U44:U46)</f>
        <v>0</v>
      </c>
      <c r="V47" s="2335">
        <f>SUM(V44:V46)</f>
        <v>0</v>
      </c>
      <c r="W47" s="2333" t="e">
        <f t="shared" si="10"/>
        <v>#REF!</v>
      </c>
      <c r="X47" s="2333" t="e">
        <f t="shared" si="10"/>
        <v>#REF!</v>
      </c>
      <c r="Y47" s="2336" t="e">
        <f>+C47/W47</f>
        <v>#REF!</v>
      </c>
      <c r="Z47" s="2365" t="e">
        <f>+C47/X47</f>
        <v>#REF!</v>
      </c>
    </row>
    <row r="48" spans="2:30" ht="15.75" customHeight="1" thickBot="1" x14ac:dyDescent="0.3">
      <c r="B48" s="2369" t="s">
        <v>127</v>
      </c>
      <c r="C48" s="2370">
        <f>+C47+C43+C39+C34</f>
        <v>7690610.685386776</v>
      </c>
      <c r="D48" s="2370" t="e">
        <f>D47+D43+D39+D34</f>
        <v>#REF!</v>
      </c>
      <c r="E48" s="2370" t="e">
        <f>E47+E43+E39+E34</f>
        <v>#REF!</v>
      </c>
      <c r="F48" s="2370" t="e">
        <f>F47+F43+F39+F34</f>
        <v>#REF!</v>
      </c>
      <c r="G48" s="2370" t="e">
        <f>G47+G43+G39+G34</f>
        <v>#REF!</v>
      </c>
      <c r="H48" s="2371">
        <f ca="1">SUM(C48/C77)</f>
        <v>0.25041285901414706</v>
      </c>
      <c r="I48" s="2372" t="e">
        <f>F48/C48</f>
        <v>#REF!</v>
      </c>
      <c r="J48" s="2372" t="e">
        <f>G48/E48</f>
        <v>#REF!</v>
      </c>
      <c r="K48" s="2446" t="e">
        <f>K47+K43+K39+K34</f>
        <v>#REF!</v>
      </c>
      <c r="L48" s="2379" t="s">
        <v>244</v>
      </c>
      <c r="M48" s="2450" t="e">
        <f>M47+M43+M39+M34</f>
        <v>#REF!</v>
      </c>
      <c r="N48" s="2451" t="e">
        <f>N47+N43+N39+N34</f>
        <v>#REF!</v>
      </c>
      <c r="O48" s="2451" t="e">
        <f>O47+O43+O39+O34</f>
        <v>#REF!</v>
      </c>
      <c r="P48" s="2376" t="e">
        <f>C48/M48</f>
        <v>#REF!</v>
      </c>
      <c r="Q48" s="2376" t="e">
        <f>C48/N48</f>
        <v>#REF!</v>
      </c>
      <c r="R48" s="2376" t="e">
        <f t="shared" si="9"/>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f>'CNG Table A'!G39</f>
        <v>156292</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f>'SCG Table A'!G39</f>
        <v>211292</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f>SUM(C51:C53)</f>
        <v>367584</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f ca="1">'CNG Table A'!G34+'CNG Table A'!G50</f>
        <v>2318457.6896213512</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f ca="1">'SCG Table A'!G34+'SCG Table A'!G50</f>
        <v>2158974.03212704</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f ca="1">SUM(C55:C57)</f>
        <v>4477431.7217483912</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f ca="1">C54+C58</f>
        <v>4845015.7217483912</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1">SUM(C62/M62)</f>
        <v>#DIV/0!</v>
      </c>
      <c r="Q62" s="329" t="e">
        <f t="shared" ref="Q62:R69" si="12">SUM(C62/N62)</f>
        <v>#DIV/0!</v>
      </c>
      <c r="R62" s="329" t="e">
        <f t="shared" si="12"/>
        <v>#DIV/0!</v>
      </c>
      <c r="S62" s="2117"/>
      <c r="T62" s="2117"/>
      <c r="U62" s="2117"/>
      <c r="V62" s="2117"/>
      <c r="W62" s="2119">
        <f>+(M62*102900+S62*138690+U62*91330)/10^6</f>
        <v>0</v>
      </c>
      <c r="X62" s="2119">
        <f>+(N62*102900+T62*138690+V62*91330)/10^6</f>
        <v>0</v>
      </c>
      <c r="Y62" s="2118" t="s">
        <v>3</v>
      </c>
      <c r="Z62" s="1997" t="s">
        <v>3</v>
      </c>
    </row>
    <row r="63" spans="2:27" s="284" customFormat="1" ht="15.75" x14ac:dyDescent="0.25">
      <c r="B63" s="434" t="s">
        <v>92</v>
      </c>
      <c r="C63" s="351">
        <f t="shared" ref="C63" si="13">C7+C11+C15+C18+C21+C25</f>
        <v>9581686.543968685</v>
      </c>
      <c r="D63" s="351" t="e">
        <f t="shared" ref="D63:G64" si="14">D7+D11+D15+D18+D21+D25</f>
        <v>#REF!</v>
      </c>
      <c r="E63" s="351" t="e">
        <f t="shared" si="14"/>
        <v>#REF!</v>
      </c>
      <c r="F63" s="351" t="e">
        <f t="shared" si="14"/>
        <v>#REF!</v>
      </c>
      <c r="G63" s="351" t="e">
        <f t="shared" si="14"/>
        <v>#REF!</v>
      </c>
      <c r="H63" s="497">
        <f ca="1">SUM(C63/$C$75)</f>
        <v>0.58896788278605272</v>
      </c>
      <c r="I63" s="400"/>
      <c r="J63" s="400"/>
      <c r="K63" s="2471" t="e">
        <f>K7+K11+K15+K18+K21+K25</f>
        <v>#REF!</v>
      </c>
      <c r="L63" s="400"/>
      <c r="M63" s="424" t="e">
        <f t="shared" ref="M63:O64" si="15">M7+M11+M15+M18+M21+M25</f>
        <v>#REF!</v>
      </c>
      <c r="N63" s="424" t="e">
        <f t="shared" si="15"/>
        <v>#REF!</v>
      </c>
      <c r="O63" s="424" t="e">
        <f t="shared" si="15"/>
        <v>#REF!</v>
      </c>
      <c r="P63" s="2120" t="e">
        <f t="shared" si="11"/>
        <v>#REF!</v>
      </c>
      <c r="Q63" s="2378" t="e">
        <f t="shared" si="12"/>
        <v>#REF!</v>
      </c>
      <c r="R63" s="2378" t="e">
        <f t="shared" ref="R63:R69" si="16">C63/O63</f>
        <v>#REF!</v>
      </c>
      <c r="S63" s="424">
        <f t="shared" ref="S63:X64" si="17">S7+S11+S15+S18+S21+S25</f>
        <v>0</v>
      </c>
      <c r="T63" s="424">
        <f t="shared" si="17"/>
        <v>0</v>
      </c>
      <c r="U63" s="424">
        <f t="shared" si="17"/>
        <v>0</v>
      </c>
      <c r="V63" s="424">
        <f t="shared" si="17"/>
        <v>0</v>
      </c>
      <c r="W63" s="2121" t="e">
        <f t="shared" si="17"/>
        <v>#REF!</v>
      </c>
      <c r="X63" s="2121" t="e">
        <f t="shared" si="17"/>
        <v>#REF!</v>
      </c>
      <c r="Y63" s="2120" t="e">
        <f>+C63/W63</f>
        <v>#REF!</v>
      </c>
      <c r="Z63" s="356" t="e">
        <f>+C63/X63</f>
        <v>#REF!</v>
      </c>
    </row>
    <row r="64" spans="2:27" s="284" customFormat="1" ht="19.5" customHeight="1" x14ac:dyDescent="0.25">
      <c r="B64" s="437" t="s">
        <v>93</v>
      </c>
      <c r="C64" s="331">
        <f>C8+C12+C16+C19+C22</f>
        <v>8594411.3415863086</v>
      </c>
      <c r="D64" s="331" t="e">
        <f t="shared" si="14"/>
        <v>#REF!</v>
      </c>
      <c r="E64" s="331" t="e">
        <f t="shared" si="14"/>
        <v>#REF!</v>
      </c>
      <c r="F64" s="331" t="e">
        <f t="shared" si="14"/>
        <v>#REF!</v>
      </c>
      <c r="G64" s="331" t="e">
        <f t="shared" si="14"/>
        <v>#REF!</v>
      </c>
      <c r="H64" s="494">
        <f ca="1">SUM(C64/$C$76)</f>
        <v>0.5950523481735982</v>
      </c>
      <c r="I64" s="402"/>
      <c r="J64" s="402"/>
      <c r="K64" s="2472" t="e">
        <f>K8+K12+K16+K19+K22+K26</f>
        <v>#REF!</v>
      </c>
      <c r="L64" s="402"/>
      <c r="M64" s="2350" t="e">
        <f t="shared" si="15"/>
        <v>#REF!</v>
      </c>
      <c r="N64" s="2350" t="e">
        <f t="shared" si="15"/>
        <v>#REF!</v>
      </c>
      <c r="O64" s="2350" t="e">
        <f t="shared" si="15"/>
        <v>#REF!</v>
      </c>
      <c r="P64" s="335" t="e">
        <f t="shared" si="11"/>
        <v>#REF!</v>
      </c>
      <c r="Q64" s="2338" t="e">
        <f t="shared" si="12"/>
        <v>#REF!</v>
      </c>
      <c r="R64" s="2338" t="e">
        <f t="shared" si="16"/>
        <v>#REF!</v>
      </c>
      <c r="S64" s="2350">
        <f t="shared" si="17"/>
        <v>0</v>
      </c>
      <c r="T64" s="2350">
        <f t="shared" si="17"/>
        <v>0</v>
      </c>
      <c r="U64" s="2350">
        <f t="shared" si="17"/>
        <v>0</v>
      </c>
      <c r="V64" s="2350">
        <f t="shared" si="17"/>
        <v>0</v>
      </c>
      <c r="W64" s="804" t="e">
        <f t="shared" si="17"/>
        <v>#REF!</v>
      </c>
      <c r="X64" s="804" t="e">
        <f t="shared" si="17"/>
        <v>#REF!</v>
      </c>
      <c r="Y64" s="335" t="e">
        <f>+C64/W64</f>
        <v>#REF!</v>
      </c>
      <c r="Z64" s="358" t="e">
        <f>+C64/X64</f>
        <v>#REF!</v>
      </c>
    </row>
    <row r="65" spans="2:26" ht="15.75" x14ac:dyDescent="0.25">
      <c r="B65" s="2363" t="s">
        <v>94</v>
      </c>
      <c r="C65" s="2347">
        <f>SUM(C62:C64)</f>
        <v>18176097.885554992</v>
      </c>
      <c r="D65" s="2347" t="e">
        <f>SUM(D62:D64)</f>
        <v>#REF!</v>
      </c>
      <c r="E65" s="2347" t="e">
        <f>SUM(E62:E64)</f>
        <v>#REF!</v>
      </c>
      <c r="F65" s="2347" t="e">
        <f>SUM(F62:F64)</f>
        <v>#REF!</v>
      </c>
      <c r="G65" s="2347" t="e">
        <f>SUM(G62:G64)</f>
        <v>#REF!</v>
      </c>
      <c r="H65" s="2351">
        <f ca="1">SUM(C65/$C$77)</f>
        <v>0.59182928683301472</v>
      </c>
      <c r="I65" s="402"/>
      <c r="J65" s="402"/>
      <c r="K65" s="2335" t="e">
        <f>SUM(K62:K64)</f>
        <v>#REF!</v>
      </c>
      <c r="L65" s="402"/>
      <c r="M65" s="2352" t="e">
        <f>SUM(M62:M64)</f>
        <v>#REF!</v>
      </c>
      <c r="N65" s="2352" t="e">
        <f>SUM(N62:N64)</f>
        <v>#REF!</v>
      </c>
      <c r="O65" s="2352" t="e">
        <f>SUM(O62:O64)</f>
        <v>#REF!</v>
      </c>
      <c r="P65" s="2336" t="e">
        <f t="shared" si="11"/>
        <v>#REF!</v>
      </c>
      <c r="Q65" s="2339" t="e">
        <f t="shared" si="12"/>
        <v>#REF!</v>
      </c>
      <c r="R65" s="2339" t="e">
        <f t="shared" si="16"/>
        <v>#REF!</v>
      </c>
      <c r="S65" s="2352">
        <f>SUM(S62:S64)</f>
        <v>0</v>
      </c>
      <c r="T65" s="2352">
        <f>SUM(T62:T64)</f>
        <v>0</v>
      </c>
      <c r="U65" s="2352">
        <f>SUM(U62:U64)</f>
        <v>0</v>
      </c>
      <c r="V65" s="2352">
        <f>SUM(V62:V64)</f>
        <v>0</v>
      </c>
      <c r="W65" s="2333" t="e">
        <f t="shared" ref="W65:X77" si="18">+(M65*102900+S65*138690+U65*91330)/10^6</f>
        <v>#REF!</v>
      </c>
      <c r="X65" s="2333" t="e">
        <f t="shared" si="18"/>
        <v>#REF!</v>
      </c>
      <c r="Y65" s="2336" t="e">
        <f>+C65/W65</f>
        <v>#REF!</v>
      </c>
      <c r="Z65" s="2365" t="e">
        <f>+C65/X65</f>
        <v>#REF!</v>
      </c>
    </row>
    <row r="66" spans="2:26" s="284" customFormat="1" ht="15.75" hidden="1" x14ac:dyDescent="0.25">
      <c r="B66" s="437" t="s">
        <v>95</v>
      </c>
      <c r="C66" s="331">
        <f t="shared" ref="C66:C68" si="19">C31+C36+C40+C44</f>
        <v>0</v>
      </c>
      <c r="D66" s="331">
        <f t="shared" ref="D66:G68" si="20">D31+D36+D40+D44</f>
        <v>0</v>
      </c>
      <c r="E66" s="331">
        <f t="shared" si="20"/>
        <v>0</v>
      </c>
      <c r="F66" s="331">
        <f t="shared" si="20"/>
        <v>0</v>
      </c>
      <c r="G66" s="331">
        <f t="shared" si="20"/>
        <v>0</v>
      </c>
      <c r="H66" s="494" t="e">
        <f>SUM(C66/$C$74)</f>
        <v>#DIV/0!</v>
      </c>
      <c r="I66" s="402"/>
      <c r="J66" s="402"/>
      <c r="K66" s="2472">
        <f>K31+K36+K40+K44</f>
        <v>0</v>
      </c>
      <c r="L66" s="402"/>
      <c r="M66" s="2350">
        <f t="shared" ref="M66:O68" si="21">M31+M36+M40+M44</f>
        <v>0</v>
      </c>
      <c r="N66" s="2350">
        <f t="shared" si="21"/>
        <v>0</v>
      </c>
      <c r="O66" s="2350">
        <f t="shared" si="21"/>
        <v>0</v>
      </c>
      <c r="P66" s="438" t="e">
        <f t="shared" si="11"/>
        <v>#DIV/0!</v>
      </c>
      <c r="Q66" s="438" t="e">
        <f t="shared" si="12"/>
        <v>#DIV/0!</v>
      </c>
      <c r="R66" s="438" t="e">
        <f t="shared" si="16"/>
        <v>#DIV/0!</v>
      </c>
      <c r="S66" s="402"/>
      <c r="T66" s="402"/>
      <c r="U66" s="402"/>
      <c r="V66" s="402"/>
      <c r="W66" s="804">
        <f t="shared" si="18"/>
        <v>0</v>
      </c>
      <c r="X66" s="804">
        <f t="shared" si="18"/>
        <v>0</v>
      </c>
      <c r="Y66" s="2008" t="s">
        <v>3</v>
      </c>
      <c r="Z66" s="2009" t="s">
        <v>3</v>
      </c>
    </row>
    <row r="67" spans="2:26" s="284" customFormat="1" ht="15.75" x14ac:dyDescent="0.25">
      <c r="B67" s="437" t="s">
        <v>96</v>
      </c>
      <c r="C67" s="331">
        <f t="shared" si="19"/>
        <v>4212169.957028525</v>
      </c>
      <c r="D67" s="331" t="e">
        <f t="shared" si="20"/>
        <v>#REF!</v>
      </c>
      <c r="E67" s="331" t="e">
        <f t="shared" si="20"/>
        <v>#REF!</v>
      </c>
      <c r="F67" s="331" t="e">
        <f t="shared" si="20"/>
        <v>#REF!</v>
      </c>
      <c r="G67" s="331" t="e">
        <f t="shared" si="20"/>
        <v>#REF!</v>
      </c>
      <c r="H67" s="494">
        <f ca="1">SUM(C67/$C$75)</f>
        <v>0.25891400330641173</v>
      </c>
      <c r="I67" s="402"/>
      <c r="J67" s="402"/>
      <c r="K67" s="2472" t="e">
        <f>K32+K37+K41+K45</f>
        <v>#REF!</v>
      </c>
      <c r="L67" s="402"/>
      <c r="M67" s="2350" t="e">
        <f t="shared" si="21"/>
        <v>#REF!</v>
      </c>
      <c r="N67" s="2350" t="e">
        <f t="shared" si="21"/>
        <v>#REF!</v>
      </c>
      <c r="O67" s="2350" t="e">
        <f t="shared" si="21"/>
        <v>#REF!</v>
      </c>
      <c r="P67" s="438" t="e">
        <f t="shared" si="11"/>
        <v>#REF!</v>
      </c>
      <c r="Q67" s="438" t="e">
        <f t="shared" si="12"/>
        <v>#REF!</v>
      </c>
      <c r="R67" s="438" t="e">
        <f t="shared" si="16"/>
        <v>#REF!</v>
      </c>
      <c r="S67" s="2350">
        <f>S32+S37+S41+S45</f>
        <v>0</v>
      </c>
      <c r="T67" s="2350">
        <f>T32+T37+T41+T45</f>
        <v>0</v>
      </c>
      <c r="U67" s="2350"/>
      <c r="V67" s="2350"/>
      <c r="W67" s="804" t="e">
        <f t="shared" si="18"/>
        <v>#REF!</v>
      </c>
      <c r="X67" s="804" t="e">
        <f t="shared" si="18"/>
        <v>#REF!</v>
      </c>
      <c r="Y67" s="335" t="e">
        <f>+C67/W67</f>
        <v>#REF!</v>
      </c>
      <c r="Z67" s="358" t="e">
        <f>+C67/X67</f>
        <v>#REF!</v>
      </c>
    </row>
    <row r="68" spans="2:26" s="284" customFormat="1" ht="15.75" x14ac:dyDescent="0.25">
      <c r="B68" s="437" t="s">
        <v>97</v>
      </c>
      <c r="C68" s="331">
        <f t="shared" si="19"/>
        <v>3478440.7283582515</v>
      </c>
      <c r="D68" s="331" t="e">
        <f t="shared" si="20"/>
        <v>#REF!</v>
      </c>
      <c r="E68" s="331" t="e">
        <f t="shared" si="20"/>
        <v>#REF!</v>
      </c>
      <c r="F68" s="331" t="e">
        <f t="shared" si="20"/>
        <v>#REF!</v>
      </c>
      <c r="G68" s="331" t="e">
        <f t="shared" si="20"/>
        <v>#REF!</v>
      </c>
      <c r="H68" s="494">
        <f ca="1">SUM(C68/$C$76)</f>
        <v>0.24083724191518818</v>
      </c>
      <c r="I68" s="402"/>
      <c r="J68" s="402"/>
      <c r="K68" s="2472" t="e">
        <f>K33+K38+K42+K46</f>
        <v>#REF!</v>
      </c>
      <c r="L68" s="402"/>
      <c r="M68" s="2350" t="e">
        <f t="shared" si="21"/>
        <v>#REF!</v>
      </c>
      <c r="N68" s="2350" t="e">
        <f t="shared" si="21"/>
        <v>#REF!</v>
      </c>
      <c r="O68" s="2350" t="e">
        <f t="shared" si="21"/>
        <v>#REF!</v>
      </c>
      <c r="P68" s="438" t="e">
        <f t="shared" si="11"/>
        <v>#REF!</v>
      </c>
      <c r="Q68" s="438" t="e">
        <f t="shared" si="12"/>
        <v>#REF!</v>
      </c>
      <c r="R68" s="438" t="e">
        <f t="shared" si="16"/>
        <v>#REF!</v>
      </c>
      <c r="S68" s="2350">
        <f>S33+S38+S42+S46</f>
        <v>0</v>
      </c>
      <c r="T68" s="2350">
        <f>T33+T38+T42+T46</f>
        <v>0</v>
      </c>
      <c r="U68" s="2350"/>
      <c r="V68" s="2350"/>
      <c r="W68" s="804" t="e">
        <f t="shared" si="18"/>
        <v>#REF!</v>
      </c>
      <c r="X68" s="804" t="e">
        <f t="shared" si="18"/>
        <v>#REF!</v>
      </c>
      <c r="Y68" s="335" t="e">
        <f>+C68/W68</f>
        <v>#REF!</v>
      </c>
      <c r="Z68" s="358" t="e">
        <f>+C68/X68</f>
        <v>#REF!</v>
      </c>
    </row>
    <row r="69" spans="2:26" ht="15.75" x14ac:dyDescent="0.25">
      <c r="B69" s="2363" t="s">
        <v>98</v>
      </c>
      <c r="C69" s="2347">
        <f>SUM(C66:C68)</f>
        <v>7690610.6853867769</v>
      </c>
      <c r="D69" s="2347" t="e">
        <f>SUM(D66:D68)</f>
        <v>#REF!</v>
      </c>
      <c r="E69" s="2347" t="e">
        <f>SUM(E66:E68)</f>
        <v>#REF!</v>
      </c>
      <c r="F69" s="2347" t="e">
        <f>SUM(F66:F68)</f>
        <v>#REF!</v>
      </c>
      <c r="G69" s="2347" t="e">
        <f>SUM(G66:G68)</f>
        <v>#REF!</v>
      </c>
      <c r="H69" s="2351">
        <f ca="1">SUM(C69/$C$77)</f>
        <v>0.25041285901414706</v>
      </c>
      <c r="I69" s="402"/>
      <c r="J69" s="402"/>
      <c r="K69" s="2335" t="e">
        <f>SUM(K66:K68)</f>
        <v>#REF!</v>
      </c>
      <c r="L69" s="402"/>
      <c r="M69" s="2352" t="e">
        <f>SUM(M66:M68)</f>
        <v>#REF!</v>
      </c>
      <c r="N69" s="2352" t="e">
        <f>SUM(N66:N68)</f>
        <v>#REF!</v>
      </c>
      <c r="O69" s="2352" t="e">
        <f>SUM(O66:O68)</f>
        <v>#REF!</v>
      </c>
      <c r="P69" s="2353" t="e">
        <f t="shared" si="11"/>
        <v>#REF!</v>
      </c>
      <c r="Q69" s="2353" t="e">
        <f t="shared" si="12"/>
        <v>#REF!</v>
      </c>
      <c r="R69" s="2353" t="e">
        <f t="shared" si="16"/>
        <v>#REF!</v>
      </c>
      <c r="S69" s="2352">
        <f>SUM(S66:S68)</f>
        <v>0</v>
      </c>
      <c r="T69" s="2352">
        <f>SUM(T66:T68)</f>
        <v>0</v>
      </c>
      <c r="U69" s="2352"/>
      <c r="V69" s="2352"/>
      <c r="W69" s="2333" t="e">
        <f t="shared" si="18"/>
        <v>#REF!</v>
      </c>
      <c r="X69" s="2333" t="e">
        <f t="shared" si="18"/>
        <v>#REF!</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18"/>
        <v>0</v>
      </c>
      <c r="X70" s="804">
        <f t="shared" si="18"/>
        <v>0</v>
      </c>
      <c r="Y70" s="2029"/>
      <c r="Z70" s="439"/>
    </row>
    <row r="71" spans="2:26" s="284" customFormat="1" ht="15.75" x14ac:dyDescent="0.25">
      <c r="B71" s="437" t="s">
        <v>100</v>
      </c>
      <c r="C71" s="331">
        <f ca="1">C52+C56</f>
        <v>2474749.6896213512</v>
      </c>
      <c r="D71" s="331"/>
      <c r="E71" s="331"/>
      <c r="F71" s="331"/>
      <c r="G71" s="331"/>
      <c r="H71" s="494">
        <f ca="1">SUM(C71/$C$75)</f>
        <v>0.15211811390753549</v>
      </c>
      <c r="I71" s="402"/>
      <c r="J71" s="402"/>
      <c r="K71" s="814"/>
      <c r="L71" s="402"/>
      <c r="M71" s="450"/>
      <c r="N71" s="450"/>
      <c r="O71" s="450"/>
      <c r="P71" s="450"/>
      <c r="Q71" s="438"/>
      <c r="R71" s="438"/>
      <c r="S71" s="402"/>
      <c r="T71" s="402"/>
      <c r="U71" s="402"/>
      <c r="V71" s="402"/>
      <c r="W71" s="804">
        <f t="shared" si="18"/>
        <v>0</v>
      </c>
      <c r="X71" s="804">
        <f t="shared" si="18"/>
        <v>0</v>
      </c>
      <c r="Y71" s="450"/>
      <c r="Z71" s="439"/>
    </row>
    <row r="72" spans="2:26" s="284" customFormat="1" ht="15.75" x14ac:dyDescent="0.25">
      <c r="B72" s="437" t="s">
        <v>101</v>
      </c>
      <c r="C72" s="331">
        <f ca="1">C53+C57</f>
        <v>2370266.03212704</v>
      </c>
      <c r="D72" s="331"/>
      <c r="E72" s="331"/>
      <c r="F72" s="331"/>
      <c r="G72" s="331"/>
      <c r="H72" s="494">
        <f ca="1">SUM(C72/$C$76)</f>
        <v>0.16411040991121362</v>
      </c>
      <c r="I72" s="402"/>
      <c r="J72" s="402"/>
      <c r="K72" s="814"/>
      <c r="L72" s="402"/>
      <c r="M72" s="450"/>
      <c r="N72" s="450"/>
      <c r="O72" s="450"/>
      <c r="P72" s="450"/>
      <c r="Q72" s="438"/>
      <c r="R72" s="438"/>
      <c r="S72" s="402"/>
      <c r="T72" s="402"/>
      <c r="U72" s="402"/>
      <c r="V72" s="402"/>
      <c r="W72" s="804">
        <f t="shared" si="18"/>
        <v>0</v>
      </c>
      <c r="X72" s="804">
        <f t="shared" si="18"/>
        <v>0</v>
      </c>
      <c r="Y72" s="450"/>
      <c r="Z72" s="439"/>
    </row>
    <row r="73" spans="2:26" s="284" customFormat="1" ht="15.75" x14ac:dyDescent="0.25">
      <c r="B73" s="2363" t="s">
        <v>102</v>
      </c>
      <c r="C73" s="2347">
        <f ca="1">SUM(C70:C72)</f>
        <v>4845015.7217483912</v>
      </c>
      <c r="D73" s="2347">
        <f>SUM(D70:D72)</f>
        <v>0</v>
      </c>
      <c r="E73" s="2347">
        <f>SUM(E70:E72)</f>
        <v>0</v>
      </c>
      <c r="F73" s="2347">
        <f>SUM(F70:F72)</f>
        <v>0</v>
      </c>
      <c r="G73" s="2347">
        <f>SUM(G70:G72)</f>
        <v>0</v>
      </c>
      <c r="H73" s="2351">
        <f ca="1">SUM(C73/$C$77)</f>
        <v>0.15775785415283816</v>
      </c>
      <c r="I73" s="402"/>
      <c r="J73" s="402"/>
      <c r="K73" s="2472">
        <f>SUM(K70:K72)</f>
        <v>0</v>
      </c>
      <c r="L73" s="402"/>
      <c r="M73" s="2350">
        <f>SUM(M70:M72)</f>
        <v>0</v>
      </c>
      <c r="N73" s="2350">
        <f>SUM(N70:N72)</f>
        <v>0</v>
      </c>
      <c r="O73" s="2350">
        <f>SUM(O70:O72)</f>
        <v>0</v>
      </c>
      <c r="P73" s="438"/>
      <c r="Q73" s="438"/>
      <c r="R73" s="438"/>
      <c r="S73" s="402"/>
      <c r="T73" s="402"/>
      <c r="U73" s="402"/>
      <c r="V73" s="402"/>
      <c r="W73" s="2333">
        <f t="shared" si="18"/>
        <v>0</v>
      </c>
      <c r="X73" s="2333">
        <f t="shared" si="18"/>
        <v>0</v>
      </c>
      <c r="Y73" s="438"/>
      <c r="Z73" s="439"/>
    </row>
    <row r="74" spans="2:26" s="284" customFormat="1" ht="15.75" hidden="1" x14ac:dyDescent="0.25">
      <c r="B74" s="2363" t="s">
        <v>103</v>
      </c>
      <c r="C74" s="331">
        <f t="shared" ref="C74:C76" si="22">SUM(C62,C66,C70)</f>
        <v>0</v>
      </c>
      <c r="D74" s="331">
        <f t="shared" ref="D74:G76" si="23">SUM(D62,D66,D70)</f>
        <v>0</v>
      </c>
      <c r="E74" s="331">
        <f t="shared" si="23"/>
        <v>0</v>
      </c>
      <c r="F74" s="331">
        <f t="shared" si="23"/>
        <v>0</v>
      </c>
      <c r="G74" s="331">
        <f t="shared" si="23"/>
        <v>0</v>
      </c>
      <c r="H74" s="494">
        <f ca="1">SUM(C74/$C$77)</f>
        <v>0</v>
      </c>
      <c r="I74" s="402"/>
      <c r="J74" s="402"/>
      <c r="K74" s="814">
        <f>SUM(K62,K66,K70)</f>
        <v>0</v>
      </c>
      <c r="L74" s="402"/>
      <c r="M74" s="450">
        <f t="shared" ref="M74:N76" si="24">SUM(M62,M66,M70)</f>
        <v>0</v>
      </c>
      <c r="N74" s="450">
        <f t="shared" si="24"/>
        <v>0</v>
      </c>
      <c r="O74" s="450">
        <f>SUM(O62,O66,O70)</f>
        <v>0</v>
      </c>
      <c r="P74" s="438" t="e">
        <f>SUM(C74/M74)</f>
        <v>#DIV/0!</v>
      </c>
      <c r="Q74" s="438" t="e">
        <f>SUM(C74/N74)</f>
        <v>#DIV/0!</v>
      </c>
      <c r="R74" s="438" t="e">
        <f>SUM(D74/O74)</f>
        <v>#DIV/0!</v>
      </c>
      <c r="S74" s="402"/>
      <c r="T74" s="402"/>
      <c r="U74" s="402"/>
      <c r="V74" s="402"/>
      <c r="W74" s="804">
        <f t="shared" si="18"/>
        <v>0</v>
      </c>
      <c r="X74" s="804">
        <f t="shared" si="18"/>
        <v>0</v>
      </c>
      <c r="Y74" s="2008"/>
      <c r="Z74" s="2009"/>
    </row>
    <row r="75" spans="2:26" s="284" customFormat="1" ht="15.75" x14ac:dyDescent="0.25">
      <c r="B75" s="2363" t="s">
        <v>104</v>
      </c>
      <c r="C75" s="331">
        <f ca="1">SUM(C63,C67,C71)</f>
        <v>16268606.190618562</v>
      </c>
      <c r="D75" s="331" t="e">
        <f t="shared" si="23"/>
        <v>#REF!</v>
      </c>
      <c r="E75" s="331" t="e">
        <f t="shared" si="23"/>
        <v>#REF!</v>
      </c>
      <c r="F75" s="331" t="e">
        <f t="shared" si="23"/>
        <v>#REF!</v>
      </c>
      <c r="G75" s="331" t="e">
        <f t="shared" si="23"/>
        <v>#REF!</v>
      </c>
      <c r="H75" s="494">
        <f ca="1">SUM(C75/$C$77)</f>
        <v>0.52971972643329335</v>
      </c>
      <c r="I75" s="402"/>
      <c r="J75" s="402"/>
      <c r="K75" s="814" t="e">
        <f>SUM(K63,K67,K71)</f>
        <v>#REF!</v>
      </c>
      <c r="L75" s="402"/>
      <c r="M75" s="450" t="e">
        <f t="shared" si="24"/>
        <v>#REF!</v>
      </c>
      <c r="N75" s="450" t="e">
        <f t="shared" si="24"/>
        <v>#REF!</v>
      </c>
      <c r="O75" s="450" t="e">
        <f>SUM(O63,O67,O71)</f>
        <v>#REF!</v>
      </c>
      <c r="P75" s="438" t="e">
        <f ca="1">SUM(C75/M75)</f>
        <v>#REF!</v>
      </c>
      <c r="Q75" s="438" t="e">
        <f ca="1">SUM(C75/N75)</f>
        <v>#REF!</v>
      </c>
      <c r="R75" s="438" t="e">
        <f ca="1">C75/O75</f>
        <v>#REF!</v>
      </c>
      <c r="S75" s="450">
        <f t="shared" ref="S75:V76" si="25">SUM(S63,S67,S71)</f>
        <v>0</v>
      </c>
      <c r="T75" s="450">
        <f t="shared" si="25"/>
        <v>0</v>
      </c>
      <c r="U75" s="450">
        <f t="shared" si="25"/>
        <v>0</v>
      </c>
      <c r="V75" s="450">
        <f t="shared" si="25"/>
        <v>0</v>
      </c>
      <c r="W75" s="804" t="e">
        <f t="shared" si="18"/>
        <v>#REF!</v>
      </c>
      <c r="X75" s="804" t="e">
        <f t="shared" si="18"/>
        <v>#REF!</v>
      </c>
      <c r="Y75" s="335" t="e">
        <f ca="1">+C75/W75</f>
        <v>#REF!</v>
      </c>
      <c r="Z75" s="358" t="e">
        <f ca="1">+C75/X75</f>
        <v>#REF!</v>
      </c>
    </row>
    <row r="76" spans="2:26" s="284" customFormat="1" ht="15.75" x14ac:dyDescent="0.25">
      <c r="B76" s="2363" t="s">
        <v>105</v>
      </c>
      <c r="C76" s="331">
        <f t="shared" ca="1" si="22"/>
        <v>14443118.1020716</v>
      </c>
      <c r="D76" s="331" t="e">
        <f t="shared" si="23"/>
        <v>#REF!</v>
      </c>
      <c r="E76" s="331" t="e">
        <f t="shared" si="23"/>
        <v>#REF!</v>
      </c>
      <c r="F76" s="331" t="e">
        <f t="shared" si="23"/>
        <v>#REF!</v>
      </c>
      <c r="G76" s="331" t="e">
        <f t="shared" si="23"/>
        <v>#REF!</v>
      </c>
      <c r="H76" s="494">
        <f ca="1">SUM(C76/$C$77)</f>
        <v>0.47028027356670665</v>
      </c>
      <c r="I76" s="402"/>
      <c r="J76" s="402"/>
      <c r="K76" s="814" t="e">
        <f>SUM(K64,K68,K72)</f>
        <v>#REF!</v>
      </c>
      <c r="L76" s="402"/>
      <c r="M76" s="450" t="e">
        <f t="shared" si="24"/>
        <v>#REF!</v>
      </c>
      <c r="N76" s="450" t="e">
        <f t="shared" si="24"/>
        <v>#REF!</v>
      </c>
      <c r="O76" s="450" t="e">
        <f>SUM(O64,O68,O72)</f>
        <v>#REF!</v>
      </c>
      <c r="P76" s="438" t="e">
        <f ca="1">SUM(C76/M76)</f>
        <v>#REF!</v>
      </c>
      <c r="Q76" s="438" t="e">
        <f ca="1">SUM(C76/N76)</f>
        <v>#REF!</v>
      </c>
      <c r="R76" s="438" t="e">
        <f ca="1">C76/O76</f>
        <v>#REF!</v>
      </c>
      <c r="S76" s="450">
        <f t="shared" si="25"/>
        <v>0</v>
      </c>
      <c r="T76" s="450">
        <f t="shared" si="25"/>
        <v>0</v>
      </c>
      <c r="U76" s="450">
        <f t="shared" si="25"/>
        <v>0</v>
      </c>
      <c r="V76" s="450">
        <f t="shared" si="25"/>
        <v>0</v>
      </c>
      <c r="W76" s="804" t="e">
        <f t="shared" si="18"/>
        <v>#REF!</v>
      </c>
      <c r="X76" s="804" t="e">
        <f t="shared" si="18"/>
        <v>#REF!</v>
      </c>
      <c r="Y76" s="335" t="e">
        <f ca="1">+C76/W76</f>
        <v>#REF!</v>
      </c>
      <c r="Z76" s="358" t="e">
        <f ca="1">+C76/X76</f>
        <v>#REF!</v>
      </c>
    </row>
    <row r="77" spans="2:26" ht="16.5" thickBot="1" x14ac:dyDescent="0.3">
      <c r="B77" s="2369" t="s">
        <v>106</v>
      </c>
      <c r="C77" s="2370">
        <f ca="1">SUM(C74:C76)</f>
        <v>30711724.292690162</v>
      </c>
      <c r="D77" s="2370" t="e">
        <f t="shared" ref="D77" si="26">SUM(D74:D76)</f>
        <v>#REF!</v>
      </c>
      <c r="E77" s="2370" t="e">
        <f>SUM(E74:E76)</f>
        <v>#REF!</v>
      </c>
      <c r="F77" s="2370" t="e">
        <f>SUM(F74:F76)</f>
        <v>#REF!</v>
      </c>
      <c r="G77" s="2370" t="e">
        <f>SUM(G74:G76)</f>
        <v>#REF!</v>
      </c>
      <c r="H77" s="2396">
        <f ca="1">SUM(C77/$C$77)</f>
        <v>1</v>
      </c>
      <c r="I77" s="2372" t="e">
        <f ca="1">F77/C77</f>
        <v>#REF!</v>
      </c>
      <c r="J77" s="2372" t="e">
        <f>G77/E77</f>
        <v>#REF!</v>
      </c>
      <c r="K77" s="2397" t="e">
        <f>SUM(K74:K76)</f>
        <v>#REF!</v>
      </c>
      <c r="L77" s="2398"/>
      <c r="M77" s="2384" t="e">
        <f>SUM(M74:M76)</f>
        <v>#REF!</v>
      </c>
      <c r="N77" s="2384" t="e">
        <f>SUM(N74:N76)</f>
        <v>#REF!</v>
      </c>
      <c r="O77" s="2384" t="e">
        <f>SUM(O74:O76)</f>
        <v>#REF!</v>
      </c>
      <c r="P77" s="2376" t="e">
        <f ca="1">SUM(C77/M77)</f>
        <v>#REF!</v>
      </c>
      <c r="Q77" s="2376" t="e">
        <f ca="1">SUM(C77/N77)</f>
        <v>#REF!</v>
      </c>
      <c r="R77" s="2376" t="e">
        <f ca="1">C77/O77</f>
        <v>#REF!</v>
      </c>
      <c r="S77" s="2384">
        <f>SUM(S74:S76)</f>
        <v>0</v>
      </c>
      <c r="T77" s="2384">
        <f>SUM(T74:T76)</f>
        <v>0</v>
      </c>
      <c r="U77" s="2384">
        <f>SUM(U74:U76)</f>
        <v>0</v>
      </c>
      <c r="V77" s="2384">
        <f>SUM(V74:V76)</f>
        <v>0</v>
      </c>
      <c r="W77" s="2381" t="e">
        <f t="shared" si="18"/>
        <v>#REF!</v>
      </c>
      <c r="X77" s="2381" t="e">
        <f t="shared" si="18"/>
        <v>#REF!</v>
      </c>
      <c r="Y77" s="2382" t="e">
        <f ca="1">+C77/W77</f>
        <v>#REF!</v>
      </c>
      <c r="Z77" s="2377" t="e">
        <f ca="1">+C77/X77</f>
        <v>#REF!</v>
      </c>
    </row>
    <row r="78" spans="2:26" x14ac:dyDescent="0.2">
      <c r="C78" s="788"/>
    </row>
    <row r="79" spans="2:26" x14ac:dyDescent="0.2">
      <c r="M79" s="2672"/>
      <c r="N79" s="2672"/>
    </row>
    <row r="80" spans="2:26" x14ac:dyDescent="0.2">
      <c r="C80" s="751"/>
      <c r="L80" s="704"/>
      <c r="M80" s="704"/>
      <c r="N80" s="2672"/>
      <c r="S80" s="704"/>
      <c r="T80" s="704"/>
      <c r="U80" s="704"/>
      <c r="V80" s="704"/>
      <c r="W80" s="704"/>
      <c r="X80" s="704"/>
    </row>
    <row r="81" spans="3:26" x14ac:dyDescent="0.2">
      <c r="L81" s="704"/>
      <c r="M81" s="1038"/>
      <c r="N81" s="2672"/>
      <c r="S81" s="704"/>
      <c r="T81" s="704"/>
      <c r="U81" s="704"/>
      <c r="V81" s="704"/>
      <c r="W81" s="704"/>
      <c r="X81" s="704"/>
    </row>
    <row r="82" spans="3:26" ht="13.5" customHeight="1" x14ac:dyDescent="0.2">
      <c r="L82" s="704"/>
      <c r="M82" s="1038"/>
      <c r="N82" s="1038"/>
      <c r="S82" s="704"/>
      <c r="T82" s="704"/>
      <c r="U82" s="704"/>
      <c r="V82" s="704"/>
      <c r="W82" s="704"/>
      <c r="X82" s="704"/>
    </row>
    <row r="83" spans="3:26" x14ac:dyDescent="0.2">
      <c r="M83" s="1038"/>
      <c r="N83" s="1038"/>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24"/>
  <dimension ref="B1:AD90"/>
  <sheetViews>
    <sheetView zoomScale="90" zoomScaleNormal="90" workbookViewId="0">
      <pane xSplit="2" ySplit="5" topLeftCell="C29" activePane="bottomRight" state="frozen"/>
      <selection activeCell="M7" sqref="M7"/>
      <selection pane="topRight" activeCell="M7" sqref="M7"/>
      <selection pane="bottomLeft" activeCell="M7" sqref="M7"/>
      <selection pane="bottomRight" activeCell="M7" sqref="M7"/>
    </sheetView>
  </sheetViews>
  <sheetFormatPr defaultRowHeight="12.75" x14ac:dyDescent="0.2"/>
  <cols>
    <col min="1" max="1" width="9.140625" style="321"/>
    <col min="2" max="2" width="64.7109375" style="321" customWidth="1"/>
    <col min="3" max="3" width="18" style="321" bestFit="1" customWidth="1"/>
    <col min="4" max="4" width="15.7109375" style="321" hidden="1" customWidth="1"/>
    <col min="5" max="5" width="15.5703125" style="321" customWidth="1"/>
    <col min="6" max="6" width="18" style="321" bestFit="1" customWidth="1"/>
    <col min="7" max="7" width="16.7109375" style="321" customWidth="1"/>
    <col min="8" max="8" width="12.28515625" style="321" hidden="1" customWidth="1"/>
    <col min="9" max="9" width="12.85546875" style="321" customWidth="1"/>
    <col min="10" max="10" width="13.140625" style="321" customWidth="1"/>
    <col min="11" max="11" width="11.28515625" style="819" customWidth="1"/>
    <col min="12" max="12" width="16.42578125" style="321" customWidth="1"/>
    <col min="13" max="13" width="20.85546875" style="321" customWidth="1"/>
    <col min="14" max="14" width="20.140625" style="321" bestFit="1" customWidth="1"/>
    <col min="15" max="15" width="23.140625" style="321" customWidth="1"/>
    <col min="16" max="16" width="10.140625" style="321" customWidth="1"/>
    <col min="17" max="18" width="13.85546875" style="321" customWidth="1"/>
    <col min="19" max="19" width="13.85546875" style="321" hidden="1" customWidth="1"/>
    <col min="20" max="20" width="13.28515625" style="321" hidden="1" customWidth="1"/>
    <col min="21" max="21" width="13.140625" style="321" hidden="1" customWidth="1"/>
    <col min="22" max="22" width="14.5703125" style="321" hidden="1" customWidth="1"/>
    <col min="23" max="23" width="14.7109375" style="321" customWidth="1"/>
    <col min="24" max="24" width="14.5703125" style="321" customWidth="1"/>
    <col min="25" max="25" width="11" style="321" bestFit="1" customWidth="1"/>
    <col min="26" max="26" width="13.85546875" style="321" customWidth="1"/>
    <col min="27" max="27" width="12" style="321" bestFit="1" customWidth="1"/>
    <col min="28" max="16384" width="9.140625" style="321"/>
  </cols>
  <sheetData>
    <row r="1" spans="2:29" s="284" customFormat="1" ht="18" x14ac:dyDescent="0.25">
      <c r="B1" s="2153" t="s">
        <v>78</v>
      </c>
      <c r="C1" s="2153"/>
      <c r="D1" s="2153"/>
      <c r="E1" s="2153"/>
      <c r="F1" s="2153"/>
      <c r="G1" s="2153"/>
      <c r="H1" s="2153"/>
      <c r="I1" s="2153"/>
      <c r="J1" s="2153"/>
      <c r="K1" s="2153"/>
      <c r="L1" s="2153"/>
      <c r="M1" s="2153"/>
      <c r="N1" s="2473"/>
      <c r="O1" s="2153"/>
      <c r="P1" s="2153"/>
      <c r="Q1" s="2153"/>
      <c r="R1" s="2153"/>
      <c r="S1" s="2153"/>
      <c r="T1" s="2153"/>
      <c r="U1" s="2153"/>
      <c r="V1" s="2153"/>
      <c r="W1" s="2153"/>
      <c r="X1" s="2153"/>
      <c r="Y1" s="2153"/>
      <c r="Z1" s="2153"/>
    </row>
    <row r="2" spans="2:29" s="284" customFormat="1" ht="18" customHeight="1" x14ac:dyDescent="0.25">
      <c r="B2" s="2154" t="s">
        <v>707</v>
      </c>
      <c r="C2" s="2154"/>
      <c r="D2" s="2154"/>
      <c r="E2" s="2154"/>
      <c r="F2" s="2154"/>
      <c r="G2" s="2154"/>
      <c r="H2" s="2154"/>
      <c r="I2" s="2154"/>
      <c r="J2" s="2154"/>
      <c r="K2" s="2154"/>
      <c r="L2" s="2154"/>
      <c r="M2" s="2154"/>
      <c r="N2" s="2473"/>
      <c r="O2" s="2154"/>
      <c r="P2" s="2154"/>
      <c r="Q2" s="2154"/>
      <c r="R2" s="2154"/>
      <c r="S2" s="2154"/>
      <c r="T2" s="2154"/>
      <c r="U2" s="2154"/>
      <c r="V2" s="2154"/>
      <c r="W2" s="2154"/>
      <c r="X2" s="2154"/>
      <c r="Y2" s="2154"/>
      <c r="Z2" s="2154"/>
    </row>
    <row r="3" spans="2:29" s="284" customFormat="1" ht="13.5" thickBot="1" x14ac:dyDescent="0.25">
      <c r="C3" s="243"/>
      <c r="K3" s="2154"/>
    </row>
    <row r="4" spans="2:29" ht="79.5" thickBot="1" x14ac:dyDescent="0.3">
      <c r="B4" s="315" t="s">
        <v>79</v>
      </c>
      <c r="C4" s="941" t="s">
        <v>670</v>
      </c>
      <c r="D4" s="941" t="s">
        <v>553</v>
      </c>
      <c r="E4" s="941" t="s">
        <v>554</v>
      </c>
      <c r="F4" s="941" t="s">
        <v>671</v>
      </c>
      <c r="G4" s="315" t="s">
        <v>161</v>
      </c>
      <c r="H4" s="943" t="s">
        <v>555</v>
      </c>
      <c r="I4" s="941" t="s">
        <v>672</v>
      </c>
      <c r="J4" s="317" t="s">
        <v>162</v>
      </c>
      <c r="K4" s="2140" t="s">
        <v>163</v>
      </c>
      <c r="L4" s="318" t="s">
        <v>81</v>
      </c>
      <c r="M4" s="2141" t="s">
        <v>166</v>
      </c>
      <c r="N4" s="2141" t="s">
        <v>165</v>
      </c>
      <c r="O4" s="2142" t="s">
        <v>673</v>
      </c>
      <c r="P4" s="1918" t="s">
        <v>674</v>
      </c>
      <c r="Q4" s="1918" t="s">
        <v>675</v>
      </c>
      <c r="R4" s="1918" t="s">
        <v>676</v>
      </c>
      <c r="S4" s="941" t="s">
        <v>512</v>
      </c>
      <c r="T4" s="941" t="s">
        <v>513</v>
      </c>
      <c r="U4" s="941" t="s">
        <v>514</v>
      </c>
      <c r="V4" s="941" t="s">
        <v>515</v>
      </c>
      <c r="W4" s="941" t="s">
        <v>508</v>
      </c>
      <c r="X4" s="941" t="s">
        <v>509</v>
      </c>
      <c r="Y4" s="1918" t="s">
        <v>677</v>
      </c>
      <c r="Z4" s="1919" t="s">
        <v>678</v>
      </c>
    </row>
    <row r="5" spans="2:29" ht="16.5" thickBot="1" x14ac:dyDescent="0.3">
      <c r="B5" s="2155" t="s">
        <v>5</v>
      </c>
      <c r="C5" s="2156"/>
      <c r="D5" s="2156"/>
      <c r="E5" s="2156"/>
      <c r="F5" s="2156"/>
      <c r="G5" s="2156"/>
      <c r="H5" s="2156"/>
      <c r="I5" s="2156"/>
      <c r="J5" s="2156"/>
      <c r="K5" s="2156"/>
      <c r="L5" s="2156"/>
      <c r="M5" s="2156"/>
      <c r="N5" s="2156"/>
      <c r="O5" s="2156"/>
      <c r="P5" s="2156"/>
      <c r="Q5" s="2156"/>
      <c r="R5" s="2159"/>
      <c r="S5" s="2108"/>
      <c r="T5" s="2108"/>
      <c r="U5" s="2108"/>
      <c r="V5" s="2108"/>
      <c r="W5" s="2108"/>
      <c r="X5" s="2108"/>
      <c r="Y5" s="2109"/>
      <c r="Z5" s="2109"/>
    </row>
    <row r="6" spans="2:29" s="284" customFormat="1" ht="19.5" hidden="1" customHeight="1" thickBot="1" x14ac:dyDescent="0.25">
      <c r="B6" s="359" t="s">
        <v>232</v>
      </c>
      <c r="C6" s="2132"/>
      <c r="D6" s="2133"/>
      <c r="E6" s="2133"/>
      <c r="F6" s="2133"/>
      <c r="G6" s="2133"/>
      <c r="H6" s="337"/>
      <c r="I6" s="338"/>
      <c r="J6" s="338"/>
      <c r="K6" s="2119"/>
      <c r="L6" s="2134"/>
      <c r="M6" s="2119"/>
      <c r="N6" s="2119"/>
      <c r="O6" s="2119"/>
      <c r="P6" s="341"/>
      <c r="Q6" s="336"/>
      <c r="R6" s="329"/>
      <c r="S6" s="2119"/>
      <c r="T6" s="2119"/>
      <c r="U6" s="2119"/>
      <c r="V6" s="2119"/>
      <c r="W6" s="2119">
        <f t="shared" ref="W6:X27" si="0">+(M6*102900+S6*138690+U6*91330)/10^6</f>
        <v>0</v>
      </c>
      <c r="X6" s="2119">
        <f t="shared" si="0"/>
        <v>0</v>
      </c>
      <c r="Y6" s="341" t="s">
        <v>3</v>
      </c>
      <c r="Z6" s="336" t="s">
        <v>3</v>
      </c>
    </row>
    <row r="7" spans="2:29" s="2060" customFormat="1" ht="18" customHeight="1" x14ac:dyDescent="0.2">
      <c r="B7" s="2290" t="s">
        <v>233</v>
      </c>
      <c r="C7" s="2354">
        <f>'CNG Table A'!$M$16</f>
        <v>4862141.4270319892</v>
      </c>
      <c r="D7" s="2291" t="e">
        <f>E7-C7</f>
        <v>#REF!</v>
      </c>
      <c r="E7" s="2461" t="e">
        <f>#REF!*1000</f>
        <v>#REF!</v>
      </c>
      <c r="F7" s="2461" t="e">
        <f>#REF!*1000</f>
        <v>#REF!</v>
      </c>
      <c r="G7" s="2461" t="e">
        <f>#REF!*1000</f>
        <v>#REF!</v>
      </c>
      <c r="H7" s="401" t="e">
        <f>#REF!*1000</f>
        <v>#REF!</v>
      </c>
      <c r="I7" s="2137" t="e">
        <f>F7/C7</f>
        <v>#REF!</v>
      </c>
      <c r="J7" s="2137" t="e">
        <f>G7/E7</f>
        <v>#REF!</v>
      </c>
      <c r="K7" s="2462" t="e">
        <f>#REF!</f>
        <v>#REF!</v>
      </c>
      <c r="L7" s="354" t="s">
        <v>241</v>
      </c>
      <c r="M7" s="2462" t="e">
        <f>#REF!</f>
        <v>#REF!</v>
      </c>
      <c r="N7" s="2462" t="e">
        <f>#REF!</f>
        <v>#REF!</v>
      </c>
      <c r="O7" s="2462" t="e">
        <f>#REF!</f>
        <v>#REF!</v>
      </c>
      <c r="P7" s="2120" t="e">
        <f>C7/M7</f>
        <v>#REF!</v>
      </c>
      <c r="Q7" s="2378" t="e">
        <f>C7/N7</f>
        <v>#REF!</v>
      </c>
      <c r="R7" s="2378" t="e">
        <f>C7/O7</f>
        <v>#REF!</v>
      </c>
      <c r="S7" s="2357"/>
      <c r="T7" s="2357"/>
      <c r="U7" s="2357"/>
      <c r="V7" s="2357"/>
      <c r="W7" s="2357" t="e">
        <f t="shared" si="0"/>
        <v>#REF!</v>
      </c>
      <c r="X7" s="2357" t="e">
        <f t="shared" si="0"/>
        <v>#REF!</v>
      </c>
      <c r="Y7" s="2359" t="e">
        <f>+C7/W7</f>
        <v>#REF!</v>
      </c>
      <c r="Z7" s="2361" t="e">
        <f>+C7/X7</f>
        <v>#REF!</v>
      </c>
    </row>
    <row r="8" spans="2:29" s="2060" customFormat="1" ht="20.25" customHeight="1" x14ac:dyDescent="0.2">
      <c r="B8" s="2202" t="s">
        <v>234</v>
      </c>
      <c r="C8" s="2200">
        <f>'SCG Table A'!$M$16</f>
        <v>4058315.4133377485</v>
      </c>
      <c r="D8" s="2052" t="e">
        <f>E8-C8</f>
        <v>#REF!</v>
      </c>
      <c r="E8" s="2461" t="e">
        <f>#REF!*1000</f>
        <v>#REF!</v>
      </c>
      <c r="F8" s="2461" t="e">
        <f>#REF!*1000</f>
        <v>#REF!</v>
      </c>
      <c r="G8" s="2461" t="e">
        <f>#REF!*1000</f>
        <v>#REF!</v>
      </c>
      <c r="H8" s="332">
        <f ca="1">SUM(C8/$C$76)</f>
        <v>0.27807444096709244</v>
      </c>
      <c r="I8" s="333" t="e">
        <f>F8/C8</f>
        <v>#REF!</v>
      </c>
      <c r="J8" s="333" t="e">
        <f>G8/E8</f>
        <v>#REF!</v>
      </c>
      <c r="K8" s="2462" t="e">
        <f>#REF!</f>
        <v>#REF!</v>
      </c>
      <c r="L8" s="2337" t="s">
        <v>241</v>
      </c>
      <c r="M8" s="2462" t="e">
        <f>#REF!</f>
        <v>#REF!</v>
      </c>
      <c r="N8" s="2462" t="e">
        <f>#REF!</f>
        <v>#REF!</v>
      </c>
      <c r="O8" s="2462" t="e">
        <f>#REF!</f>
        <v>#REF!</v>
      </c>
      <c r="P8" s="335" t="e">
        <f>C8/M8</f>
        <v>#REF!</v>
      </c>
      <c r="Q8" s="2338" t="e">
        <f>C8/N8</f>
        <v>#REF!</v>
      </c>
      <c r="R8" s="2338" t="e">
        <f t="shared" ref="R8:R28" si="1">C8/O8</f>
        <v>#REF!</v>
      </c>
      <c r="S8" s="2055"/>
      <c r="T8" s="2055"/>
      <c r="U8" s="2055"/>
      <c r="V8" s="2055"/>
      <c r="W8" s="2055" t="e">
        <f t="shared" si="0"/>
        <v>#REF!</v>
      </c>
      <c r="X8" s="2055" t="e">
        <f t="shared" si="0"/>
        <v>#REF!</v>
      </c>
      <c r="Y8" s="2057" t="e">
        <f>+C8/W8</f>
        <v>#REF!</v>
      </c>
      <c r="Z8" s="2362" t="e">
        <f>+C8/X8</f>
        <v>#REF!</v>
      </c>
    </row>
    <row r="9" spans="2:29" ht="17.25" customHeight="1" x14ac:dyDescent="0.25">
      <c r="B9" s="2363" t="s">
        <v>235</v>
      </c>
      <c r="C9" s="2330">
        <f>SUM(C6:C8)</f>
        <v>8920456.8403697386</v>
      </c>
      <c r="D9" s="2330" t="e">
        <f>SUM(D6:D8)</f>
        <v>#REF!</v>
      </c>
      <c r="E9" s="2330" t="e">
        <f>SUM(E6:E8)</f>
        <v>#REF!</v>
      </c>
      <c r="F9" s="2330" t="e">
        <f>SUM(F6:F8)</f>
        <v>#REF!</v>
      </c>
      <c r="G9" s="2330" t="e">
        <f>SUM(G6:G8)</f>
        <v>#REF!</v>
      </c>
      <c r="H9" s="2331">
        <f ca="1">SUM(C9/$C$77)</f>
        <v>0.28829191104139312</v>
      </c>
      <c r="I9" s="2332" t="e">
        <f>F9/C9</f>
        <v>#REF!</v>
      </c>
      <c r="J9" s="2332" t="e">
        <f>G9/E9</f>
        <v>#REF!</v>
      </c>
      <c r="K9" s="2439" t="e">
        <f>SUM(K6:K8)</f>
        <v>#REF!</v>
      </c>
      <c r="L9" s="2334" t="s">
        <v>241</v>
      </c>
      <c r="M9" s="2447" t="e">
        <f>SUM(M6:M8)</f>
        <v>#REF!</v>
      </c>
      <c r="N9" s="2447" t="e">
        <f>SUM(N6:N8)</f>
        <v>#REF!</v>
      </c>
      <c r="O9" s="2447" t="e">
        <f>SUM(O6:O8)</f>
        <v>#REF!</v>
      </c>
      <c r="P9" s="2336" t="e">
        <f>C9/M9</f>
        <v>#REF!</v>
      </c>
      <c r="Q9" s="2336" t="e">
        <f>C9/N9</f>
        <v>#REF!</v>
      </c>
      <c r="R9" s="2336" t="e">
        <f t="shared" si="1"/>
        <v>#REF!</v>
      </c>
      <c r="S9" s="2335">
        <f>SUM(S6:S8)</f>
        <v>0</v>
      </c>
      <c r="T9" s="2335">
        <f>SUM(T6:T8)</f>
        <v>0</v>
      </c>
      <c r="U9" s="2335"/>
      <c r="V9" s="2335"/>
      <c r="W9" s="2333" t="e">
        <f t="shared" si="0"/>
        <v>#REF!</v>
      </c>
      <c r="X9" s="2333" t="e">
        <f t="shared" si="0"/>
        <v>#REF!</v>
      </c>
      <c r="Y9" s="2336" t="e">
        <f>+C9/W9</f>
        <v>#REF!</v>
      </c>
      <c r="Z9" s="2364" t="e">
        <f>+C9/X9</f>
        <v>#REF!</v>
      </c>
      <c r="AB9" s="704"/>
    </row>
    <row r="10" spans="2:29" s="284" customFormat="1" ht="15" hidden="1" x14ac:dyDescent="0.2">
      <c r="B10" s="330" t="s">
        <v>139</v>
      </c>
      <c r="C10" s="331"/>
      <c r="D10" s="331"/>
      <c r="E10" s="331"/>
      <c r="F10" s="331"/>
      <c r="G10" s="331"/>
      <c r="H10" s="332"/>
      <c r="I10" s="333"/>
      <c r="J10" s="333"/>
      <c r="K10" s="2438"/>
      <c r="L10" s="2337"/>
      <c r="M10" s="2438"/>
      <c r="N10" s="2438"/>
      <c r="O10" s="2438"/>
      <c r="P10" s="335"/>
      <c r="Q10" s="2338"/>
      <c r="R10" s="2338" t="e">
        <f t="shared" si="1"/>
        <v>#DIV/0!</v>
      </c>
      <c r="S10" s="804"/>
      <c r="T10" s="804"/>
      <c r="U10" s="804"/>
      <c r="V10" s="804"/>
      <c r="W10" s="804">
        <f t="shared" si="0"/>
        <v>0</v>
      </c>
      <c r="X10" s="804">
        <f t="shared" si="0"/>
        <v>0</v>
      </c>
      <c r="Y10" s="335" t="s">
        <v>3</v>
      </c>
      <c r="Z10" s="358" t="s">
        <v>3</v>
      </c>
      <c r="AA10" s="393"/>
      <c r="AB10" s="797"/>
    </row>
    <row r="11" spans="2:29" s="2060" customFormat="1" ht="15" x14ac:dyDescent="0.2">
      <c r="B11" s="2202" t="s">
        <v>140</v>
      </c>
      <c r="C11" s="2052">
        <f>'CNG Table A'!$M$14</f>
        <v>3331236.7278325986</v>
      </c>
      <c r="D11" s="2052" t="e">
        <f>E11-C11</f>
        <v>#REF!</v>
      </c>
      <c r="E11" s="2461" t="e">
        <f>#REF!*1000</f>
        <v>#REF!</v>
      </c>
      <c r="F11" s="2461" t="e">
        <f>#REF!*1000</f>
        <v>#REF!</v>
      </c>
      <c r="G11" s="2461" t="e">
        <f>#REF!*1000</f>
        <v>#REF!</v>
      </c>
      <c r="H11" s="332">
        <f ca="1">SUM(C11/$C$75)</f>
        <v>0.2037690835524614</v>
      </c>
      <c r="I11" s="333" t="e">
        <f>F11/C11</f>
        <v>#REF!</v>
      </c>
      <c r="J11" s="333" t="e">
        <f>G11/E11</f>
        <v>#REF!</v>
      </c>
      <c r="K11" s="2462" t="e">
        <f>#REF!</f>
        <v>#REF!</v>
      </c>
      <c r="L11" s="2337" t="s">
        <v>241</v>
      </c>
      <c r="M11" s="2462" t="e">
        <f>#REF!</f>
        <v>#REF!</v>
      </c>
      <c r="N11" s="2462" t="e">
        <f>#REF!</f>
        <v>#REF!</v>
      </c>
      <c r="O11" s="2462" t="e">
        <f>#REF!</f>
        <v>#REF!</v>
      </c>
      <c r="P11" s="335" t="e">
        <f>C11/M11</f>
        <v>#REF!</v>
      </c>
      <c r="Q11" s="2338" t="e">
        <f>C11/N11</f>
        <v>#REF!</v>
      </c>
      <c r="R11" s="2338" t="e">
        <f t="shared" si="1"/>
        <v>#REF!</v>
      </c>
      <c r="S11" s="2055">
        <v>0</v>
      </c>
      <c r="T11" s="2055">
        <v>0</v>
      </c>
      <c r="U11" s="2055">
        <v>0</v>
      </c>
      <c r="V11" s="2055">
        <v>0</v>
      </c>
      <c r="W11" s="2055" t="e">
        <f t="shared" si="0"/>
        <v>#REF!</v>
      </c>
      <c r="X11" s="2055" t="e">
        <f t="shared" si="0"/>
        <v>#REF!</v>
      </c>
      <c r="Y11" s="2057" t="e">
        <f>+C11/W11</f>
        <v>#REF!</v>
      </c>
      <c r="Z11" s="2362" t="e">
        <f>+C11/X11</f>
        <v>#REF!</v>
      </c>
      <c r="AA11" s="2072"/>
      <c r="AB11" s="2203"/>
      <c r="AC11" s="2072"/>
    </row>
    <row r="12" spans="2:29" s="2060" customFormat="1" ht="15" x14ac:dyDescent="0.2">
      <c r="B12" s="2202" t="s">
        <v>141</v>
      </c>
      <c r="C12" s="2052">
        <f>'SCG Table A'!$M$14</f>
        <v>3116266.6701221615</v>
      </c>
      <c r="D12" s="2052" t="e">
        <f>E12-C12</f>
        <v>#REF!</v>
      </c>
      <c r="E12" s="2461" t="e">
        <f>#REF!*1000</f>
        <v>#REF!</v>
      </c>
      <c r="F12" s="2461" t="e">
        <f>#REF!*1000</f>
        <v>#REF!</v>
      </c>
      <c r="G12" s="2461" t="e">
        <f>#REF!*1000</f>
        <v>#REF!</v>
      </c>
      <c r="H12" s="332">
        <f ca="1">SUM(C12/$C$75)</f>
        <v>0.19061953723385563</v>
      </c>
      <c r="I12" s="333" t="e">
        <f>F12/C12</f>
        <v>#REF!</v>
      </c>
      <c r="J12" s="333" t="e">
        <f>G12/E12</f>
        <v>#REF!</v>
      </c>
      <c r="K12" s="2462" t="e">
        <f>#REF!</f>
        <v>#REF!</v>
      </c>
      <c r="L12" s="2337" t="s">
        <v>241</v>
      </c>
      <c r="M12" s="2462" t="e">
        <f>#REF!</f>
        <v>#REF!</v>
      </c>
      <c r="N12" s="2462" t="e">
        <f>#REF!</f>
        <v>#REF!</v>
      </c>
      <c r="O12" s="2462" t="e">
        <f>#REF!</f>
        <v>#REF!</v>
      </c>
      <c r="P12" s="335" t="e">
        <f>C12/M12</f>
        <v>#REF!</v>
      </c>
      <c r="Q12" s="2338" t="e">
        <f>C12/N12</f>
        <v>#REF!</v>
      </c>
      <c r="R12" s="2338" t="e">
        <f t="shared" si="1"/>
        <v>#REF!</v>
      </c>
      <c r="S12" s="2055"/>
      <c r="T12" s="2055"/>
      <c r="U12" s="2055"/>
      <c r="V12" s="2055"/>
      <c r="W12" s="2055" t="e">
        <f>+(M12*102900+S12*138690+U12*91330)/10^6</f>
        <v>#REF!</v>
      </c>
      <c r="X12" s="2055" t="e">
        <f>+(N12*102900+T12*138690+V12*91330)/10^6</f>
        <v>#REF!</v>
      </c>
      <c r="Y12" s="2057" t="e">
        <f>+C12/W12</f>
        <v>#REF!</v>
      </c>
      <c r="Z12" s="2362" t="e">
        <f>+C12/X12</f>
        <v>#REF!</v>
      </c>
      <c r="AA12" s="2072"/>
      <c r="AB12" s="2203"/>
      <c r="AC12" s="2072"/>
    </row>
    <row r="13" spans="2:29" ht="17.25" customHeight="1" x14ac:dyDescent="0.25">
      <c r="B13" s="2363" t="s">
        <v>146</v>
      </c>
      <c r="C13" s="2330">
        <f>SUM(C10:C12)</f>
        <v>6447503.3979547601</v>
      </c>
      <c r="D13" s="2330" t="e">
        <f>SUM(D10:D12)</f>
        <v>#REF!</v>
      </c>
      <c r="E13" s="2330" t="e">
        <f>SUM(E10:E12)</f>
        <v>#REF!</v>
      </c>
      <c r="F13" s="2330" t="e">
        <f>SUM(F10:F12)</f>
        <v>#REF!</v>
      </c>
      <c r="G13" s="2330" t="e">
        <f>SUM(G10:G12)</f>
        <v>#REF!</v>
      </c>
      <c r="H13" s="2331">
        <f ca="1">SUM(C13/$C$77)</f>
        <v>0.20837083899452069</v>
      </c>
      <c r="I13" s="2332" t="e">
        <f>F13/C13</f>
        <v>#REF!</v>
      </c>
      <c r="J13" s="2332" t="e">
        <f>G13/E13</f>
        <v>#REF!</v>
      </c>
      <c r="K13" s="2439" t="e">
        <f>SUM(K10:K12)</f>
        <v>#REF!</v>
      </c>
      <c r="L13" s="2334" t="s">
        <v>241</v>
      </c>
      <c r="M13" s="2447" t="e">
        <f>SUM(M10:M12)</f>
        <v>#REF!</v>
      </c>
      <c r="N13" s="2447" t="e">
        <f>SUM(N10:N12)</f>
        <v>#REF!</v>
      </c>
      <c r="O13" s="2447" t="e">
        <f>SUM(O10:O12)</f>
        <v>#REF!</v>
      </c>
      <c r="P13" s="2336" t="e">
        <f>C13/M13</f>
        <v>#REF!</v>
      </c>
      <c r="Q13" s="2339" t="e">
        <f>C13/N13</f>
        <v>#REF!</v>
      </c>
      <c r="R13" s="2339" t="e">
        <f t="shared" si="1"/>
        <v>#REF!</v>
      </c>
      <c r="S13" s="2335">
        <f>SUM(S10:S12)</f>
        <v>0</v>
      </c>
      <c r="T13" s="2335">
        <f>SUM(T10:T12)</f>
        <v>0</v>
      </c>
      <c r="U13" s="2335">
        <f>SUM(U10:U12)</f>
        <v>0</v>
      </c>
      <c r="V13" s="2335">
        <f>SUM(V10:V12)</f>
        <v>0</v>
      </c>
      <c r="W13" s="2333" t="e">
        <f t="shared" si="0"/>
        <v>#REF!</v>
      </c>
      <c r="X13" s="2333" t="e">
        <f t="shared" si="0"/>
        <v>#REF!</v>
      </c>
      <c r="Y13" s="2336" t="e">
        <f>+C13/W13</f>
        <v>#REF!</v>
      </c>
      <c r="Z13" s="2365" t="e">
        <f>+C13/X13</f>
        <v>#REF!</v>
      </c>
    </row>
    <row r="14" spans="2:29" s="284" customFormat="1" ht="15.75" hidden="1" customHeight="1" x14ac:dyDescent="0.2">
      <c r="B14" s="330" t="s">
        <v>169</v>
      </c>
      <c r="C14" s="331"/>
      <c r="D14" s="331"/>
      <c r="E14" s="331"/>
      <c r="F14" s="331"/>
      <c r="G14" s="331"/>
      <c r="H14" s="332"/>
      <c r="I14" s="333"/>
      <c r="J14" s="333"/>
      <c r="K14" s="2438"/>
      <c r="L14" s="2337"/>
      <c r="M14" s="2438"/>
      <c r="N14" s="2438"/>
      <c r="O14" s="2438"/>
      <c r="P14" s="335"/>
      <c r="Q14" s="2338"/>
      <c r="R14" s="2338" t="e">
        <f t="shared" si="1"/>
        <v>#DIV/0!</v>
      </c>
      <c r="S14" s="804"/>
      <c r="T14" s="804"/>
      <c r="U14" s="804"/>
      <c r="V14" s="804"/>
      <c r="W14" s="804">
        <f t="shared" si="0"/>
        <v>0</v>
      </c>
      <c r="X14" s="804">
        <f t="shared" si="0"/>
        <v>0</v>
      </c>
      <c r="Y14" s="335" t="s">
        <v>3</v>
      </c>
      <c r="Z14" s="358" t="s">
        <v>3</v>
      </c>
    </row>
    <row r="15" spans="2:29" s="284" customFormat="1" ht="30" x14ac:dyDescent="0.2">
      <c r="B15" s="2073" t="s">
        <v>597</v>
      </c>
      <c r="C15" s="2052">
        <f>'CNG Table A'!$M$15</f>
        <v>1062339.4158166039</v>
      </c>
      <c r="D15" s="2052" t="e">
        <f>E15-C15</f>
        <v>#REF!</v>
      </c>
      <c r="E15" s="2461" t="e">
        <f>#REF!*1000</f>
        <v>#REF!</v>
      </c>
      <c r="F15" s="2461" t="e">
        <f>#REF!*1000</f>
        <v>#REF!</v>
      </c>
      <c r="G15" s="2461" t="e">
        <f>#REF!*1000</f>
        <v>#REF!</v>
      </c>
      <c r="H15" s="332">
        <f ca="1">SUM(C15/$C$75)</f>
        <v>6.4982451524377149E-2</v>
      </c>
      <c r="I15" s="2598" t="e">
        <f t="shared" ref="I15:I22" si="2">F15/C15</f>
        <v>#REF!</v>
      </c>
      <c r="J15" s="333" t="e">
        <f>G15/E15</f>
        <v>#REF!</v>
      </c>
      <c r="K15" s="2462" t="e">
        <f>#REF!</f>
        <v>#REF!</v>
      </c>
      <c r="L15" s="2337" t="s">
        <v>572</v>
      </c>
      <c r="M15" s="2462" t="e">
        <f>#REF!</f>
        <v>#REF!</v>
      </c>
      <c r="N15" s="2462" t="e">
        <f>#REF!</f>
        <v>#REF!</v>
      </c>
      <c r="O15" s="2462" t="e">
        <f>#REF!</f>
        <v>#REF!</v>
      </c>
      <c r="P15" s="335" t="e">
        <f t="shared" ref="P15:P23" si="3">C15/M15</f>
        <v>#REF!</v>
      </c>
      <c r="Q15" s="2338" t="e">
        <f t="shared" ref="Q15:Q23" si="4">C15/N15</f>
        <v>#REF!</v>
      </c>
      <c r="R15" s="2338" t="e">
        <f t="shared" si="1"/>
        <v>#REF!</v>
      </c>
      <c r="S15" s="804"/>
      <c r="T15" s="804"/>
      <c r="U15" s="804"/>
      <c r="V15" s="804"/>
      <c r="W15" s="2055" t="e">
        <f t="shared" si="0"/>
        <v>#REF!</v>
      </c>
      <c r="X15" s="2055" t="e">
        <f t="shared" si="0"/>
        <v>#REF!</v>
      </c>
      <c r="Y15" s="2057" t="e">
        <f t="shared" ref="Y15:Y28" si="5">+C15/W15</f>
        <v>#REF!</v>
      </c>
      <c r="Z15" s="2362" t="e">
        <f>+C15/X15</f>
        <v>#REF!</v>
      </c>
    </row>
    <row r="16" spans="2:29" s="284" customFormat="1" ht="30" x14ac:dyDescent="0.2">
      <c r="B16" s="2073" t="s">
        <v>598</v>
      </c>
      <c r="C16" s="2052">
        <f>'SCG Table A'!$M$15</f>
        <v>1174703.2309999999</v>
      </c>
      <c r="D16" s="2052" t="e">
        <f>E16-C16</f>
        <v>#REF!</v>
      </c>
      <c r="E16" s="2461" t="e">
        <f>#REF!*1000</f>
        <v>#REF!</v>
      </c>
      <c r="F16" s="2461" t="e">
        <f>#REF!*1000</f>
        <v>#REF!</v>
      </c>
      <c r="G16" s="2461" t="e">
        <f>#REF!*1000</f>
        <v>#REF!</v>
      </c>
      <c r="H16" s="332">
        <f ca="1">SUM(C16/$C$76)</f>
        <v>8.0490280077542303E-2</v>
      </c>
      <c r="I16" s="333" t="e">
        <f t="shared" si="2"/>
        <v>#REF!</v>
      </c>
      <c r="J16" s="333" t="e">
        <f>G16/E16</f>
        <v>#REF!</v>
      </c>
      <c r="K16" s="2462" t="e">
        <f>#REF!</f>
        <v>#REF!</v>
      </c>
      <c r="L16" s="2337" t="s">
        <v>572</v>
      </c>
      <c r="M16" s="2462" t="e">
        <f>#REF!</f>
        <v>#REF!</v>
      </c>
      <c r="N16" s="2462" t="e">
        <f>#REF!</f>
        <v>#REF!</v>
      </c>
      <c r="O16" s="2462" t="e">
        <f>#REF!</f>
        <v>#REF!</v>
      </c>
      <c r="P16" s="335" t="e">
        <f t="shared" si="3"/>
        <v>#REF!</v>
      </c>
      <c r="Q16" s="2338" t="e">
        <f t="shared" si="4"/>
        <v>#REF!</v>
      </c>
      <c r="R16" s="2338" t="e">
        <f t="shared" si="1"/>
        <v>#REF!</v>
      </c>
      <c r="S16" s="804"/>
      <c r="T16" s="804"/>
      <c r="U16" s="804"/>
      <c r="V16" s="804"/>
      <c r="W16" s="2055" t="e">
        <f t="shared" si="0"/>
        <v>#REF!</v>
      </c>
      <c r="X16" s="2055" t="e">
        <f t="shared" si="0"/>
        <v>#REF!</v>
      </c>
      <c r="Y16" s="2057" t="e">
        <f t="shared" si="5"/>
        <v>#REF!</v>
      </c>
      <c r="Z16" s="2362" t="e">
        <f>+C16/X16</f>
        <v>#REF!</v>
      </c>
    </row>
    <row r="17" spans="2:27" s="284" customFormat="1" ht="15.75" customHeight="1" x14ac:dyDescent="0.25">
      <c r="B17" s="2366" t="s">
        <v>599</v>
      </c>
      <c r="C17" s="2330">
        <f>SUM(C14:C16)</f>
        <v>2237042.6468166038</v>
      </c>
      <c r="D17" s="2330" t="e">
        <f>SUM(D14:D16)</f>
        <v>#REF!</v>
      </c>
      <c r="E17" s="2330" t="e">
        <f>SUM(E14:E16)</f>
        <v>#REF!</v>
      </c>
      <c r="F17" s="2330" t="e">
        <f>SUM(F14:F16)</f>
        <v>#REF!</v>
      </c>
      <c r="G17" s="2330" t="e">
        <f>SUM(G14:G16)</f>
        <v>#REF!</v>
      </c>
      <c r="H17" s="2331">
        <f ca="1">SUM(C17/$C$77)</f>
        <v>7.229689143421987E-2</v>
      </c>
      <c r="I17" s="2332" t="e">
        <f t="shared" si="2"/>
        <v>#REF!</v>
      </c>
      <c r="J17" s="2332" t="e">
        <f>G17/E17</f>
        <v>#REF!</v>
      </c>
      <c r="K17" s="2439" t="e">
        <f>SUM(K14:K16)</f>
        <v>#REF!</v>
      </c>
      <c r="L17" s="2334" t="s">
        <v>572</v>
      </c>
      <c r="M17" s="2447" t="e">
        <f>SUM(M14:M16)</f>
        <v>#REF!</v>
      </c>
      <c r="N17" s="2447" t="e">
        <f>SUM(N14:N16)</f>
        <v>#REF!</v>
      </c>
      <c r="O17" s="2447" t="e">
        <f>SUM(O14:O16)</f>
        <v>#REF!</v>
      </c>
      <c r="P17" s="2336" t="e">
        <f t="shared" si="3"/>
        <v>#REF!</v>
      </c>
      <c r="Q17" s="2339" t="e">
        <f t="shared" si="4"/>
        <v>#REF!</v>
      </c>
      <c r="R17" s="2339" t="e">
        <f t="shared" si="1"/>
        <v>#REF!</v>
      </c>
      <c r="S17" s="2335">
        <f>SUM(S14:S16)</f>
        <v>0</v>
      </c>
      <c r="T17" s="2335">
        <f>SUM(T14:T16)</f>
        <v>0</v>
      </c>
      <c r="U17" s="2335">
        <f>SUM(U14:U16)</f>
        <v>0</v>
      </c>
      <c r="V17" s="2335">
        <f>SUM(V14:V16)</f>
        <v>0</v>
      </c>
      <c r="W17" s="2333" t="e">
        <f t="shared" si="0"/>
        <v>#REF!</v>
      </c>
      <c r="X17" s="2333" t="e">
        <f t="shared" si="0"/>
        <v>#REF!</v>
      </c>
      <c r="Y17" s="2336" t="e">
        <f t="shared" si="5"/>
        <v>#REF!</v>
      </c>
      <c r="Z17" s="2365" t="e">
        <f>+C17/X17</f>
        <v>#REF!</v>
      </c>
    </row>
    <row r="18" spans="2:27" s="284" customFormat="1" ht="15" x14ac:dyDescent="0.2">
      <c r="B18" s="2073" t="s">
        <v>609</v>
      </c>
      <c r="C18" s="2052">
        <f>'CNG Table A'!$M$17</f>
        <v>176102.00105573717</v>
      </c>
      <c r="D18" s="2340" t="e">
        <f>E18-C18</f>
        <v>#REF!</v>
      </c>
      <c r="E18" s="2461" t="e">
        <f>#REF!*1000</f>
        <v>#REF!</v>
      </c>
      <c r="F18" s="2461" t="e">
        <f>#REF!*1000</f>
        <v>#REF!</v>
      </c>
      <c r="G18" s="2461" t="e">
        <f>#REF!*1000</f>
        <v>#REF!</v>
      </c>
      <c r="H18" s="1115">
        <f ca="1">SUM(C18/$C$75)</f>
        <v>1.0772018411981618E-2</v>
      </c>
      <c r="I18" s="1922" t="e">
        <f t="shared" si="2"/>
        <v>#REF!</v>
      </c>
      <c r="J18" s="333" t="e">
        <f>G18/E18</f>
        <v>#REF!</v>
      </c>
      <c r="K18" s="2462" t="e">
        <f>#REF!</f>
        <v>#REF!</v>
      </c>
      <c r="L18" s="2342" t="s">
        <v>242</v>
      </c>
      <c r="M18" s="2462" t="e">
        <f>#REF!</f>
        <v>#REF!</v>
      </c>
      <c r="N18" s="2462" t="e">
        <f>#REF!</f>
        <v>#REF!</v>
      </c>
      <c r="O18" s="2462" t="e">
        <f>#REF!</f>
        <v>#REF!</v>
      </c>
      <c r="P18" s="2341" t="e">
        <f t="shared" si="3"/>
        <v>#REF!</v>
      </c>
      <c r="Q18" s="2400" t="e">
        <f t="shared" si="4"/>
        <v>#REF!</v>
      </c>
      <c r="R18" s="2400"/>
      <c r="S18" s="2342">
        <v>0</v>
      </c>
      <c r="T18" s="2342">
        <v>0</v>
      </c>
      <c r="U18" s="2342">
        <v>0</v>
      </c>
      <c r="V18" s="2342">
        <v>0</v>
      </c>
      <c r="W18" s="1923" t="e">
        <f t="shared" si="0"/>
        <v>#REF!</v>
      </c>
      <c r="X18" s="1923" t="e">
        <f t="shared" si="0"/>
        <v>#REF!</v>
      </c>
      <c r="Y18" s="1925" t="e">
        <f t="shared" si="5"/>
        <v>#REF!</v>
      </c>
      <c r="Z18" s="1989" t="e">
        <f>+E18/X18</f>
        <v>#REF!</v>
      </c>
    </row>
    <row r="19" spans="2:27" s="2060" customFormat="1" ht="15" x14ac:dyDescent="0.2">
      <c r="B19" s="693" t="s">
        <v>530</v>
      </c>
      <c r="C19" s="2340">
        <f>'SCG Table A'!$M$17</f>
        <v>223746.65157129063</v>
      </c>
      <c r="D19" s="2340"/>
      <c r="E19" s="2461" t="e">
        <f>#REF!*1000</f>
        <v>#REF!</v>
      </c>
      <c r="F19" s="2461" t="e">
        <f>#REF!*1000</f>
        <v>#REF!</v>
      </c>
      <c r="G19" s="2461" t="e">
        <f>#REF!*1000</f>
        <v>#REF!</v>
      </c>
      <c r="H19" s="1115">
        <f ca="1">H18</f>
        <v>1.0772018411981618E-2</v>
      </c>
      <c r="I19" s="1922" t="e">
        <f t="shared" si="2"/>
        <v>#REF!</v>
      </c>
      <c r="J19" s="333" t="e">
        <f>G19/E19</f>
        <v>#REF!</v>
      </c>
      <c r="K19" s="2462" t="e">
        <f>#REF!</f>
        <v>#REF!</v>
      </c>
      <c r="L19" s="2342" t="str">
        <f>L18</f>
        <v>Units</v>
      </c>
      <c r="M19" s="2462" t="e">
        <f>#REF!</f>
        <v>#REF!</v>
      </c>
      <c r="N19" s="2462" t="e">
        <f>#REF!</f>
        <v>#REF!</v>
      </c>
      <c r="O19" s="2462" t="e">
        <f>#REF!</f>
        <v>#REF!</v>
      </c>
      <c r="P19" s="2341" t="e">
        <f t="shared" si="3"/>
        <v>#REF!</v>
      </c>
      <c r="Q19" s="2400" t="e">
        <f t="shared" si="4"/>
        <v>#REF!</v>
      </c>
      <c r="R19" s="2400"/>
      <c r="S19" s="2342">
        <v>0</v>
      </c>
      <c r="T19" s="2342">
        <v>0</v>
      </c>
      <c r="U19" s="2342">
        <v>0</v>
      </c>
      <c r="V19" s="2342">
        <v>0</v>
      </c>
      <c r="W19" s="1923" t="e">
        <f>+(M19*102900+S19*138690+U19*91330)/10^6</f>
        <v>#REF!</v>
      </c>
      <c r="X19" s="1923" t="e">
        <f>+(N19*102900+T19*138690+V19*91330)/10^6</f>
        <v>#REF!</v>
      </c>
      <c r="Y19" s="1925" t="e">
        <f>+C19/W19</f>
        <v>#REF!</v>
      </c>
      <c r="Z19" s="1989" t="e">
        <f>+E19/X19</f>
        <v>#REF!</v>
      </c>
    </row>
    <row r="20" spans="2:27" s="284" customFormat="1" ht="15.75" x14ac:dyDescent="0.25">
      <c r="B20" s="2366" t="s">
        <v>610</v>
      </c>
      <c r="C20" s="2330">
        <f>SUM(C18:C19)</f>
        <v>399848.65262702783</v>
      </c>
      <c r="D20" s="2330" t="e">
        <f>SUM(D18:D19)</f>
        <v>#REF!</v>
      </c>
      <c r="E20" s="2330" t="e">
        <f>SUM(E18:E19)</f>
        <v>#REF!</v>
      </c>
      <c r="F20" s="2330" t="e">
        <f>SUM(F18:F19)</f>
        <v>#REF!</v>
      </c>
      <c r="G20" s="2330" t="e">
        <f>SUM(G18:G19)</f>
        <v>#REF!</v>
      </c>
      <c r="H20" s="2331">
        <f ca="1">SUM(C20/$C$77)</f>
        <v>1.2922335061529665E-2</v>
      </c>
      <c r="I20" s="2332" t="e">
        <f t="shared" si="2"/>
        <v>#REF!</v>
      </c>
      <c r="J20" s="2332"/>
      <c r="K20" s="2439" t="e">
        <f>SUM(K18:K19)</f>
        <v>#REF!</v>
      </c>
      <c r="L20" s="2334"/>
      <c r="M20" s="2447" t="e">
        <f>SUM(M18:M19)</f>
        <v>#REF!</v>
      </c>
      <c r="N20" s="2447" t="e">
        <f>SUM(N18:N19)</f>
        <v>#REF!</v>
      </c>
      <c r="O20" s="2447" t="e">
        <f>SUM(O18:O19)</f>
        <v>#REF!</v>
      </c>
      <c r="P20" s="2336" t="e">
        <f t="shared" si="3"/>
        <v>#REF!</v>
      </c>
      <c r="Q20" s="2339" t="e">
        <f t="shared" si="4"/>
        <v>#REF!</v>
      </c>
      <c r="R20" s="2339"/>
      <c r="S20" s="2335">
        <f>SUM(S18:S19)</f>
        <v>0</v>
      </c>
      <c r="T20" s="2335">
        <f>SUM(T18:T19)</f>
        <v>0</v>
      </c>
      <c r="U20" s="2335">
        <f>SUM(U18:U19)</f>
        <v>0</v>
      </c>
      <c r="V20" s="2335">
        <f>SUM(V18:V19)</f>
        <v>0</v>
      </c>
      <c r="W20" s="2333" t="e">
        <f t="shared" si="0"/>
        <v>#REF!</v>
      </c>
      <c r="X20" s="2333" t="e">
        <f t="shared" si="0"/>
        <v>#REF!</v>
      </c>
      <c r="Y20" s="2336" t="e">
        <f t="shared" si="5"/>
        <v>#REF!</v>
      </c>
      <c r="Z20" s="2365" t="e">
        <f>+C20/X20</f>
        <v>#REF!</v>
      </c>
    </row>
    <row r="21" spans="2:27" s="2060" customFormat="1" ht="15.75" customHeight="1" x14ac:dyDescent="0.2">
      <c r="B21" s="2202" t="s">
        <v>170</v>
      </c>
      <c r="C21" s="2052">
        <f>'CNG Table A'!$M$13</f>
        <v>117504.62163887206</v>
      </c>
      <c r="D21" s="2052" t="e">
        <f>E21-C21</f>
        <v>#REF!</v>
      </c>
      <c r="E21" s="2461" t="e">
        <f>#REF!*1000</f>
        <v>#REF!</v>
      </c>
      <c r="F21" s="2461" t="e">
        <f>#REF!*1000</f>
        <v>#REF!</v>
      </c>
      <c r="G21" s="2461" t="e">
        <f>#REF!*1000</f>
        <v>#REF!</v>
      </c>
      <c r="H21" s="1115">
        <f ca="1">SUM(C21/$C$75)</f>
        <v>7.1876636278894049E-3</v>
      </c>
      <c r="I21" s="1922" t="e">
        <f t="shared" si="2"/>
        <v>#REF!</v>
      </c>
      <c r="J21" s="333" t="e">
        <f>G21/E21</f>
        <v>#REF!</v>
      </c>
      <c r="K21" s="2462" t="e">
        <f>#REF!</f>
        <v>#REF!</v>
      </c>
      <c r="L21" s="2342" t="s">
        <v>241</v>
      </c>
      <c r="M21" s="2462" t="e">
        <f>#REF!</f>
        <v>#REF!</v>
      </c>
      <c r="N21" s="2462" t="e">
        <f>#REF!</f>
        <v>#REF!</v>
      </c>
      <c r="O21" s="2462" t="e">
        <f>#REF!</f>
        <v>#REF!</v>
      </c>
      <c r="P21" s="335" t="e">
        <f t="shared" si="3"/>
        <v>#REF!</v>
      </c>
      <c r="Q21" s="2338" t="e">
        <f t="shared" si="4"/>
        <v>#REF!</v>
      </c>
      <c r="R21" s="2338" t="e">
        <f t="shared" si="1"/>
        <v>#REF!</v>
      </c>
      <c r="S21" s="2055"/>
      <c r="T21" s="2055"/>
      <c r="U21" s="2055"/>
      <c r="V21" s="2055"/>
      <c r="W21" s="2055" t="e">
        <f t="shared" si="0"/>
        <v>#REF!</v>
      </c>
      <c r="X21" s="2055" t="e">
        <f t="shared" si="0"/>
        <v>#REF!</v>
      </c>
      <c r="Y21" s="2057" t="e">
        <f t="shared" si="5"/>
        <v>#REF!</v>
      </c>
      <c r="Z21" s="2362" t="e">
        <f t="shared" ref="Z21:Z28" si="6">+C21/X21</f>
        <v>#REF!</v>
      </c>
    </row>
    <row r="22" spans="2:27" s="2060" customFormat="1" ht="15.75" customHeight="1" x14ac:dyDescent="0.2">
      <c r="B22" s="2202" t="s">
        <v>171</v>
      </c>
      <c r="C22" s="2052">
        <f>'SCG Table A'!$M$13</f>
        <v>130190.64858006861</v>
      </c>
      <c r="D22" s="2052" t="e">
        <f>E22-C22</f>
        <v>#REF!</v>
      </c>
      <c r="E22" s="2461" t="e">
        <f>#REF!*1000</f>
        <v>#REF!</v>
      </c>
      <c r="F22" s="2461" t="e">
        <f>#REF!*1000</f>
        <v>#REF!</v>
      </c>
      <c r="G22" s="2461" t="e">
        <f>#REF!*1000</f>
        <v>#REF!</v>
      </c>
      <c r="H22" s="1115">
        <f ca="1">H21</f>
        <v>7.1876636278894049E-3</v>
      </c>
      <c r="I22" s="1922" t="e">
        <f t="shared" si="2"/>
        <v>#REF!</v>
      </c>
      <c r="J22" s="333" t="e">
        <f>G22/E22</f>
        <v>#REF!</v>
      </c>
      <c r="K22" s="2462" t="e">
        <f>#REF!</f>
        <v>#REF!</v>
      </c>
      <c r="L22" s="2342" t="s">
        <v>241</v>
      </c>
      <c r="M22" s="2462" t="e">
        <f>#REF!</f>
        <v>#REF!</v>
      </c>
      <c r="N22" s="2462" t="e">
        <f>#REF!</f>
        <v>#REF!</v>
      </c>
      <c r="O22" s="2462" t="e">
        <f>#REF!</f>
        <v>#REF!</v>
      </c>
      <c r="P22" s="335" t="e">
        <f t="shared" si="3"/>
        <v>#REF!</v>
      </c>
      <c r="Q22" s="2338" t="e">
        <f t="shared" si="4"/>
        <v>#REF!</v>
      </c>
      <c r="R22" s="2338" t="e">
        <f t="shared" si="1"/>
        <v>#REF!</v>
      </c>
      <c r="S22" s="2055"/>
      <c r="T22" s="2055"/>
      <c r="U22" s="2055"/>
      <c r="V22" s="2055"/>
      <c r="W22" s="2055" t="e">
        <f t="shared" si="0"/>
        <v>#REF!</v>
      </c>
      <c r="X22" s="2055" t="e">
        <f t="shared" si="0"/>
        <v>#REF!</v>
      </c>
      <c r="Y22" s="2057" t="e">
        <f t="shared" si="5"/>
        <v>#REF!</v>
      </c>
      <c r="Z22" s="2362" t="e">
        <f t="shared" si="6"/>
        <v>#REF!</v>
      </c>
    </row>
    <row r="23" spans="2:27" ht="17.25" customHeight="1" x14ac:dyDescent="0.25">
      <c r="B23" s="2363" t="s">
        <v>204</v>
      </c>
      <c r="C23" s="2330">
        <f>SUM(C21:C22)</f>
        <v>247695.27021894068</v>
      </c>
      <c r="D23" s="2330" t="e">
        <f>SUM(D21:D22)</f>
        <v>#REF!</v>
      </c>
      <c r="E23" s="2330" t="e">
        <f>SUM(E21:E22)</f>
        <v>#REF!</v>
      </c>
      <c r="F23" s="2330" t="e">
        <f>SUM(F21:F22)</f>
        <v>#REF!</v>
      </c>
      <c r="G23" s="2330" t="e">
        <f>SUM(G21:G22)</f>
        <v>#REF!</v>
      </c>
      <c r="H23" s="2331">
        <f ca="1">SUM(C23/$C$77)</f>
        <v>8.0050320387372569E-3</v>
      </c>
      <c r="I23" s="2332" t="e">
        <f>F23/C23</f>
        <v>#REF!</v>
      </c>
      <c r="J23" s="2332" t="e">
        <f>G23/E23</f>
        <v>#REF!</v>
      </c>
      <c r="K23" s="2439" t="e">
        <f>SUM(K21:K22)</f>
        <v>#REF!</v>
      </c>
      <c r="L23" s="2334" t="s">
        <v>241</v>
      </c>
      <c r="M23" s="2447" t="e">
        <f>SUM(M21:M22)</f>
        <v>#REF!</v>
      </c>
      <c r="N23" s="2447" t="e">
        <f>SUM(N21:N22)</f>
        <v>#REF!</v>
      </c>
      <c r="O23" s="2447" t="e">
        <f>SUM(O21:O22)</f>
        <v>#REF!</v>
      </c>
      <c r="P23" s="2336" t="e">
        <f t="shared" si="3"/>
        <v>#REF!</v>
      </c>
      <c r="Q23" s="2339" t="e">
        <f t="shared" si="4"/>
        <v>#REF!</v>
      </c>
      <c r="R23" s="2339" t="e">
        <f t="shared" si="1"/>
        <v>#REF!</v>
      </c>
      <c r="S23" s="2344">
        <f>SUM(S14:S22)</f>
        <v>0</v>
      </c>
      <c r="T23" s="2344">
        <f>SUM(T14:T22)</f>
        <v>0</v>
      </c>
      <c r="U23" s="2344">
        <f>SUM(U14:U22)</f>
        <v>0</v>
      </c>
      <c r="V23" s="2344">
        <f>SUM(V14:V22)</f>
        <v>0</v>
      </c>
      <c r="W23" s="2333" t="e">
        <f t="shared" si="0"/>
        <v>#REF!</v>
      </c>
      <c r="X23" s="2333" t="e">
        <f t="shared" si="0"/>
        <v>#REF!</v>
      </c>
      <c r="Y23" s="2345" t="e">
        <f t="shared" si="5"/>
        <v>#REF!</v>
      </c>
      <c r="Z23" s="2367" t="e">
        <f t="shared" si="6"/>
        <v>#REF!</v>
      </c>
    </row>
    <row r="24" spans="2:27" s="284" customFormat="1" ht="15.75" hidden="1" customHeight="1" x14ac:dyDescent="0.2">
      <c r="B24" s="330" t="s">
        <v>142</v>
      </c>
      <c r="C24" s="331"/>
      <c r="D24" s="331"/>
      <c r="E24" s="331"/>
      <c r="F24" s="331"/>
      <c r="G24" s="331"/>
      <c r="H24" s="332"/>
      <c r="I24" s="333"/>
      <c r="J24" s="333"/>
      <c r="K24" s="2438"/>
      <c r="L24" s="2337"/>
      <c r="M24" s="2438"/>
      <c r="N24" s="2438"/>
      <c r="O24" s="2438"/>
      <c r="P24" s="335"/>
      <c r="Q24" s="2338"/>
      <c r="R24" s="2338" t="e">
        <f t="shared" si="1"/>
        <v>#DIV/0!</v>
      </c>
      <c r="S24" s="2055"/>
      <c r="T24" s="2055"/>
      <c r="U24" s="2055"/>
      <c r="V24" s="2055"/>
      <c r="W24" s="804">
        <f t="shared" si="0"/>
        <v>0</v>
      </c>
      <c r="X24" s="804">
        <f t="shared" si="0"/>
        <v>0</v>
      </c>
      <c r="Y24" s="2078" t="s">
        <v>3</v>
      </c>
      <c r="Z24" s="2368" t="s">
        <v>3</v>
      </c>
    </row>
    <row r="25" spans="2:27" s="2060" customFormat="1" ht="15.75" hidden="1" customHeight="1" x14ac:dyDescent="0.2">
      <c r="B25" s="2202" t="s">
        <v>143</v>
      </c>
      <c r="C25" s="2052"/>
      <c r="D25" s="2052"/>
      <c r="E25" s="2052"/>
      <c r="F25" s="2052"/>
      <c r="G25" s="2052"/>
      <c r="H25" s="2053">
        <f ca="1">SUM(C25/$C$75)</f>
        <v>0</v>
      </c>
      <c r="I25" s="2054" t="e">
        <f>F25/C25</f>
        <v>#DIV/0!</v>
      </c>
      <c r="J25" s="2054" t="e">
        <f>G25/E25</f>
        <v>#DIV/0!</v>
      </c>
      <c r="K25" s="2440"/>
      <c r="L25" s="2328" t="s">
        <v>242</v>
      </c>
      <c r="M25" s="2440"/>
      <c r="N25" s="2440"/>
      <c r="O25" s="2440"/>
      <c r="P25" s="2057" t="e">
        <f>C25/M25</f>
        <v>#DIV/0!</v>
      </c>
      <c r="Q25" s="2329" t="e">
        <f>C25/N25</f>
        <v>#DIV/0!</v>
      </c>
      <c r="R25" s="2329" t="e">
        <f t="shared" si="1"/>
        <v>#DIV/0!</v>
      </c>
      <c r="S25" s="2077"/>
      <c r="T25" s="2077"/>
      <c r="U25" s="2077"/>
      <c r="V25" s="2077"/>
      <c r="W25" s="2055">
        <f t="shared" si="0"/>
        <v>0</v>
      </c>
      <c r="X25" s="2055">
        <f t="shared" si="0"/>
        <v>0</v>
      </c>
      <c r="Y25" s="2078" t="e">
        <f t="shared" si="5"/>
        <v>#DIV/0!</v>
      </c>
      <c r="Z25" s="2368" t="e">
        <f t="shared" si="6"/>
        <v>#DIV/0!</v>
      </c>
    </row>
    <row r="26" spans="2:27" s="2060" customFormat="1" ht="15.75" hidden="1" customHeight="1" x14ac:dyDescent="0.2">
      <c r="B26" s="2202" t="s">
        <v>144</v>
      </c>
      <c r="C26" s="2052" t="e">
        <f>'SCG Table A'!#REF!</f>
        <v>#REF!</v>
      </c>
      <c r="D26" s="2052" t="e">
        <f>E26-C26</f>
        <v>#REF!</v>
      </c>
      <c r="E26" s="2052"/>
      <c r="F26" s="2052"/>
      <c r="G26" s="2052"/>
      <c r="H26" s="2053" t="e">
        <f ca="1">SUM(C26/$C$76)</f>
        <v>#REF!</v>
      </c>
      <c r="I26" s="2054" t="e">
        <f>F26/C26</f>
        <v>#REF!</v>
      </c>
      <c r="J26" s="2054" t="e">
        <f>G26/E26</f>
        <v>#DIV/0!</v>
      </c>
      <c r="K26" s="2440"/>
      <c r="L26" s="2328" t="s">
        <v>242</v>
      </c>
      <c r="M26" s="2440"/>
      <c r="N26" s="2440"/>
      <c r="O26" s="2440"/>
      <c r="P26" s="2057" t="e">
        <f>C26/M26</f>
        <v>#REF!</v>
      </c>
      <c r="Q26" s="2329" t="e">
        <f>C26/N26</f>
        <v>#REF!</v>
      </c>
      <c r="R26" s="2329" t="e">
        <f t="shared" si="1"/>
        <v>#REF!</v>
      </c>
      <c r="S26" s="2077"/>
      <c r="T26" s="2077"/>
      <c r="U26" s="2077"/>
      <c r="V26" s="2077"/>
      <c r="W26" s="2055">
        <f t="shared" si="0"/>
        <v>0</v>
      </c>
      <c r="X26" s="2055">
        <f t="shared" si="0"/>
        <v>0</v>
      </c>
      <c r="Y26" s="2078" t="e">
        <f t="shared" si="5"/>
        <v>#REF!</v>
      </c>
      <c r="Z26" s="2368" t="e">
        <f t="shared" si="6"/>
        <v>#REF!</v>
      </c>
    </row>
    <row r="27" spans="2:27" ht="17.25" hidden="1" customHeight="1" x14ac:dyDescent="0.25">
      <c r="B27" s="2363" t="s">
        <v>145</v>
      </c>
      <c r="C27" s="2330" t="e">
        <f>SUM(C24:C26)</f>
        <v>#REF!</v>
      </c>
      <c r="D27" s="2330" t="e">
        <f>SUM(D24:D26)</f>
        <v>#REF!</v>
      </c>
      <c r="E27" s="2330">
        <f>SUM(E24:E26)</f>
        <v>0</v>
      </c>
      <c r="F27" s="2330">
        <f>SUM(F24:F26)</f>
        <v>0</v>
      </c>
      <c r="G27" s="2330">
        <f>SUM(G24:G26)</f>
        <v>0</v>
      </c>
      <c r="H27" s="2331" t="e">
        <f ca="1">SUM(C27/$C$77)</f>
        <v>#REF!</v>
      </c>
      <c r="I27" s="2332" t="e">
        <f>F27/C27</f>
        <v>#REF!</v>
      </c>
      <c r="J27" s="2332" t="e">
        <f>G27/E27</f>
        <v>#DIV/0!</v>
      </c>
      <c r="K27" s="2439">
        <f>SUM(K24:K26)</f>
        <v>0</v>
      </c>
      <c r="L27" s="2346" t="s">
        <v>242</v>
      </c>
      <c r="M27" s="2447">
        <f>SUM(M24:M26)</f>
        <v>0</v>
      </c>
      <c r="N27" s="2447">
        <f>SUM(N24:N26)</f>
        <v>0</v>
      </c>
      <c r="O27" s="2447">
        <f>SUM(O24:O26)</f>
        <v>0</v>
      </c>
      <c r="P27" s="2336" t="e">
        <f>C27/M27</f>
        <v>#REF!</v>
      </c>
      <c r="Q27" s="2339" t="e">
        <f>C27/N27</f>
        <v>#REF!</v>
      </c>
      <c r="R27" s="2339" t="e">
        <f t="shared" si="1"/>
        <v>#REF!</v>
      </c>
      <c r="S27" s="2335">
        <f>SUM(S24:S26)</f>
        <v>0</v>
      </c>
      <c r="T27" s="2335">
        <f>SUM(T24:T26)</f>
        <v>0</v>
      </c>
      <c r="U27" s="2335">
        <f>SUM(U24:U26)</f>
        <v>0</v>
      </c>
      <c r="V27" s="2335">
        <f>SUM(V24:V26)</f>
        <v>0</v>
      </c>
      <c r="W27" s="2333">
        <f t="shared" si="0"/>
        <v>0</v>
      </c>
      <c r="X27" s="2333">
        <f t="shared" si="0"/>
        <v>0</v>
      </c>
      <c r="Y27" s="2336" t="e">
        <f t="shared" si="5"/>
        <v>#REF!</v>
      </c>
      <c r="Z27" s="2365" t="e">
        <f t="shared" si="6"/>
        <v>#REF!</v>
      </c>
    </row>
    <row r="28" spans="2:27" ht="16.5" thickBot="1" x14ac:dyDescent="0.3">
      <c r="B28" s="2369" t="s">
        <v>88</v>
      </c>
      <c r="C28" s="2370">
        <f>+C23+C20+C17+C13+C9</f>
        <v>18252546.807987072</v>
      </c>
      <c r="D28" s="2370" t="e">
        <f>+D23+D20+D17+D13+D9</f>
        <v>#REF!</v>
      </c>
      <c r="E28" s="2370" t="e">
        <f>+E23+E20+E17+E13+E9</f>
        <v>#REF!</v>
      </c>
      <c r="F28" s="2370" t="e">
        <f>+F23+F20+F17+F13+F9</f>
        <v>#REF!</v>
      </c>
      <c r="G28" s="2370" t="e">
        <f>+G23+G20+G17+G13+G9</f>
        <v>#REF!</v>
      </c>
      <c r="H28" s="2371">
        <f ca="1">SUM(C28/C77)</f>
        <v>0.58988700857040066</v>
      </c>
      <c r="I28" s="2372" t="e">
        <f>F28/C28</f>
        <v>#REF!</v>
      </c>
      <c r="J28" s="2372" t="e">
        <f>G28/E28</f>
        <v>#REF!</v>
      </c>
      <c r="K28" s="2456" t="e">
        <f>K9+K13+K17+K20+K23+K27</f>
        <v>#REF!</v>
      </c>
      <c r="L28" s="2374" t="s">
        <v>462</v>
      </c>
      <c r="M28" s="2448" t="e">
        <f>+M23+M20+M17+M13+M9</f>
        <v>#REF!</v>
      </c>
      <c r="N28" s="2448" t="e">
        <f>+N23+N20+N17+N13+N9</f>
        <v>#REF!</v>
      </c>
      <c r="O28" s="2448" t="e">
        <f>+O23+O20+O17+O13+O9</f>
        <v>#REF!</v>
      </c>
      <c r="P28" s="2376" t="e">
        <f>C28/M28</f>
        <v>#REF!</v>
      </c>
      <c r="Q28" s="2376" t="e">
        <f>C28/N28</f>
        <v>#REF!</v>
      </c>
      <c r="R28" s="2376" t="e">
        <f t="shared" si="1"/>
        <v>#REF!</v>
      </c>
      <c r="S28" s="2375">
        <f t="shared" ref="S28:X28" si="7">S9+S13+S17+S20+S23+S27</f>
        <v>0</v>
      </c>
      <c r="T28" s="2375">
        <f t="shared" si="7"/>
        <v>0</v>
      </c>
      <c r="U28" s="2375">
        <f t="shared" si="7"/>
        <v>0</v>
      </c>
      <c r="V28" s="2375">
        <f t="shared" si="7"/>
        <v>0</v>
      </c>
      <c r="W28" s="2375" t="e">
        <f t="shared" si="7"/>
        <v>#REF!</v>
      </c>
      <c r="X28" s="2375" t="e">
        <f t="shared" si="7"/>
        <v>#REF!</v>
      </c>
      <c r="Y28" s="2376" t="e">
        <f t="shared" si="5"/>
        <v>#REF!</v>
      </c>
      <c r="Z28" s="2377" t="e">
        <f t="shared" si="6"/>
        <v>#REF!</v>
      </c>
    </row>
    <row r="29" spans="2:27" ht="15.75" customHeight="1" x14ac:dyDescent="0.25">
      <c r="B29" s="2322"/>
      <c r="C29" s="2323"/>
      <c r="D29" s="2323"/>
      <c r="E29" s="2323"/>
      <c r="F29" s="2323"/>
      <c r="G29" s="2323"/>
      <c r="H29" s="2324"/>
      <c r="I29" s="2325"/>
      <c r="J29" s="2325"/>
      <c r="K29" s="2442"/>
      <c r="L29" s="2326"/>
      <c r="M29" s="2449"/>
      <c r="N29" s="2449"/>
      <c r="O29" s="2449"/>
      <c r="P29" s="2320"/>
      <c r="Q29" s="2320"/>
      <c r="R29" s="2320"/>
      <c r="S29" s="2326"/>
      <c r="T29" s="2326"/>
      <c r="U29" s="2326"/>
      <c r="V29" s="2326"/>
      <c r="W29" s="2326"/>
      <c r="X29" s="2326"/>
      <c r="Y29" s="2320"/>
      <c r="Z29" s="2320"/>
      <c r="AA29" s="2131"/>
    </row>
    <row r="30" spans="2:27" ht="15.75" customHeight="1" thickBot="1" x14ac:dyDescent="0.3">
      <c r="B30" s="2158" t="s">
        <v>131</v>
      </c>
      <c r="C30" s="2159"/>
      <c r="D30" s="2159"/>
      <c r="E30" s="2159"/>
      <c r="F30" s="2159"/>
      <c r="G30" s="2159"/>
      <c r="H30" s="2159"/>
      <c r="I30" s="2159"/>
      <c r="J30" s="2159"/>
      <c r="K30" s="2443"/>
      <c r="L30" s="2159"/>
      <c r="M30" s="2443"/>
      <c r="N30" s="2443"/>
      <c r="O30" s="2443"/>
      <c r="P30" s="2159"/>
      <c r="Q30" s="2159"/>
      <c r="R30" s="2159"/>
      <c r="S30" s="2159"/>
      <c r="T30" s="2159"/>
      <c r="U30" s="2159"/>
      <c r="V30" s="2159"/>
      <c r="W30" s="2159"/>
      <c r="X30" s="2159"/>
      <c r="Y30" s="2159"/>
      <c r="Z30" s="2159"/>
    </row>
    <row r="31" spans="2:27" s="284" customFormat="1" ht="15.75" hidden="1" customHeight="1" x14ac:dyDescent="0.2">
      <c r="B31" s="2144" t="s">
        <v>124</v>
      </c>
      <c r="C31" s="2145"/>
      <c r="D31" s="2133"/>
      <c r="E31" s="2133"/>
      <c r="F31" s="2133"/>
      <c r="G31" s="2133"/>
      <c r="H31" s="337"/>
      <c r="I31" s="338"/>
      <c r="J31" s="338"/>
      <c r="K31" s="2444"/>
      <c r="L31" s="2134"/>
      <c r="M31" s="2444"/>
      <c r="N31" s="2444"/>
      <c r="O31" s="2444"/>
      <c r="P31" s="341"/>
      <c r="Q31" s="336"/>
      <c r="R31" s="336"/>
      <c r="S31" s="336"/>
      <c r="T31" s="336"/>
      <c r="U31" s="336"/>
      <c r="V31" s="336"/>
      <c r="W31" s="2146" t="s">
        <v>3</v>
      </c>
      <c r="X31" s="2146" t="s">
        <v>3</v>
      </c>
      <c r="Y31" s="341" t="s">
        <v>3</v>
      </c>
      <c r="Z31" s="336" t="s">
        <v>3</v>
      </c>
    </row>
    <row r="32" spans="2:27" s="284" customFormat="1" ht="15" x14ac:dyDescent="0.2">
      <c r="B32" s="399" t="s">
        <v>125</v>
      </c>
      <c r="C32" s="351">
        <f>'CNG Table A'!$M$20</f>
        <v>2032227.696005163</v>
      </c>
      <c r="D32" s="1108" t="e">
        <f>E32-C32</f>
        <v>#REF!</v>
      </c>
      <c r="E32" s="2463" t="e">
        <f>#REF!*1000</f>
        <v>#REF!</v>
      </c>
      <c r="F32" s="2464" t="e">
        <f>#REF!*1000</f>
        <v>#REF!</v>
      </c>
      <c r="G32" s="2463" t="e">
        <f>#REF!*1000</f>
        <v>#REF!</v>
      </c>
      <c r="H32" s="401">
        <f ca="1">SUM(C32/$C$75)</f>
        <v>0.1243097411015672</v>
      </c>
      <c r="I32" s="2137" t="e">
        <f>F32/C32</f>
        <v>#REF!</v>
      </c>
      <c r="J32" s="2137" t="e">
        <f>G32/E32</f>
        <v>#REF!</v>
      </c>
      <c r="K32" s="2466" t="e">
        <f>#REF!</f>
        <v>#REF!</v>
      </c>
      <c r="L32" s="354" t="s">
        <v>244</v>
      </c>
      <c r="M32" s="2466" t="e">
        <f>#REF!</f>
        <v>#REF!</v>
      </c>
      <c r="N32" s="2466" t="e">
        <f>#REF!</f>
        <v>#REF!</v>
      </c>
      <c r="O32" s="2466" t="e">
        <f>#REF!</f>
        <v>#REF!</v>
      </c>
      <c r="P32" s="2120" t="e">
        <f>C32/M32</f>
        <v>#REF!</v>
      </c>
      <c r="Q32" s="2378" t="e">
        <f>C32/N32</f>
        <v>#REF!</v>
      </c>
      <c r="R32" s="2378" t="e">
        <f>C32/O32</f>
        <v>#REF!</v>
      </c>
      <c r="S32" s="2121"/>
      <c r="T32" s="2121"/>
      <c r="U32" s="2121"/>
      <c r="V32" s="2121"/>
      <c r="W32" s="2121" t="e">
        <f t="shared" ref="W32:X34" si="8">+(M32*102900+S32*138690+U32*91330)/10^6</f>
        <v>#REF!</v>
      </c>
      <c r="X32" s="2121" t="e">
        <f t="shared" si="8"/>
        <v>#REF!</v>
      </c>
      <c r="Y32" s="2120" t="e">
        <f>+C32/W32</f>
        <v>#REF!</v>
      </c>
      <c r="Z32" s="356" t="e">
        <f>+C32/X32</f>
        <v>#REF!</v>
      </c>
    </row>
    <row r="33" spans="2:30" s="284" customFormat="1" ht="15" x14ac:dyDescent="0.2">
      <c r="B33" s="381" t="s">
        <v>126</v>
      </c>
      <c r="C33" s="331">
        <f>'SCG Table A'!$M$20</f>
        <v>1647315.9130596025</v>
      </c>
      <c r="D33" s="874" t="e">
        <f>E33-C33</f>
        <v>#REF!</v>
      </c>
      <c r="E33" s="2461" t="e">
        <f>#REF!*1000</f>
        <v>#REF!</v>
      </c>
      <c r="F33" s="2461" t="e">
        <f>#REF!*1000</f>
        <v>#REF!</v>
      </c>
      <c r="G33" s="2461" t="e">
        <f>#REF!*1000</f>
        <v>#REF!</v>
      </c>
      <c r="H33" s="332">
        <f ca="1">SUM(C33/$C$76)</f>
        <v>0.11287354603212098</v>
      </c>
      <c r="I33" s="333" t="e">
        <f>F33/C33</f>
        <v>#REF!</v>
      </c>
      <c r="J33" s="333" t="e">
        <f>G33/E33</f>
        <v>#REF!</v>
      </c>
      <c r="K33" s="2756" t="e">
        <f>#REF!</f>
        <v>#REF!</v>
      </c>
      <c r="L33" s="2337" t="s">
        <v>244</v>
      </c>
      <c r="M33" s="2756" t="e">
        <f>#REF!</f>
        <v>#REF!</v>
      </c>
      <c r="N33" s="2756" t="e">
        <f>#REF!</f>
        <v>#REF!</v>
      </c>
      <c r="O33" s="2756" t="e">
        <f>#REF!</f>
        <v>#REF!</v>
      </c>
      <c r="P33" s="335" t="e">
        <f>C33/M33</f>
        <v>#REF!</v>
      </c>
      <c r="Q33" s="2338" t="e">
        <f>C33/N33</f>
        <v>#REF!</v>
      </c>
      <c r="R33" s="2338" t="e">
        <f>C33/O33</f>
        <v>#REF!</v>
      </c>
      <c r="S33" s="804"/>
      <c r="T33" s="804"/>
      <c r="U33" s="804"/>
      <c r="V33" s="804"/>
      <c r="W33" s="804" t="e">
        <f t="shared" si="8"/>
        <v>#REF!</v>
      </c>
      <c r="X33" s="804" t="e">
        <f t="shared" si="8"/>
        <v>#REF!</v>
      </c>
      <c r="Y33" s="335" t="e">
        <f>+C33/W33</f>
        <v>#REF!</v>
      </c>
      <c r="Z33" s="358" t="e">
        <f>+C33/X33</f>
        <v>#REF!</v>
      </c>
    </row>
    <row r="34" spans="2:30" ht="17.25" customHeight="1" thickBot="1" x14ac:dyDescent="0.3">
      <c r="B34" s="2369" t="s">
        <v>137</v>
      </c>
      <c r="C34" s="2379">
        <f>SUM(C31:C33)</f>
        <v>3679543.6090647653</v>
      </c>
      <c r="D34" s="2379" t="e">
        <f>SUM(D31:D33)</f>
        <v>#REF!</v>
      </c>
      <c r="E34" s="2379" t="e">
        <f>SUM(E31:E33)</f>
        <v>#REF!</v>
      </c>
      <c r="F34" s="2379" t="e">
        <f>SUM(F31:F33)</f>
        <v>#REF!</v>
      </c>
      <c r="G34" s="2379" t="e">
        <f>SUM(G31:G33)</f>
        <v>#REF!</v>
      </c>
      <c r="H34" s="2380">
        <f ca="1">SUM(C34/$C$77)</f>
        <v>0.11891573243388488</v>
      </c>
      <c r="I34" s="2372" t="e">
        <f>F34/C34</f>
        <v>#REF!</v>
      </c>
      <c r="J34" s="2372" t="e">
        <f>G34/E34</f>
        <v>#REF!</v>
      </c>
      <c r="K34" s="2446" t="e">
        <f>+K31+K32+K33</f>
        <v>#REF!</v>
      </c>
      <c r="L34" s="2379" t="s">
        <v>244</v>
      </c>
      <c r="M34" s="2448" t="e">
        <f>SUM(M31:M33)</f>
        <v>#REF!</v>
      </c>
      <c r="N34" s="2448" t="e">
        <f>SUM(N31:N33)</f>
        <v>#REF!</v>
      </c>
      <c r="O34" s="2448" t="e">
        <f>SUM(O31:O33)</f>
        <v>#REF!</v>
      </c>
      <c r="P34" s="2382" t="e">
        <f>C34/M34</f>
        <v>#REF!</v>
      </c>
      <c r="Q34" s="2376" t="e">
        <f>C34/N34</f>
        <v>#REF!</v>
      </c>
      <c r="R34" s="2376" t="e">
        <f>C34/O34</f>
        <v>#REF!</v>
      </c>
      <c r="S34" s="2375">
        <f>SUM(S31:S33)</f>
        <v>0</v>
      </c>
      <c r="T34" s="2375">
        <f>SUM(T31:T33)</f>
        <v>0</v>
      </c>
      <c r="U34" s="2375">
        <f>SUM(U31:U33)</f>
        <v>0</v>
      </c>
      <c r="V34" s="2375">
        <f>SUM(V31:V33)</f>
        <v>0</v>
      </c>
      <c r="W34" s="2381" t="e">
        <f t="shared" si="8"/>
        <v>#REF!</v>
      </c>
      <c r="X34" s="2381" t="e">
        <f t="shared" si="8"/>
        <v>#REF!</v>
      </c>
      <c r="Y34" s="2382" t="e">
        <f>+C34/W34</f>
        <v>#REF!</v>
      </c>
      <c r="Z34" s="2377" t="e">
        <f>+C34/X34</f>
        <v>#REF!</v>
      </c>
    </row>
    <row r="35" spans="2:30" ht="15.75" customHeight="1" thickBot="1" x14ac:dyDescent="0.3">
      <c r="B35" s="2158" t="s">
        <v>132</v>
      </c>
      <c r="C35" s="2159"/>
      <c r="D35" s="2159"/>
      <c r="E35" s="2159"/>
      <c r="F35" s="2159"/>
      <c r="G35" s="2159"/>
      <c r="H35" s="2159"/>
      <c r="I35" s="2159"/>
      <c r="J35" s="2159"/>
      <c r="K35" s="2443"/>
      <c r="L35" s="2159"/>
      <c r="M35" s="2443"/>
      <c r="N35" s="2443"/>
      <c r="O35" s="2443"/>
      <c r="P35" s="2159"/>
      <c r="Q35" s="2159"/>
      <c r="R35" s="2159"/>
      <c r="S35" s="2159"/>
      <c r="T35" s="2159"/>
      <c r="U35" s="2159"/>
      <c r="V35" s="2159"/>
      <c r="W35" s="2159"/>
      <c r="X35" s="2159"/>
      <c r="Y35" s="2159"/>
      <c r="Z35" s="2159"/>
    </row>
    <row r="36" spans="2:30" s="284" customFormat="1" ht="15.75" hidden="1" customHeight="1" x14ac:dyDescent="0.2">
      <c r="B36" s="359" t="s">
        <v>128</v>
      </c>
      <c r="C36" s="2145"/>
      <c r="D36" s="2133"/>
      <c r="E36" s="2133"/>
      <c r="F36" s="2133"/>
      <c r="G36" s="2133"/>
      <c r="H36" s="337"/>
      <c r="I36" s="338"/>
      <c r="J36" s="338"/>
      <c r="K36" s="2444"/>
      <c r="L36" s="2134"/>
      <c r="M36" s="2444"/>
      <c r="N36" s="2444"/>
      <c r="O36" s="2444"/>
      <c r="P36" s="341"/>
      <c r="Q36" s="336"/>
      <c r="R36" s="336"/>
      <c r="S36" s="2134"/>
      <c r="T36" s="2134"/>
      <c r="U36" s="2134"/>
      <c r="V36" s="2134"/>
      <c r="W36" s="2146" t="s">
        <v>3</v>
      </c>
      <c r="X36" s="2146" t="s">
        <v>3</v>
      </c>
      <c r="Y36" s="341" t="s">
        <v>3</v>
      </c>
      <c r="Z36" s="336" t="s">
        <v>3</v>
      </c>
      <c r="AC36" s="306"/>
      <c r="AD36" s="393"/>
    </row>
    <row r="37" spans="2:30" s="284" customFormat="1" ht="15.75" customHeight="1" x14ac:dyDescent="0.2">
      <c r="B37" s="2135" t="s">
        <v>129</v>
      </c>
      <c r="C37" s="351">
        <f>'CNG Table A'!$M$21</f>
        <v>1182948.5934229754</v>
      </c>
      <c r="D37" s="1108" t="e">
        <f>E37-C37</f>
        <v>#REF!</v>
      </c>
      <c r="E37" s="2461" t="e">
        <f>#REF!*1000</f>
        <v>#REF!</v>
      </c>
      <c r="F37" s="2461" t="e">
        <f>#REF!*1000</f>
        <v>#REF!</v>
      </c>
      <c r="G37" s="2461" t="e">
        <f>#REF!*1000</f>
        <v>#REF!</v>
      </c>
      <c r="H37" s="401">
        <f ca="1">SUM(C37/$C$75)</f>
        <v>7.2360018355196926E-2</v>
      </c>
      <c r="I37" s="2137" t="e">
        <f>F37/C37</f>
        <v>#REF!</v>
      </c>
      <c r="J37" s="2137" t="e">
        <f>G37/E37</f>
        <v>#REF!</v>
      </c>
      <c r="K37" s="2467" t="e">
        <f>#REF!</f>
        <v>#REF!</v>
      </c>
      <c r="L37" s="354" t="s">
        <v>244</v>
      </c>
      <c r="M37" s="2467" t="e">
        <f>#REF!</f>
        <v>#REF!</v>
      </c>
      <c r="N37" s="2467" t="e">
        <f>#REF!</f>
        <v>#REF!</v>
      </c>
      <c r="O37" s="2467" t="e">
        <f>#REF!</f>
        <v>#REF!</v>
      </c>
      <c r="P37" s="2120" t="e">
        <f>C37/M37</f>
        <v>#REF!</v>
      </c>
      <c r="Q37" s="2378" t="e">
        <f>C37/N37</f>
        <v>#REF!</v>
      </c>
      <c r="R37" s="2378" t="e">
        <f t="shared" ref="R37:R48" si="9">C37/O37</f>
        <v>#REF!</v>
      </c>
      <c r="S37" s="2121"/>
      <c r="T37" s="2121"/>
      <c r="U37" s="2121"/>
      <c r="V37" s="2121"/>
      <c r="W37" s="2121" t="e">
        <f t="shared" ref="W37:X47" si="10">+(M37*102900+S37*138690+U37*91330)/10^6</f>
        <v>#REF!</v>
      </c>
      <c r="X37" s="2121" t="e">
        <f t="shared" si="10"/>
        <v>#REF!</v>
      </c>
      <c r="Y37" s="2120" t="e">
        <f>+C37/W37</f>
        <v>#REF!</v>
      </c>
      <c r="Z37" s="356" t="e">
        <f>+C37/X37</f>
        <v>#REF!</v>
      </c>
      <c r="AA37" s="295"/>
    </row>
    <row r="38" spans="2:30" s="284" customFormat="1" ht="15.75" customHeight="1" x14ac:dyDescent="0.2">
      <c r="B38" s="330" t="s">
        <v>130</v>
      </c>
      <c r="C38" s="331">
        <f>'SCG Table A'!$M$21</f>
        <v>1086025.4190404161</v>
      </c>
      <c r="D38" s="874" t="e">
        <f>E38-C38</f>
        <v>#REF!</v>
      </c>
      <c r="E38" s="2461" t="e">
        <f>#REF!*1000</f>
        <v>#REF!</v>
      </c>
      <c r="F38" s="2461" t="e">
        <f>#REF!*1000</f>
        <v>#REF!</v>
      </c>
      <c r="G38" s="2461" t="e">
        <f>#REF!*1000</f>
        <v>#REF!</v>
      </c>
      <c r="H38" s="332">
        <f ca="1">SUM(C38/$C$76)</f>
        <v>7.4414105488991675E-2</v>
      </c>
      <c r="I38" s="333" t="e">
        <f>F38/C38</f>
        <v>#REF!</v>
      </c>
      <c r="J38" s="333" t="e">
        <f>G38/E38</f>
        <v>#REF!</v>
      </c>
      <c r="K38" s="2467" t="e">
        <f>#REF!</f>
        <v>#REF!</v>
      </c>
      <c r="L38" s="2337" t="s">
        <v>244</v>
      </c>
      <c r="M38" s="2467" t="e">
        <f>#REF!</f>
        <v>#REF!</v>
      </c>
      <c r="N38" s="2467" t="e">
        <f>#REF!</f>
        <v>#REF!</v>
      </c>
      <c r="O38" s="2467" t="e">
        <f>#REF!</f>
        <v>#REF!</v>
      </c>
      <c r="P38" s="335" t="e">
        <f>C38/M38</f>
        <v>#REF!</v>
      </c>
      <c r="Q38" s="2338" t="e">
        <f>C38/N38</f>
        <v>#REF!</v>
      </c>
      <c r="R38" s="2338" t="e">
        <f t="shared" si="9"/>
        <v>#REF!</v>
      </c>
      <c r="S38" s="804"/>
      <c r="T38" s="804"/>
      <c r="U38" s="804"/>
      <c r="V38" s="804"/>
      <c r="W38" s="804" t="e">
        <f t="shared" si="10"/>
        <v>#REF!</v>
      </c>
      <c r="X38" s="804" t="e">
        <f t="shared" si="10"/>
        <v>#REF!</v>
      </c>
      <c r="Y38" s="335" t="e">
        <f>+C38/W38</f>
        <v>#REF!</v>
      </c>
      <c r="Z38" s="358" t="e">
        <f>+C38/X38</f>
        <v>#REF!</v>
      </c>
      <c r="AA38" s="295"/>
    </row>
    <row r="39" spans="2:30" ht="18" customHeight="1" x14ac:dyDescent="0.25">
      <c r="B39" s="2366" t="s">
        <v>617</v>
      </c>
      <c r="C39" s="2330">
        <f>SUM(C36:C38)</f>
        <v>2268974.0124633918</v>
      </c>
      <c r="D39" s="2330" t="e">
        <f>SUM(D36:D38)</f>
        <v>#REF!</v>
      </c>
      <c r="E39" s="2330" t="e">
        <f>SUM(E36:E38)</f>
        <v>#REF!</v>
      </c>
      <c r="F39" s="2330" t="e">
        <f>SUM(F36:F38)</f>
        <v>#REF!</v>
      </c>
      <c r="G39" s="2330" t="e">
        <f>SUM(G36:G38)</f>
        <v>#REF!</v>
      </c>
      <c r="H39" s="2331">
        <f ca="1">SUM(C63/$C$77)</f>
        <v>0.30861568752884777</v>
      </c>
      <c r="I39" s="2332" t="e">
        <f>F63/C63</f>
        <v>#REF!</v>
      </c>
      <c r="J39" s="2332" t="e">
        <f>G63/E63</f>
        <v>#REF!</v>
      </c>
      <c r="K39" s="2439" t="e">
        <f>+K36+K37+K38</f>
        <v>#REF!</v>
      </c>
      <c r="L39" s="2330" t="s">
        <v>244</v>
      </c>
      <c r="M39" s="2447" t="e">
        <f>SUM(M36:M38)</f>
        <v>#REF!</v>
      </c>
      <c r="N39" s="2447" t="e">
        <f>SUM(N36:N38)</f>
        <v>#REF!</v>
      </c>
      <c r="O39" s="2447" t="e">
        <f>SUM(O36:O38)</f>
        <v>#REF!</v>
      </c>
      <c r="P39" s="2336" t="e">
        <f>C39/M39</f>
        <v>#REF!</v>
      </c>
      <c r="Q39" s="2339" t="e">
        <f>C39/N39</f>
        <v>#REF!</v>
      </c>
      <c r="R39" s="2339" t="e">
        <f t="shared" si="9"/>
        <v>#REF!</v>
      </c>
      <c r="S39" s="2335">
        <f>SUM(S36:S38)</f>
        <v>0</v>
      </c>
      <c r="T39" s="2335">
        <f>SUM(T36:T38)</f>
        <v>0</v>
      </c>
      <c r="U39" s="2335">
        <f>SUM(U36:U38)</f>
        <v>0</v>
      </c>
      <c r="V39" s="2335">
        <f>SUM(V36:V38)</f>
        <v>0</v>
      </c>
      <c r="W39" s="2333" t="e">
        <f t="shared" si="10"/>
        <v>#REF!</v>
      </c>
      <c r="X39" s="2333" t="e">
        <f t="shared" si="10"/>
        <v>#REF!</v>
      </c>
      <c r="Y39" s="2336" t="e">
        <f>+C39/W39</f>
        <v>#REF!</v>
      </c>
      <c r="Z39" s="2365" t="e">
        <f>+C39/X39</f>
        <v>#REF!</v>
      </c>
    </row>
    <row r="40" spans="2:30" s="284" customFormat="1" ht="15.75" hidden="1" customHeight="1" x14ac:dyDescent="0.2">
      <c r="B40" s="330" t="s">
        <v>133</v>
      </c>
      <c r="C40" s="331"/>
      <c r="D40" s="331"/>
      <c r="E40" s="331"/>
      <c r="F40" s="331"/>
      <c r="G40" s="331"/>
      <c r="H40" s="332"/>
      <c r="I40" s="333"/>
      <c r="J40" s="333"/>
      <c r="K40" s="2438"/>
      <c r="L40" s="2337"/>
      <c r="M40" s="2438"/>
      <c r="N40" s="2438"/>
      <c r="O40" s="2438"/>
      <c r="P40" s="335"/>
      <c r="Q40" s="2338"/>
      <c r="R40" s="2338" t="e">
        <f t="shared" si="9"/>
        <v>#DIV/0!</v>
      </c>
      <c r="S40" s="2337"/>
      <c r="T40" s="2337"/>
      <c r="U40" s="2337"/>
      <c r="V40" s="2337"/>
      <c r="W40" s="804">
        <f t="shared" si="10"/>
        <v>0</v>
      </c>
      <c r="X40" s="804">
        <f t="shared" si="10"/>
        <v>0</v>
      </c>
      <c r="Y40" s="335" t="s">
        <v>3</v>
      </c>
      <c r="Z40" s="358" t="s">
        <v>3</v>
      </c>
    </row>
    <row r="41" spans="2:30" s="284" customFormat="1" ht="15.75" customHeight="1" x14ac:dyDescent="0.2">
      <c r="B41" s="615" t="s">
        <v>582</v>
      </c>
      <c r="C41" s="331">
        <f>'CNG Table A'!$M$22</f>
        <v>624239.1142419352</v>
      </c>
      <c r="D41" s="874" t="e">
        <f>E41-C41</f>
        <v>#REF!</v>
      </c>
      <c r="E41" s="2461" t="e">
        <f>#REF!*1000</f>
        <v>#REF!</v>
      </c>
      <c r="F41" s="2461" t="e">
        <f>#REF!*1000</f>
        <v>#REF!</v>
      </c>
      <c r="G41" s="2461" t="e">
        <f>#REF!*1000</f>
        <v>#REF!</v>
      </c>
      <c r="H41" s="332">
        <f ca="1">SUM(C64/$C$75)</f>
        <v>0.53236915927204398</v>
      </c>
      <c r="I41" s="333" t="e">
        <f>F41/C41</f>
        <v>#REF!</v>
      </c>
      <c r="J41" s="333" t="e">
        <f>G41/E41</f>
        <v>#REF!</v>
      </c>
      <c r="K41" s="2467" t="e">
        <f>#REF!</f>
        <v>#REF!</v>
      </c>
      <c r="L41" s="804" t="s">
        <v>244</v>
      </c>
      <c r="M41" s="2467" t="e">
        <f>#REF!</f>
        <v>#REF!</v>
      </c>
      <c r="N41" s="2467" t="e">
        <f>#REF!</f>
        <v>#REF!</v>
      </c>
      <c r="O41" s="2467" t="e">
        <f>#REF!</f>
        <v>#REF!</v>
      </c>
      <c r="P41" s="335" t="e">
        <f>C41/M41</f>
        <v>#REF!</v>
      </c>
      <c r="Q41" s="2338" t="e">
        <f>C41/N41</f>
        <v>#REF!</v>
      </c>
      <c r="R41" s="2338" t="e">
        <f t="shared" si="9"/>
        <v>#REF!</v>
      </c>
      <c r="S41" s="804"/>
      <c r="T41" s="804"/>
      <c r="U41" s="804"/>
      <c r="V41" s="804"/>
      <c r="W41" s="804" t="e">
        <f t="shared" si="10"/>
        <v>#REF!</v>
      </c>
      <c r="X41" s="804" t="e">
        <f t="shared" si="10"/>
        <v>#REF!</v>
      </c>
      <c r="Y41" s="335" t="e">
        <f>+C41/W41</f>
        <v>#REF!</v>
      </c>
      <c r="Z41" s="358" t="e">
        <f>+C41/X41</f>
        <v>#REF!</v>
      </c>
    </row>
    <row r="42" spans="2:30" s="284" customFormat="1" ht="16.5" customHeight="1" x14ac:dyDescent="0.2">
      <c r="B42" s="615" t="s">
        <v>583</v>
      </c>
      <c r="C42" s="331">
        <f>'SCG Table A'!$M$22</f>
        <v>487916.94830691541</v>
      </c>
      <c r="D42" s="874" t="e">
        <f>E42-C42</f>
        <v>#REF!</v>
      </c>
      <c r="E42" s="2461" t="e">
        <f>#REF!*1000</f>
        <v>#REF!</v>
      </c>
      <c r="F42" s="2461" t="e">
        <f>#REF!*1000</f>
        <v>#REF!</v>
      </c>
      <c r="G42" s="2461" t="e">
        <f>#REF!*1000</f>
        <v>#REF!</v>
      </c>
      <c r="H42" s="332">
        <f ca="1">SUM(C42/$C$76)</f>
        <v>3.3431909257942066E-2</v>
      </c>
      <c r="I42" s="333" t="e">
        <f>F42/C42</f>
        <v>#REF!</v>
      </c>
      <c r="J42" s="333" t="e">
        <f>G42/E42</f>
        <v>#REF!</v>
      </c>
      <c r="K42" s="2467" t="e">
        <f>#REF!</f>
        <v>#REF!</v>
      </c>
      <c r="L42" s="804" t="s">
        <v>244</v>
      </c>
      <c r="M42" s="2467" t="e">
        <f>#REF!</f>
        <v>#REF!</v>
      </c>
      <c r="N42" s="2467" t="e">
        <f>#REF!</f>
        <v>#REF!</v>
      </c>
      <c r="O42" s="2467" t="e">
        <f>#REF!</f>
        <v>#REF!</v>
      </c>
      <c r="P42" s="335" t="e">
        <f>C42/M42</f>
        <v>#REF!</v>
      </c>
      <c r="Q42" s="2338" t="e">
        <f>C42/N42</f>
        <v>#REF!</v>
      </c>
      <c r="R42" s="2338" t="e">
        <f t="shared" si="9"/>
        <v>#REF!</v>
      </c>
      <c r="S42" s="804"/>
      <c r="T42" s="804"/>
      <c r="U42" s="804"/>
      <c r="V42" s="804"/>
      <c r="W42" s="804" t="e">
        <f t="shared" si="10"/>
        <v>#REF!</v>
      </c>
      <c r="X42" s="804" t="e">
        <f t="shared" si="10"/>
        <v>#REF!</v>
      </c>
      <c r="Y42" s="335" t="e">
        <f>+C42/W42</f>
        <v>#REF!</v>
      </c>
      <c r="Z42" s="358" t="e">
        <f>+C42/X42</f>
        <v>#REF!</v>
      </c>
    </row>
    <row r="43" spans="2:30" ht="19.5" customHeight="1" x14ac:dyDescent="0.25">
      <c r="B43" s="2363" t="s">
        <v>136</v>
      </c>
      <c r="C43" s="2330">
        <f>SUM(C40:C42)</f>
        <v>1112156.0625488507</v>
      </c>
      <c r="D43" s="2330" t="e">
        <f>SUM(D40:D42)</f>
        <v>#REF!</v>
      </c>
      <c r="E43" s="2330" t="e">
        <f>SUM(E41:E42)</f>
        <v>#REF!</v>
      </c>
      <c r="F43" s="2330" t="e">
        <f>SUM(F41:F42)</f>
        <v>#REF!</v>
      </c>
      <c r="G43" s="2330" t="e">
        <f>SUM(G41:G42)</f>
        <v>#REF!</v>
      </c>
      <c r="H43" s="2331">
        <f ca="1">SUM(C43/$C$77)</f>
        <v>3.5942732797885485E-2</v>
      </c>
      <c r="I43" s="2332" t="e">
        <f>F43/C43</f>
        <v>#REF!</v>
      </c>
      <c r="J43" s="2332" t="e">
        <f>G43/E43</f>
        <v>#REF!</v>
      </c>
      <c r="K43" s="2439" t="e">
        <f>SUM(K41:K42)</f>
        <v>#REF!</v>
      </c>
      <c r="L43" s="2330" t="s">
        <v>244</v>
      </c>
      <c r="M43" s="2447" t="e">
        <f>SUM(M40:M42)</f>
        <v>#REF!</v>
      </c>
      <c r="N43" s="2447" t="e">
        <f>SUM(N40:N42)</f>
        <v>#REF!</v>
      </c>
      <c r="O43" s="2447" t="e">
        <f>SUM(O40:O42)</f>
        <v>#REF!</v>
      </c>
      <c r="P43" s="2336" t="e">
        <f>C43/M43</f>
        <v>#REF!</v>
      </c>
      <c r="Q43" s="2339" t="e">
        <f>C43/N43</f>
        <v>#REF!</v>
      </c>
      <c r="R43" s="2339" t="e">
        <f t="shared" si="9"/>
        <v>#REF!</v>
      </c>
      <c r="S43" s="2335">
        <f>SUM(S40:S42)</f>
        <v>0</v>
      </c>
      <c r="T43" s="2335">
        <f>SUM(T40:T42)</f>
        <v>0</v>
      </c>
      <c r="U43" s="2335"/>
      <c r="V43" s="2335"/>
      <c r="W43" s="2333" t="e">
        <f t="shared" si="10"/>
        <v>#REF!</v>
      </c>
      <c r="X43" s="2333" t="e">
        <f t="shared" si="10"/>
        <v>#REF!</v>
      </c>
      <c r="Y43" s="2336" t="e">
        <f>+C43/W43</f>
        <v>#REF!</v>
      </c>
      <c r="Z43" s="2365" t="e">
        <f>+C43/X43</f>
        <v>#REF!</v>
      </c>
    </row>
    <row r="44" spans="2:30" ht="15.75" hidden="1" customHeight="1" x14ac:dyDescent="0.2">
      <c r="B44" s="330" t="s">
        <v>251</v>
      </c>
      <c r="C44" s="331"/>
      <c r="D44" s="331"/>
      <c r="E44" s="331"/>
      <c r="F44" s="331"/>
      <c r="G44" s="331"/>
      <c r="H44" s="332"/>
      <c r="I44" s="333"/>
      <c r="J44" s="333"/>
      <c r="K44" s="2438"/>
      <c r="L44" s="2337"/>
      <c r="M44" s="2438"/>
      <c r="N44" s="2438"/>
      <c r="O44" s="2438"/>
      <c r="P44" s="335"/>
      <c r="Q44" s="2338"/>
      <c r="R44" s="2338" t="e">
        <f t="shared" si="9"/>
        <v>#DIV/0!</v>
      </c>
      <c r="S44" s="2337"/>
      <c r="T44" s="2337"/>
      <c r="U44" s="2337"/>
      <c r="V44" s="2337"/>
      <c r="W44" s="804">
        <f t="shared" si="10"/>
        <v>0</v>
      </c>
      <c r="X44" s="804">
        <f t="shared" si="10"/>
        <v>0</v>
      </c>
      <c r="Y44" s="335" t="s">
        <v>3</v>
      </c>
      <c r="Z44" s="358" t="s">
        <v>3</v>
      </c>
    </row>
    <row r="45" spans="2:30" ht="15.75" customHeight="1" x14ac:dyDescent="0.2">
      <c r="B45" s="330" t="s">
        <v>252</v>
      </c>
      <c r="C45" s="331">
        <f>'CNG Table A'!$M$23</f>
        <v>484607.63636258419</v>
      </c>
      <c r="D45" s="874" t="e">
        <f>E45-C45</f>
        <v>#REF!</v>
      </c>
      <c r="E45" s="2461" t="e">
        <f>#REF!*1000</f>
        <v>#REF!</v>
      </c>
      <c r="F45" s="2461" t="e">
        <f>#REF!*1000</f>
        <v>#REF!</v>
      </c>
      <c r="G45" s="2461" t="e">
        <f>#REF!*1000</f>
        <v>#REF!</v>
      </c>
      <c r="H45" s="332">
        <f ca="1">SUM(C45/$C$75)</f>
        <v>2.9643061124742302E-2</v>
      </c>
      <c r="I45" s="333" t="e">
        <f>F45/C45</f>
        <v>#REF!</v>
      </c>
      <c r="J45" s="333" t="e">
        <f>G45/E45</f>
        <v>#REF!</v>
      </c>
      <c r="K45" s="2467" t="e">
        <f>#REF!</f>
        <v>#REF!</v>
      </c>
      <c r="L45" s="804" t="s">
        <v>244</v>
      </c>
      <c r="M45" s="2467" t="e">
        <f>#REF!</f>
        <v>#REF!</v>
      </c>
      <c r="N45" s="2467" t="e">
        <f>#REF!</f>
        <v>#REF!</v>
      </c>
      <c r="O45" s="2467" t="e">
        <f>#REF!</f>
        <v>#REF!</v>
      </c>
      <c r="P45" s="335" t="e">
        <f>C45/M45</f>
        <v>#REF!</v>
      </c>
      <c r="Q45" s="2338" t="e">
        <f>C45/N45</f>
        <v>#REF!</v>
      </c>
      <c r="R45" s="2338" t="e">
        <f t="shared" si="9"/>
        <v>#REF!</v>
      </c>
      <c r="S45" s="804"/>
      <c r="T45" s="804"/>
      <c r="U45" s="804"/>
      <c r="V45" s="804"/>
      <c r="W45" s="804" t="e">
        <f t="shared" si="10"/>
        <v>#REF!</v>
      </c>
      <c r="X45" s="804" t="e">
        <f t="shared" si="10"/>
        <v>#REF!</v>
      </c>
      <c r="Y45" s="335" t="e">
        <f>+C45/W45</f>
        <v>#REF!</v>
      </c>
      <c r="Z45" s="358" t="e">
        <f>+C45/X45</f>
        <v>#REF!</v>
      </c>
    </row>
    <row r="46" spans="2:30" ht="15.75" customHeight="1" x14ac:dyDescent="0.2">
      <c r="B46" s="330" t="s">
        <v>253</v>
      </c>
      <c r="C46" s="331">
        <f>'SCG Table A'!$M$23</f>
        <v>299601.97893783054</v>
      </c>
      <c r="D46" s="874" t="e">
        <f>E46-C46</f>
        <v>#REF!</v>
      </c>
      <c r="E46" s="2461" t="e">
        <f>#REF!*1000</f>
        <v>#REF!</v>
      </c>
      <c r="F46" s="2461" t="e">
        <f>#REF!*1000</f>
        <v>#REF!</v>
      </c>
      <c r="G46" s="2461" t="e">
        <f>#REF!*1000</f>
        <v>#REF!</v>
      </c>
      <c r="H46" s="332">
        <f ca="1">SUM(C46/$C$76)</f>
        <v>2.0528629325351634E-2</v>
      </c>
      <c r="I46" s="333" t="e">
        <f>F46/C46</f>
        <v>#REF!</v>
      </c>
      <c r="J46" s="333" t="e">
        <f>G46/E46</f>
        <v>#REF!</v>
      </c>
      <c r="K46" s="2467" t="e">
        <f>#REF!</f>
        <v>#REF!</v>
      </c>
      <c r="L46" s="804" t="s">
        <v>244</v>
      </c>
      <c r="M46" s="2467" t="e">
        <f>#REF!</f>
        <v>#REF!</v>
      </c>
      <c r="N46" s="2467" t="e">
        <f>#REF!</f>
        <v>#REF!</v>
      </c>
      <c r="O46" s="2467" t="e">
        <f>#REF!</f>
        <v>#REF!</v>
      </c>
      <c r="P46" s="335" t="e">
        <f>C46/M46</f>
        <v>#REF!</v>
      </c>
      <c r="Q46" s="2338" t="e">
        <f>C46/N46</f>
        <v>#REF!</v>
      </c>
      <c r="R46" s="2338" t="e">
        <f t="shared" si="9"/>
        <v>#REF!</v>
      </c>
      <c r="S46" s="804"/>
      <c r="T46" s="804"/>
      <c r="U46" s="804"/>
      <c r="V46" s="804"/>
      <c r="W46" s="804" t="e">
        <f t="shared" si="10"/>
        <v>#REF!</v>
      </c>
      <c r="X46" s="804" t="e">
        <f t="shared" si="10"/>
        <v>#REF!</v>
      </c>
      <c r="Y46" s="335" t="e">
        <f>+C46/W46</f>
        <v>#REF!</v>
      </c>
      <c r="Z46" s="358" t="e">
        <f>+C46/X46</f>
        <v>#REF!</v>
      </c>
    </row>
    <row r="47" spans="2:30" ht="19.5" customHeight="1" x14ac:dyDescent="0.25">
      <c r="B47" s="2363" t="s">
        <v>302</v>
      </c>
      <c r="C47" s="2330">
        <f>SUM(C44:C46)</f>
        <v>784209.61530041473</v>
      </c>
      <c r="D47" s="2330" t="e">
        <f>SUM(D44:D46)</f>
        <v>#REF!</v>
      </c>
      <c r="E47" s="2330" t="e">
        <f>SUM(E44:E46)</f>
        <v>#REF!</v>
      </c>
      <c r="F47" s="2330" t="e">
        <f>SUM(F44:F46)</f>
        <v>#REF!</v>
      </c>
      <c r="G47" s="2330" t="e">
        <f>SUM(G44:G46)</f>
        <v>#REF!</v>
      </c>
      <c r="H47" s="2331">
        <f ca="1">SUM(C47/$C$77)</f>
        <v>2.5344137940206839E-2</v>
      </c>
      <c r="I47" s="2332" t="e">
        <f>F47/C47</f>
        <v>#REF!</v>
      </c>
      <c r="J47" s="2332" t="e">
        <f>G47/E47</f>
        <v>#REF!</v>
      </c>
      <c r="K47" s="2439" t="e">
        <f>SUM(K44:K46)</f>
        <v>#REF!</v>
      </c>
      <c r="L47" s="2330" t="s">
        <v>244</v>
      </c>
      <c r="M47" s="2447" t="e">
        <f>SUM(M44:M46)</f>
        <v>#REF!</v>
      </c>
      <c r="N47" s="2447" t="e">
        <f>SUM(N44:N46)</f>
        <v>#REF!</v>
      </c>
      <c r="O47" s="2447" t="e">
        <f>SUM(O44:O46)</f>
        <v>#REF!</v>
      </c>
      <c r="P47" s="2336" t="e">
        <f>C47/M47</f>
        <v>#REF!</v>
      </c>
      <c r="Q47" s="2339" t="e">
        <f>C47/N47</f>
        <v>#REF!</v>
      </c>
      <c r="R47" s="2339" t="e">
        <f t="shared" si="9"/>
        <v>#REF!</v>
      </c>
      <c r="S47" s="2335">
        <f>SUM(S44:S46)</f>
        <v>0</v>
      </c>
      <c r="T47" s="2335">
        <f>SUM(T44:T46)</f>
        <v>0</v>
      </c>
      <c r="U47" s="2335">
        <f>SUM(U44:U46)</f>
        <v>0</v>
      </c>
      <c r="V47" s="2335">
        <f>SUM(V44:V46)</f>
        <v>0</v>
      </c>
      <c r="W47" s="2333" t="e">
        <f t="shared" si="10"/>
        <v>#REF!</v>
      </c>
      <c r="X47" s="2333" t="e">
        <f t="shared" si="10"/>
        <v>#REF!</v>
      </c>
      <c r="Y47" s="2336" t="e">
        <f>+C47/W47</f>
        <v>#REF!</v>
      </c>
      <c r="Z47" s="2365" t="e">
        <f>+C47/X47</f>
        <v>#REF!</v>
      </c>
    </row>
    <row r="48" spans="2:30" ht="15.75" customHeight="1" thickBot="1" x14ac:dyDescent="0.3">
      <c r="B48" s="2369" t="s">
        <v>127</v>
      </c>
      <c r="C48" s="2370">
        <f>+C47+C43+C39+C34</f>
        <v>7844883.2993774228</v>
      </c>
      <c r="D48" s="2370" t="e">
        <f>D47+D43+D39+D34</f>
        <v>#REF!</v>
      </c>
      <c r="E48" s="2370" t="e">
        <f>+E47+E43+E39+E34</f>
        <v>#REF!</v>
      </c>
      <c r="F48" s="2370" t="e">
        <f>+F47+F43+F39+F34</f>
        <v>#REF!</v>
      </c>
      <c r="G48" s="2370" t="e">
        <f>+G47+G43+G39+G34</f>
        <v>#REF!</v>
      </c>
      <c r="H48" s="2371">
        <f ca="1">SUM(C48/C77)</f>
        <v>0.25353145458192544</v>
      </c>
      <c r="I48" s="2372" t="e">
        <f>F48/C48</f>
        <v>#REF!</v>
      </c>
      <c r="J48" s="2372" t="e">
        <f>G48/E48</f>
        <v>#REF!</v>
      </c>
      <c r="K48" s="2446" t="e">
        <f>K47+K43+K63+K34</f>
        <v>#REF!</v>
      </c>
      <c r="L48" s="2379" t="s">
        <v>244</v>
      </c>
      <c r="M48" s="2450" t="e">
        <f>M47+M43+M39+M34</f>
        <v>#REF!</v>
      </c>
      <c r="N48" s="2451" t="e">
        <f>N47+N43+N39+N34</f>
        <v>#REF!</v>
      </c>
      <c r="O48" s="2451" t="e">
        <f>O47+O43+O39+O34</f>
        <v>#REF!</v>
      </c>
      <c r="P48" s="2376" t="e">
        <f>C48/M48</f>
        <v>#REF!</v>
      </c>
      <c r="Q48" s="2376" t="e">
        <f>C48/N48</f>
        <v>#REF!</v>
      </c>
      <c r="R48" s="2376" t="e">
        <f t="shared" si="9"/>
        <v>#REF!</v>
      </c>
      <c r="S48" s="2383">
        <f>S47+S43+S39+S34</f>
        <v>0</v>
      </c>
      <c r="T48" s="2384">
        <f>T47+T43+T39+T34</f>
        <v>0</v>
      </c>
      <c r="U48" s="2383"/>
      <c r="V48" s="2384"/>
      <c r="W48" s="2383"/>
      <c r="X48" s="2384"/>
      <c r="Y48" s="2376"/>
      <c r="Z48" s="2377"/>
    </row>
    <row r="49" spans="2:27" s="284" customFormat="1" ht="15" x14ac:dyDescent="0.2">
      <c r="B49" s="396"/>
      <c r="C49" s="397"/>
      <c r="D49" s="397"/>
      <c r="E49" s="397"/>
      <c r="F49" s="397"/>
      <c r="G49" s="397"/>
      <c r="H49" s="397"/>
      <c r="I49" s="397"/>
      <c r="J49" s="397"/>
      <c r="K49" s="806"/>
      <c r="L49" s="397"/>
      <c r="M49" s="397"/>
      <c r="N49" s="397"/>
      <c r="O49" s="397"/>
      <c r="P49" s="397"/>
      <c r="Q49" s="397"/>
      <c r="R49" s="397"/>
      <c r="S49" s="397"/>
      <c r="T49" s="397"/>
      <c r="U49" s="397"/>
      <c r="V49" s="397"/>
      <c r="W49" s="397"/>
      <c r="X49" s="397"/>
      <c r="Y49" s="397"/>
      <c r="Z49" s="397"/>
      <c r="AA49" s="285"/>
    </row>
    <row r="50" spans="2:27" ht="16.5" thickBot="1" x14ac:dyDescent="0.3">
      <c r="B50" s="2162" t="s">
        <v>41</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row>
    <row r="51" spans="2:27" s="704" customFormat="1" ht="15.75" hidden="1" customHeight="1" thickBot="1" x14ac:dyDescent="0.25">
      <c r="B51" s="2110" t="s">
        <v>172</v>
      </c>
      <c r="C51" s="2111"/>
      <c r="D51" s="1121"/>
      <c r="E51" s="2111"/>
      <c r="F51" s="1121"/>
      <c r="G51" s="1121"/>
      <c r="H51" s="2321"/>
      <c r="I51" s="1966"/>
      <c r="J51" s="1966"/>
      <c r="K51" s="1967"/>
      <c r="L51" s="1966"/>
      <c r="M51" s="1966"/>
      <c r="N51" s="1966"/>
      <c r="O51" s="1966"/>
      <c r="P51" s="1966"/>
      <c r="Q51" s="1968"/>
      <c r="R51" s="1968"/>
      <c r="S51" s="1966"/>
      <c r="T51" s="1966"/>
      <c r="U51" s="1966"/>
      <c r="V51" s="1966"/>
      <c r="W51" s="1966"/>
      <c r="X51" s="1966"/>
      <c r="Y51" s="1966"/>
      <c r="Z51" s="1968"/>
    </row>
    <row r="52" spans="2:27" s="704" customFormat="1" ht="15.75" customHeight="1" x14ac:dyDescent="0.2">
      <c r="B52" s="1107" t="s">
        <v>556</v>
      </c>
      <c r="C52" s="1108">
        <f>'CNG Table A'!G39</f>
        <v>156292</v>
      </c>
      <c r="D52" s="1109"/>
      <c r="E52" s="1108"/>
      <c r="F52" s="1109"/>
      <c r="G52" s="1109"/>
      <c r="H52" s="1110"/>
      <c r="I52" s="1111"/>
      <c r="J52" s="1111"/>
      <c r="K52" s="1112"/>
      <c r="L52" s="1111"/>
      <c r="M52" s="1111"/>
      <c r="N52" s="1111"/>
      <c r="O52" s="1111"/>
      <c r="P52" s="1111"/>
      <c r="Q52" s="1111"/>
      <c r="R52" s="1111"/>
      <c r="S52" s="1111"/>
      <c r="T52" s="1111"/>
      <c r="U52" s="1111"/>
      <c r="V52" s="1111"/>
      <c r="W52" s="1111"/>
      <c r="X52" s="1111"/>
      <c r="Y52" s="1111"/>
      <c r="Z52" s="1113"/>
    </row>
    <row r="53" spans="2:27" s="704" customFormat="1" ht="15.75" customHeight="1" x14ac:dyDescent="0.2">
      <c r="B53" s="979" t="s">
        <v>557</v>
      </c>
      <c r="C53" s="874">
        <f>'SCG Table A'!G39</f>
        <v>211292</v>
      </c>
      <c r="D53" s="1114"/>
      <c r="E53" s="874"/>
      <c r="F53" s="1114"/>
      <c r="G53" s="1114"/>
      <c r="H53" s="1115"/>
      <c r="I53" s="1268"/>
      <c r="J53" s="1268"/>
      <c r="K53" s="900"/>
      <c r="L53" s="1268"/>
      <c r="M53" s="1268"/>
      <c r="N53" s="1268"/>
      <c r="O53" s="1268"/>
      <c r="P53" s="1268"/>
      <c r="Q53" s="1268"/>
      <c r="R53" s="1268"/>
      <c r="S53" s="1268"/>
      <c r="T53" s="1268"/>
      <c r="U53" s="1268"/>
      <c r="V53" s="1268"/>
      <c r="W53" s="1268"/>
      <c r="X53" s="1268"/>
      <c r="Y53" s="1268"/>
      <c r="Z53" s="1269"/>
    </row>
    <row r="54" spans="2:27" s="704" customFormat="1" ht="16.5" customHeight="1" x14ac:dyDescent="0.25">
      <c r="B54" s="2366" t="s">
        <v>630</v>
      </c>
      <c r="C54" s="2348">
        <f>SUM(C51:C53)</f>
        <v>367584</v>
      </c>
      <c r="D54" s="1114"/>
      <c r="E54" s="2348"/>
      <c r="F54" s="1114"/>
      <c r="G54" s="1114"/>
      <c r="H54" s="1986"/>
      <c r="I54" s="1114"/>
      <c r="J54" s="1114"/>
      <c r="K54" s="2349"/>
      <c r="L54" s="1114"/>
      <c r="M54" s="1114"/>
      <c r="N54" s="1114"/>
      <c r="O54" s="1114"/>
      <c r="P54" s="1114"/>
      <c r="Q54" s="1114"/>
      <c r="R54" s="1114"/>
      <c r="S54" s="1114"/>
      <c r="T54" s="1114"/>
      <c r="U54" s="1114"/>
      <c r="V54" s="1114"/>
      <c r="W54" s="1114"/>
      <c r="X54" s="1114"/>
      <c r="Y54" s="1114"/>
      <c r="Z54" s="2385"/>
    </row>
    <row r="55" spans="2:27" s="704" customFormat="1" ht="15.75" hidden="1" customHeight="1" thickBot="1" x14ac:dyDescent="0.25">
      <c r="B55" s="979" t="s">
        <v>237</v>
      </c>
      <c r="C55" s="874"/>
      <c r="D55" s="1114"/>
      <c r="E55" s="874"/>
      <c r="F55" s="1114"/>
      <c r="G55" s="1114"/>
      <c r="H55" s="1115"/>
      <c r="I55" s="1268"/>
      <c r="J55" s="1268"/>
      <c r="K55" s="900"/>
      <c r="L55" s="1268"/>
      <c r="M55" s="1268"/>
      <c r="N55" s="1268"/>
      <c r="O55" s="1268"/>
      <c r="P55" s="1268"/>
      <c r="Q55" s="1268"/>
      <c r="R55" s="1268"/>
      <c r="S55" s="1268"/>
      <c r="T55" s="1268"/>
      <c r="U55" s="1268"/>
      <c r="V55" s="1268"/>
      <c r="W55" s="1268"/>
      <c r="X55" s="1268"/>
      <c r="Y55" s="1268"/>
      <c r="Z55" s="1269"/>
    </row>
    <row r="56" spans="2:27" s="704" customFormat="1" ht="15.75" customHeight="1" x14ac:dyDescent="0.2">
      <c r="B56" s="979" t="s">
        <v>593</v>
      </c>
      <c r="C56" s="1277">
        <f ca="1">'CNG Table A'!G34+'CNG Table A'!G50</f>
        <v>2318457.6896213512</v>
      </c>
      <c r="D56" s="1114"/>
      <c r="E56" s="874"/>
      <c r="F56" s="1114"/>
      <c r="G56" s="1114"/>
      <c r="H56" s="1115"/>
      <c r="I56" s="1268"/>
      <c r="J56" s="1268"/>
      <c r="K56" s="900"/>
      <c r="L56" s="1268"/>
      <c r="M56" s="1268"/>
      <c r="N56" s="1268"/>
      <c r="O56" s="1268"/>
      <c r="P56" s="1268"/>
      <c r="Q56" s="1268"/>
      <c r="R56" s="1268"/>
      <c r="S56" s="1268"/>
      <c r="T56" s="1268"/>
      <c r="U56" s="1268"/>
      <c r="V56" s="1268"/>
      <c r="W56" s="1268"/>
      <c r="X56" s="1268"/>
      <c r="Y56" s="1268"/>
      <c r="Z56" s="1269"/>
    </row>
    <row r="57" spans="2:27" s="704" customFormat="1" ht="15.75" customHeight="1" x14ac:dyDescent="0.2">
      <c r="B57" s="979" t="s">
        <v>594</v>
      </c>
      <c r="C57" s="1277">
        <f ca="1">'SCG Table A'!G34+'SCG Table A'!G50</f>
        <v>2158974.03212704</v>
      </c>
      <c r="D57" s="1114"/>
      <c r="E57" s="874"/>
      <c r="F57" s="1114"/>
      <c r="G57" s="1114"/>
      <c r="H57" s="1115"/>
      <c r="I57" s="1268"/>
      <c r="J57" s="1268"/>
      <c r="K57" s="900"/>
      <c r="L57" s="1268"/>
      <c r="M57" s="1268"/>
      <c r="N57" s="1268"/>
      <c r="O57" s="1268"/>
      <c r="P57" s="1268"/>
      <c r="Q57" s="1268"/>
      <c r="R57" s="1268"/>
      <c r="S57" s="1268"/>
      <c r="T57" s="1268"/>
      <c r="U57" s="1268"/>
      <c r="V57" s="1268"/>
      <c r="W57" s="1268"/>
      <c r="X57" s="1268"/>
      <c r="Y57" s="1268"/>
      <c r="Z57" s="1269"/>
    </row>
    <row r="58" spans="2:27" s="704" customFormat="1" ht="15.75" customHeight="1" x14ac:dyDescent="0.25">
      <c r="B58" s="2366" t="s">
        <v>630</v>
      </c>
      <c r="C58" s="2348">
        <f ca="1">SUM(C55:C57)</f>
        <v>4477431.7217483912</v>
      </c>
      <c r="D58" s="1114"/>
      <c r="E58" s="2348"/>
      <c r="F58" s="1114"/>
      <c r="G58" s="1114"/>
      <c r="H58" s="1986"/>
      <c r="I58" s="1114"/>
      <c r="J58" s="1114"/>
      <c r="K58" s="2349"/>
      <c r="L58" s="1114"/>
      <c r="M58" s="1114"/>
      <c r="N58" s="1114"/>
      <c r="O58" s="1114"/>
      <c r="P58" s="1114"/>
      <c r="Q58" s="1114"/>
      <c r="R58" s="1114"/>
      <c r="S58" s="1114"/>
      <c r="T58" s="1114"/>
      <c r="U58" s="1114"/>
      <c r="V58" s="1114"/>
      <c r="W58" s="1114"/>
      <c r="X58" s="1114"/>
      <c r="Y58" s="1114"/>
      <c r="Z58" s="2385"/>
    </row>
    <row r="59" spans="2:27" s="704" customFormat="1" ht="15.75" customHeight="1" thickBot="1" x14ac:dyDescent="0.3">
      <c r="B59" s="2386" t="s">
        <v>90</v>
      </c>
      <c r="C59" s="2387">
        <f ca="1">C54+C58</f>
        <v>4845015.7217483912</v>
      </c>
      <c r="D59" s="2387"/>
      <c r="E59" s="2387"/>
      <c r="F59" s="2387"/>
      <c r="G59" s="2387"/>
      <c r="H59" s="2388"/>
      <c r="I59" s="2389"/>
      <c r="J59" s="2389"/>
      <c r="K59" s="2390"/>
      <c r="L59" s="2391"/>
      <c r="M59" s="2392"/>
      <c r="N59" s="2392"/>
      <c r="O59" s="2392"/>
      <c r="P59" s="2393"/>
      <c r="Q59" s="2394"/>
      <c r="R59" s="2394"/>
      <c r="S59" s="2391"/>
      <c r="T59" s="2391"/>
      <c r="U59" s="2391"/>
      <c r="V59" s="2391"/>
      <c r="W59" s="2391"/>
      <c r="X59" s="2391"/>
      <c r="Y59" s="2393"/>
      <c r="Z59" s="2395"/>
    </row>
    <row r="60" spans="2:27" s="284" customFormat="1" ht="15.75" thickBot="1" x14ac:dyDescent="0.25">
      <c r="B60" s="396"/>
      <c r="C60" s="397"/>
      <c r="D60" s="397"/>
      <c r="E60" s="397"/>
      <c r="F60" s="397"/>
      <c r="G60" s="397"/>
      <c r="H60" s="397"/>
      <c r="I60" s="397"/>
      <c r="J60" s="397"/>
      <c r="K60" s="806"/>
      <c r="L60" s="397"/>
      <c r="M60" s="397"/>
      <c r="N60" s="397"/>
      <c r="O60" s="397"/>
      <c r="P60" s="397"/>
      <c r="Q60" s="397"/>
      <c r="R60" s="397"/>
      <c r="S60" s="397"/>
      <c r="T60" s="397"/>
      <c r="U60" s="397"/>
      <c r="V60" s="397"/>
      <c r="W60" s="397"/>
      <c r="X60" s="397"/>
      <c r="Y60" s="397"/>
      <c r="Z60" s="398"/>
    </row>
    <row r="61" spans="2:27" s="284" customFormat="1" ht="16.5" thickBot="1" x14ac:dyDescent="0.3">
      <c r="B61" s="419" t="s">
        <v>28</v>
      </c>
      <c r="C61" s="396"/>
      <c r="D61" s="397"/>
      <c r="E61" s="397"/>
      <c r="F61" s="397"/>
      <c r="G61" s="397"/>
      <c r="H61" s="420"/>
      <c r="I61" s="397"/>
      <c r="J61" s="397"/>
      <c r="K61" s="806"/>
      <c r="L61" s="397"/>
      <c r="M61" s="397"/>
      <c r="N61" s="397"/>
      <c r="O61" s="397"/>
      <c r="P61" s="420"/>
      <c r="Q61" s="420"/>
      <c r="R61" s="397"/>
      <c r="S61" s="397"/>
      <c r="T61" s="397"/>
      <c r="U61" s="397"/>
      <c r="V61" s="397"/>
      <c r="W61" s="397"/>
      <c r="X61" s="397"/>
      <c r="Y61" s="420"/>
      <c r="Z61" s="421"/>
    </row>
    <row r="62" spans="2:27" s="284" customFormat="1" ht="16.5" hidden="1" thickBot="1" x14ac:dyDescent="0.3">
      <c r="B62" s="2113" t="s">
        <v>91</v>
      </c>
      <c r="C62" s="2114">
        <f>C6+C10+C14+C24</f>
        <v>0</v>
      </c>
      <c r="D62" s="2115">
        <f>D6+D10+D14+D24</f>
        <v>0</v>
      </c>
      <c r="E62" s="2115">
        <f>E6+E10+E14+E24</f>
        <v>0</v>
      </c>
      <c r="F62" s="2115">
        <f>F6+F10+F14+F24</f>
        <v>0</v>
      </c>
      <c r="G62" s="2115">
        <f>G6+G10+G14+G24</f>
        <v>0</v>
      </c>
      <c r="H62" s="498" t="e">
        <f>SUM(C62/$C$74)</f>
        <v>#DIV/0!</v>
      </c>
      <c r="I62" s="2116"/>
      <c r="J62" s="2117"/>
      <c r="K62" s="903"/>
      <c r="L62" s="2117"/>
      <c r="M62" s="355">
        <f>M6+M10+M14+M24</f>
        <v>0</v>
      </c>
      <c r="N62" s="355">
        <f>N6+N10+N24+N14</f>
        <v>0</v>
      </c>
      <c r="O62" s="355">
        <f>O6+O10+O14+O24</f>
        <v>0</v>
      </c>
      <c r="P62" s="362" t="e">
        <f t="shared" ref="P62:P69" si="11">SUM(C62/M62)</f>
        <v>#DIV/0!</v>
      </c>
      <c r="Q62" s="329" t="e">
        <f t="shared" ref="Q62:R69" si="12">SUM(C62/N62)</f>
        <v>#DIV/0!</v>
      </c>
      <c r="R62" s="329" t="e">
        <f t="shared" si="12"/>
        <v>#DIV/0!</v>
      </c>
      <c r="S62" s="2117"/>
      <c r="T62" s="2117"/>
      <c r="U62" s="2117"/>
      <c r="V62" s="2117"/>
      <c r="W62" s="2119">
        <f>+(M62*102900+S62*138690+U62*91330)/10^6</f>
        <v>0</v>
      </c>
      <c r="X62" s="2119">
        <f>+(N62*102900+T62*138690+V62*91330)/10^6</f>
        <v>0</v>
      </c>
      <c r="Y62" s="2118" t="s">
        <v>3</v>
      </c>
      <c r="Z62" s="1997" t="s">
        <v>3</v>
      </c>
    </row>
    <row r="63" spans="2:27" s="284" customFormat="1" ht="15.75" x14ac:dyDescent="0.25">
      <c r="B63" s="434" t="s">
        <v>92</v>
      </c>
      <c r="C63" s="351">
        <f t="shared" ref="C63" si="13">C7+C11+C15+C18+C21+C25</f>
        <v>9549324.1933758017</v>
      </c>
      <c r="D63" s="351" t="e">
        <f t="shared" ref="D63:G64" si="14">D7+D11+D15+D18+D21+D25</f>
        <v>#REF!</v>
      </c>
      <c r="E63" s="351" t="e">
        <f t="shared" si="14"/>
        <v>#REF!</v>
      </c>
      <c r="F63" s="351" t="e">
        <f t="shared" si="14"/>
        <v>#REF!</v>
      </c>
      <c r="G63" s="351" t="e">
        <f t="shared" si="14"/>
        <v>#REF!</v>
      </c>
      <c r="H63" s="497">
        <f ca="1">SUM(C63/$C$75)</f>
        <v>0.58412451543051014</v>
      </c>
      <c r="I63" s="400"/>
      <c r="J63" s="400"/>
      <c r="K63" s="2471" t="e">
        <f>K7+K11+K15+K18+K21+K25</f>
        <v>#REF!</v>
      </c>
      <c r="L63" s="400"/>
      <c r="M63" s="424" t="e">
        <f>M7+M11+M15+M18+M21</f>
        <v>#REF!</v>
      </c>
      <c r="N63" s="424" t="e">
        <f>N7+N11+N15+N18+N21+N25</f>
        <v>#REF!</v>
      </c>
      <c r="O63" s="424" t="e">
        <f>O7+O11+O15+O18+O21+O25</f>
        <v>#REF!</v>
      </c>
      <c r="P63" s="2120" t="e">
        <f t="shared" si="11"/>
        <v>#REF!</v>
      </c>
      <c r="Q63" s="2378" t="e">
        <f t="shared" si="12"/>
        <v>#REF!</v>
      </c>
      <c r="R63" s="2378" t="e">
        <f t="shared" ref="R63:R69" si="15">C63/O63</f>
        <v>#REF!</v>
      </c>
      <c r="S63" s="424">
        <f t="shared" ref="S63:X64" si="16">S7+S11+S15+S18+S21+S25</f>
        <v>0</v>
      </c>
      <c r="T63" s="424">
        <f t="shared" si="16"/>
        <v>0</v>
      </c>
      <c r="U63" s="424">
        <f t="shared" si="16"/>
        <v>0</v>
      </c>
      <c r="V63" s="424">
        <f t="shared" si="16"/>
        <v>0</v>
      </c>
      <c r="W63" s="2121" t="e">
        <f t="shared" si="16"/>
        <v>#REF!</v>
      </c>
      <c r="X63" s="2121" t="e">
        <f t="shared" si="16"/>
        <v>#REF!</v>
      </c>
      <c r="Y63" s="2120" t="e">
        <f>+C63/W63</f>
        <v>#REF!</v>
      </c>
      <c r="Z63" s="356" t="e">
        <f>+C63/X63</f>
        <v>#REF!</v>
      </c>
    </row>
    <row r="64" spans="2:27" s="284" customFormat="1" ht="19.5" customHeight="1" x14ac:dyDescent="0.25">
      <c r="B64" s="437" t="s">
        <v>93</v>
      </c>
      <c r="C64" s="331">
        <f>C8+C12+C16+C19+C22</f>
        <v>8703222.6146112699</v>
      </c>
      <c r="D64" s="331" t="e">
        <f t="shared" si="14"/>
        <v>#REF!</v>
      </c>
      <c r="E64" s="331" t="e">
        <f t="shared" si="14"/>
        <v>#REF!</v>
      </c>
      <c r="F64" s="331" t="e">
        <f t="shared" si="14"/>
        <v>#REF!</v>
      </c>
      <c r="G64" s="331" t="e">
        <f t="shared" si="14"/>
        <v>#REF!</v>
      </c>
      <c r="H64" s="494">
        <f ca="1">SUM(C64/$C$76)</f>
        <v>0.59634195883748375</v>
      </c>
      <c r="I64" s="402"/>
      <c r="J64" s="402"/>
      <c r="K64" s="2472" t="e">
        <f>K8+K12+K16+K19+K22+K26</f>
        <v>#REF!</v>
      </c>
      <c r="L64" s="402"/>
      <c r="M64" s="2350" t="e">
        <f>M8+M12+M16+M19+M22</f>
        <v>#REF!</v>
      </c>
      <c r="N64" s="2350" t="e">
        <f>N8+N12+N16+N19+N22+N26</f>
        <v>#REF!</v>
      </c>
      <c r="O64" s="2350" t="e">
        <f>O8+O12+O16+O19+O22+O26</f>
        <v>#REF!</v>
      </c>
      <c r="P64" s="335" t="e">
        <f t="shared" si="11"/>
        <v>#REF!</v>
      </c>
      <c r="Q64" s="2338" t="e">
        <f t="shared" si="12"/>
        <v>#REF!</v>
      </c>
      <c r="R64" s="2338" t="e">
        <f t="shared" si="15"/>
        <v>#REF!</v>
      </c>
      <c r="S64" s="2350">
        <f t="shared" si="16"/>
        <v>0</v>
      </c>
      <c r="T64" s="2350">
        <f t="shared" si="16"/>
        <v>0</v>
      </c>
      <c r="U64" s="2350">
        <f t="shared" si="16"/>
        <v>0</v>
      </c>
      <c r="V64" s="2350">
        <f t="shared" si="16"/>
        <v>0</v>
      </c>
      <c r="W64" s="804" t="e">
        <f t="shared" si="16"/>
        <v>#REF!</v>
      </c>
      <c r="X64" s="804" t="e">
        <f t="shared" si="16"/>
        <v>#REF!</v>
      </c>
      <c r="Y64" s="335" t="e">
        <f>+C64/W64</f>
        <v>#REF!</v>
      </c>
      <c r="Z64" s="358" t="e">
        <f>+C64/X64</f>
        <v>#REF!</v>
      </c>
    </row>
    <row r="65" spans="2:26" ht="15.75" x14ac:dyDescent="0.25">
      <c r="B65" s="2363" t="s">
        <v>94</v>
      </c>
      <c r="C65" s="2347">
        <f>SUM(C62:C64)</f>
        <v>18252546.807987072</v>
      </c>
      <c r="D65" s="2347" t="e">
        <f>SUM(D62:D64)</f>
        <v>#REF!</v>
      </c>
      <c r="E65" s="2347" t="e">
        <f>SUM(E62:E64)</f>
        <v>#REF!</v>
      </c>
      <c r="F65" s="2347" t="e">
        <f>SUM(F62:F64)</f>
        <v>#REF!</v>
      </c>
      <c r="G65" s="2347" t="e">
        <f>SUM(G62:G64)</f>
        <v>#REF!</v>
      </c>
      <c r="H65" s="2351">
        <f ca="1">SUM(C65/$C$77)</f>
        <v>0.58988700857040066</v>
      </c>
      <c r="I65" s="402"/>
      <c r="J65" s="402"/>
      <c r="K65" s="2335" t="e">
        <f>SUM(K62:K64)</f>
        <v>#REF!</v>
      </c>
      <c r="L65" s="402"/>
      <c r="M65" s="2352" t="e">
        <f>SUM(M62:M64)</f>
        <v>#REF!</v>
      </c>
      <c r="N65" s="2352" t="e">
        <f>SUM(N62:N64)</f>
        <v>#REF!</v>
      </c>
      <c r="O65" s="2352" t="e">
        <f>SUM(O62:O64)</f>
        <v>#REF!</v>
      </c>
      <c r="P65" s="2336" t="e">
        <f t="shared" si="11"/>
        <v>#REF!</v>
      </c>
      <c r="Q65" s="2339" t="e">
        <f t="shared" si="12"/>
        <v>#REF!</v>
      </c>
      <c r="R65" s="2339" t="e">
        <f t="shared" si="15"/>
        <v>#REF!</v>
      </c>
      <c r="S65" s="2352">
        <f>SUM(S62:S64)</f>
        <v>0</v>
      </c>
      <c r="T65" s="2352">
        <f>SUM(T62:T64)</f>
        <v>0</v>
      </c>
      <c r="U65" s="2352">
        <f>SUM(U62:U64)</f>
        <v>0</v>
      </c>
      <c r="V65" s="2352">
        <f>SUM(V62:V64)</f>
        <v>0</v>
      </c>
      <c r="W65" s="2333" t="e">
        <f t="shared" ref="W65:X77" si="17">+(M65*102900+S65*138690+U65*91330)/10^6</f>
        <v>#REF!</v>
      </c>
      <c r="X65" s="2333" t="e">
        <f t="shared" si="17"/>
        <v>#REF!</v>
      </c>
      <c r="Y65" s="2336" t="e">
        <f>+C65/W65</f>
        <v>#REF!</v>
      </c>
      <c r="Z65" s="2365" t="e">
        <f>+C65/X65</f>
        <v>#REF!</v>
      </c>
    </row>
    <row r="66" spans="2:26" s="284" customFormat="1" ht="15.75" hidden="1" x14ac:dyDescent="0.25">
      <c r="B66" s="437" t="s">
        <v>95</v>
      </c>
      <c r="C66" s="331">
        <f t="shared" ref="C66:C68" si="18">C31+C36+C40+C44</f>
        <v>0</v>
      </c>
      <c r="D66" s="331">
        <f t="shared" ref="D66:G68" si="19">D31+D36+D40+D44</f>
        <v>0</v>
      </c>
      <c r="E66" s="331">
        <f t="shared" si="19"/>
        <v>0</v>
      </c>
      <c r="F66" s="331">
        <f t="shared" si="19"/>
        <v>0</v>
      </c>
      <c r="G66" s="331">
        <f t="shared" si="19"/>
        <v>0</v>
      </c>
      <c r="H66" s="494" t="e">
        <f>SUM(C66/$C$74)</f>
        <v>#DIV/0!</v>
      </c>
      <c r="I66" s="402"/>
      <c r="J66" s="402"/>
      <c r="K66" s="2472">
        <f>K31+K36+K40+K44</f>
        <v>0</v>
      </c>
      <c r="L66" s="402"/>
      <c r="M66" s="2350">
        <f t="shared" ref="M66:O68" si="20">M31+M36+M40+M44</f>
        <v>0</v>
      </c>
      <c r="N66" s="2350">
        <f t="shared" si="20"/>
        <v>0</v>
      </c>
      <c r="O66" s="2350">
        <f t="shared" si="20"/>
        <v>0</v>
      </c>
      <c r="P66" s="438" t="e">
        <f t="shared" si="11"/>
        <v>#DIV/0!</v>
      </c>
      <c r="Q66" s="438" t="e">
        <f t="shared" si="12"/>
        <v>#DIV/0!</v>
      </c>
      <c r="R66" s="438" t="e">
        <f t="shared" si="15"/>
        <v>#DIV/0!</v>
      </c>
      <c r="S66" s="402"/>
      <c r="T66" s="402"/>
      <c r="U66" s="402"/>
      <c r="V66" s="402"/>
      <c r="W66" s="804">
        <f t="shared" si="17"/>
        <v>0</v>
      </c>
      <c r="X66" s="804">
        <f t="shared" si="17"/>
        <v>0</v>
      </c>
      <c r="Y66" s="2008" t="s">
        <v>3</v>
      </c>
      <c r="Z66" s="2009" t="s">
        <v>3</v>
      </c>
    </row>
    <row r="67" spans="2:26" s="284" customFormat="1" ht="15.75" x14ac:dyDescent="0.25">
      <c r="B67" s="437" t="s">
        <v>96</v>
      </c>
      <c r="C67" s="331">
        <f t="shared" si="18"/>
        <v>4324023.0400326578</v>
      </c>
      <c r="D67" s="331" t="e">
        <f t="shared" si="19"/>
        <v>#REF!</v>
      </c>
      <c r="E67" s="331" t="e">
        <f t="shared" si="19"/>
        <v>#REF!</v>
      </c>
      <c r="F67" s="331" t="e">
        <f t="shared" si="19"/>
        <v>#REF!</v>
      </c>
      <c r="G67" s="331" t="e">
        <f t="shared" si="19"/>
        <v>#REF!</v>
      </c>
      <c r="H67" s="494">
        <f ca="1">SUM(C67/$C$75)</f>
        <v>0.26449702741493669</v>
      </c>
      <c r="I67" s="402"/>
      <c r="J67" s="402"/>
      <c r="K67" s="2472" t="e">
        <f>K32+K37+K41+K45</f>
        <v>#REF!</v>
      </c>
      <c r="L67" s="402"/>
      <c r="M67" s="2350" t="e">
        <f t="shared" si="20"/>
        <v>#REF!</v>
      </c>
      <c r="N67" s="2350" t="e">
        <f t="shared" si="20"/>
        <v>#REF!</v>
      </c>
      <c r="O67" s="2350" t="e">
        <f t="shared" si="20"/>
        <v>#REF!</v>
      </c>
      <c r="P67" s="438" t="e">
        <f t="shared" si="11"/>
        <v>#REF!</v>
      </c>
      <c r="Q67" s="438" t="e">
        <f t="shared" si="12"/>
        <v>#REF!</v>
      </c>
      <c r="R67" s="438" t="e">
        <f t="shared" si="15"/>
        <v>#REF!</v>
      </c>
      <c r="S67" s="2350">
        <f>S32+S37+S41+S45</f>
        <v>0</v>
      </c>
      <c r="T67" s="2350">
        <f>T32+T37+T41+T45</f>
        <v>0</v>
      </c>
      <c r="U67" s="2350"/>
      <c r="V67" s="2350"/>
      <c r="W67" s="804" t="e">
        <f t="shared" si="17"/>
        <v>#REF!</v>
      </c>
      <c r="X67" s="804" t="e">
        <f t="shared" si="17"/>
        <v>#REF!</v>
      </c>
      <c r="Y67" s="335" t="e">
        <f>+C67/W67</f>
        <v>#REF!</v>
      </c>
      <c r="Z67" s="358" t="e">
        <f>+C67/X67</f>
        <v>#REF!</v>
      </c>
    </row>
    <row r="68" spans="2:26" s="284" customFormat="1" ht="15.75" x14ac:dyDescent="0.25">
      <c r="B68" s="437" t="s">
        <v>97</v>
      </c>
      <c r="C68" s="331">
        <f t="shared" si="18"/>
        <v>3520860.259344765</v>
      </c>
      <c r="D68" s="331" t="e">
        <f t="shared" si="19"/>
        <v>#REF!</v>
      </c>
      <c r="E68" s="331" t="e">
        <f t="shared" si="19"/>
        <v>#REF!</v>
      </c>
      <c r="F68" s="331" t="e">
        <f t="shared" si="19"/>
        <v>#REF!</v>
      </c>
      <c r="G68" s="331" t="e">
        <f t="shared" si="19"/>
        <v>#REF!</v>
      </c>
      <c r="H68" s="494">
        <f ca="1">SUM(C68/$C$76)</f>
        <v>0.24124819010440637</v>
      </c>
      <c r="I68" s="402"/>
      <c r="J68" s="402"/>
      <c r="K68" s="2472" t="e">
        <f>K33+K38+K42+K46</f>
        <v>#REF!</v>
      </c>
      <c r="L68" s="402"/>
      <c r="M68" s="2350" t="e">
        <f t="shared" si="20"/>
        <v>#REF!</v>
      </c>
      <c r="N68" s="2350" t="e">
        <f t="shared" si="20"/>
        <v>#REF!</v>
      </c>
      <c r="O68" s="2350" t="e">
        <f t="shared" si="20"/>
        <v>#REF!</v>
      </c>
      <c r="P68" s="438" t="e">
        <f t="shared" si="11"/>
        <v>#REF!</v>
      </c>
      <c r="Q68" s="438" t="e">
        <f t="shared" si="12"/>
        <v>#REF!</v>
      </c>
      <c r="R68" s="438" t="e">
        <f t="shared" si="15"/>
        <v>#REF!</v>
      </c>
      <c r="S68" s="2350">
        <f>S33+S38+S42+S46</f>
        <v>0</v>
      </c>
      <c r="T68" s="2350">
        <f>T33+T38+T42+T46</f>
        <v>0</v>
      </c>
      <c r="U68" s="2350"/>
      <c r="V68" s="2350"/>
      <c r="W68" s="804" t="e">
        <f t="shared" si="17"/>
        <v>#REF!</v>
      </c>
      <c r="X68" s="804" t="e">
        <f t="shared" si="17"/>
        <v>#REF!</v>
      </c>
      <c r="Y68" s="335" t="e">
        <f>+C68/W68</f>
        <v>#REF!</v>
      </c>
      <c r="Z68" s="358" t="e">
        <f>+C68/X68</f>
        <v>#REF!</v>
      </c>
    </row>
    <row r="69" spans="2:26" ht="15.75" x14ac:dyDescent="0.25">
      <c r="B69" s="2363" t="s">
        <v>98</v>
      </c>
      <c r="C69" s="2347">
        <f>SUM(C66:C68)</f>
        <v>7844883.2993774228</v>
      </c>
      <c r="D69" s="2347" t="e">
        <f>SUM(D66:D68)</f>
        <v>#REF!</v>
      </c>
      <c r="E69" s="2347" t="e">
        <f>SUM(E66:E68)</f>
        <v>#REF!</v>
      </c>
      <c r="F69" s="2347" t="e">
        <f>SUM(F66:F68)</f>
        <v>#REF!</v>
      </c>
      <c r="G69" s="2347" t="e">
        <f>SUM(G66:G68)</f>
        <v>#REF!</v>
      </c>
      <c r="H69" s="2351">
        <f ca="1">SUM(C69/$C$77)</f>
        <v>0.25353145458192544</v>
      </c>
      <c r="I69" s="402"/>
      <c r="J69" s="402"/>
      <c r="K69" s="2335" t="e">
        <f>SUM(K66:K68)</f>
        <v>#REF!</v>
      </c>
      <c r="L69" s="402"/>
      <c r="M69" s="2352" t="e">
        <f>SUM(M66:M68)</f>
        <v>#REF!</v>
      </c>
      <c r="N69" s="2352" t="e">
        <f>SUM(N66:N68)</f>
        <v>#REF!</v>
      </c>
      <c r="O69" s="2352" t="e">
        <f>SUM(O66:O68)</f>
        <v>#REF!</v>
      </c>
      <c r="P69" s="2353" t="e">
        <f t="shared" si="11"/>
        <v>#REF!</v>
      </c>
      <c r="Q69" s="2353" t="e">
        <f t="shared" si="12"/>
        <v>#REF!</v>
      </c>
      <c r="R69" s="2353" t="e">
        <f t="shared" si="15"/>
        <v>#REF!</v>
      </c>
      <c r="S69" s="2352">
        <f>SUM(S66:S68)</f>
        <v>0</v>
      </c>
      <c r="T69" s="2352">
        <f>SUM(T66:T68)</f>
        <v>0</v>
      </c>
      <c r="U69" s="2352"/>
      <c r="V69" s="2352"/>
      <c r="W69" s="2333" t="e">
        <f t="shared" si="17"/>
        <v>#REF!</v>
      </c>
      <c r="X69" s="2333" t="e">
        <f t="shared" si="17"/>
        <v>#REF!</v>
      </c>
      <c r="Y69" s="2336" t="e">
        <f>+C69/W69</f>
        <v>#REF!</v>
      </c>
      <c r="Z69" s="2365" t="e">
        <f>+C69/X69</f>
        <v>#REF!</v>
      </c>
    </row>
    <row r="70" spans="2:26" s="284" customFormat="1" ht="15.75" hidden="1" x14ac:dyDescent="0.25">
      <c r="B70" s="437" t="s">
        <v>99</v>
      </c>
      <c r="C70" s="331">
        <f>C51+C55</f>
        <v>0</v>
      </c>
      <c r="D70" s="331"/>
      <c r="E70" s="331"/>
      <c r="F70" s="331"/>
      <c r="G70" s="331"/>
      <c r="H70" s="494" t="e">
        <f>SUM(C70/$C$74)</f>
        <v>#DIV/0!</v>
      </c>
      <c r="I70" s="402"/>
      <c r="J70" s="402"/>
      <c r="K70" s="814"/>
      <c r="L70" s="402"/>
      <c r="M70" s="450"/>
      <c r="N70" s="450"/>
      <c r="O70" s="450"/>
      <c r="P70" s="450"/>
      <c r="Q70" s="438"/>
      <c r="R70" s="438"/>
      <c r="S70" s="402"/>
      <c r="T70" s="402"/>
      <c r="U70" s="402"/>
      <c r="V70" s="402"/>
      <c r="W70" s="804">
        <f t="shared" si="17"/>
        <v>0</v>
      </c>
      <c r="X70" s="804">
        <f t="shared" si="17"/>
        <v>0</v>
      </c>
      <c r="Y70" s="2029"/>
      <c r="Z70" s="439"/>
    </row>
    <row r="71" spans="2:26" s="284" customFormat="1" ht="15.75" x14ac:dyDescent="0.25">
      <c r="B71" s="437" t="s">
        <v>100</v>
      </c>
      <c r="C71" s="331">
        <f ca="1">C52+C56</f>
        <v>2474749.6896213512</v>
      </c>
      <c r="D71" s="331"/>
      <c r="E71" s="331"/>
      <c r="F71" s="331"/>
      <c r="G71" s="331"/>
      <c r="H71" s="494">
        <f ca="1">SUM(C71/$C$75)</f>
        <v>0.1513784571545532</v>
      </c>
      <c r="I71" s="402"/>
      <c r="J71" s="402"/>
      <c r="K71" s="814"/>
      <c r="L71" s="402"/>
      <c r="M71" s="450"/>
      <c r="N71" s="450"/>
      <c r="O71" s="450"/>
      <c r="P71" s="450"/>
      <c r="Q71" s="438"/>
      <c r="R71" s="438"/>
      <c r="S71" s="402"/>
      <c r="T71" s="402"/>
      <c r="U71" s="402"/>
      <c r="V71" s="402"/>
      <c r="W71" s="804">
        <f t="shared" si="17"/>
        <v>0</v>
      </c>
      <c r="X71" s="804">
        <f t="shared" si="17"/>
        <v>0</v>
      </c>
      <c r="Y71" s="450"/>
      <c r="Z71" s="439"/>
    </row>
    <row r="72" spans="2:26" s="284" customFormat="1" ht="15.75" x14ac:dyDescent="0.25">
      <c r="B72" s="437" t="s">
        <v>101</v>
      </c>
      <c r="C72" s="331">
        <f ca="1">C53+C57</f>
        <v>2370266.03212704</v>
      </c>
      <c r="D72" s="331"/>
      <c r="E72" s="331"/>
      <c r="F72" s="331"/>
      <c r="G72" s="331"/>
      <c r="H72" s="494">
        <f ca="1">SUM(C72/$C$76)</f>
        <v>0.16240985105810979</v>
      </c>
      <c r="I72" s="402"/>
      <c r="J72" s="402"/>
      <c r="K72" s="814"/>
      <c r="L72" s="402"/>
      <c r="M72" s="450"/>
      <c r="N72" s="450"/>
      <c r="O72" s="450"/>
      <c r="P72" s="450"/>
      <c r="Q72" s="438"/>
      <c r="R72" s="438"/>
      <c r="S72" s="402"/>
      <c r="T72" s="402"/>
      <c r="U72" s="402"/>
      <c r="V72" s="402"/>
      <c r="W72" s="804">
        <f t="shared" si="17"/>
        <v>0</v>
      </c>
      <c r="X72" s="804">
        <f t="shared" si="17"/>
        <v>0</v>
      </c>
      <c r="Y72" s="450"/>
      <c r="Z72" s="439"/>
    </row>
    <row r="73" spans="2:26" s="284" customFormat="1" ht="15.75" x14ac:dyDescent="0.25">
      <c r="B73" s="2363" t="s">
        <v>102</v>
      </c>
      <c r="C73" s="2347">
        <f ca="1">SUM(C70:C72)</f>
        <v>4845015.7217483912</v>
      </c>
      <c r="D73" s="2347">
        <f>SUM(D70:D72)</f>
        <v>0</v>
      </c>
      <c r="E73" s="2347">
        <f>SUM(E70:E72)</f>
        <v>0</v>
      </c>
      <c r="F73" s="2347">
        <f>SUM(F70:F72)</f>
        <v>0</v>
      </c>
      <c r="G73" s="2347">
        <f>SUM(G70:G72)</f>
        <v>0</v>
      </c>
      <c r="H73" s="2351">
        <f ca="1">SUM(C73/$C$77)</f>
        <v>0.15658153684767384</v>
      </c>
      <c r="I73" s="402"/>
      <c r="J73" s="402"/>
      <c r="K73" s="2472">
        <f>SUM(K70:K72)</f>
        <v>0</v>
      </c>
      <c r="L73" s="402"/>
      <c r="M73" s="2350">
        <f>SUM(M70:M72)</f>
        <v>0</v>
      </c>
      <c r="N73" s="2350">
        <f>SUM(N70:N72)</f>
        <v>0</v>
      </c>
      <c r="O73" s="2350">
        <f>SUM(O70:O72)</f>
        <v>0</v>
      </c>
      <c r="P73" s="438"/>
      <c r="Q73" s="438"/>
      <c r="R73" s="438"/>
      <c r="S73" s="402"/>
      <c r="T73" s="402"/>
      <c r="U73" s="402"/>
      <c r="V73" s="402"/>
      <c r="W73" s="2333">
        <f t="shared" si="17"/>
        <v>0</v>
      </c>
      <c r="X73" s="2333">
        <f t="shared" si="17"/>
        <v>0</v>
      </c>
      <c r="Y73" s="438"/>
      <c r="Z73" s="439"/>
    </row>
    <row r="74" spans="2:26" s="284" customFormat="1" ht="15.75" hidden="1" x14ac:dyDescent="0.25">
      <c r="B74" s="2363" t="s">
        <v>103</v>
      </c>
      <c r="C74" s="331">
        <f t="shared" ref="C74:C76" si="21">SUM(C62,C66,C70)</f>
        <v>0</v>
      </c>
      <c r="D74" s="331">
        <f t="shared" ref="D74:G76" si="22">SUM(D62,D66,D70)</f>
        <v>0</v>
      </c>
      <c r="E74" s="331">
        <f t="shared" si="22"/>
        <v>0</v>
      </c>
      <c r="F74" s="331">
        <f t="shared" si="22"/>
        <v>0</v>
      </c>
      <c r="G74" s="331">
        <f t="shared" si="22"/>
        <v>0</v>
      </c>
      <c r="H74" s="494">
        <f ca="1">SUM(C74/$C$77)</f>
        <v>0</v>
      </c>
      <c r="I74" s="402"/>
      <c r="J74" s="402"/>
      <c r="K74" s="814">
        <f>SUM(K62,K66,K70)</f>
        <v>0</v>
      </c>
      <c r="L74" s="402"/>
      <c r="M74" s="450">
        <f t="shared" ref="M74:N76" si="23">SUM(M62,M66,M70)</f>
        <v>0</v>
      </c>
      <c r="N74" s="450">
        <f t="shared" si="23"/>
        <v>0</v>
      </c>
      <c r="O74" s="450">
        <f>SUM(O62,O66,O70)</f>
        <v>0</v>
      </c>
      <c r="P74" s="438" t="e">
        <f>SUM(C74/M74)</f>
        <v>#DIV/0!</v>
      </c>
      <c r="Q74" s="438" t="e">
        <f>SUM(C74/N74)</f>
        <v>#DIV/0!</v>
      </c>
      <c r="R74" s="438" t="e">
        <f>SUM(D74/O74)</f>
        <v>#DIV/0!</v>
      </c>
      <c r="S74" s="402"/>
      <c r="T74" s="402"/>
      <c r="U74" s="402"/>
      <c r="V74" s="402"/>
      <c r="W74" s="804">
        <f t="shared" si="17"/>
        <v>0</v>
      </c>
      <c r="X74" s="804">
        <f t="shared" si="17"/>
        <v>0</v>
      </c>
      <c r="Y74" s="2008"/>
      <c r="Z74" s="2009"/>
    </row>
    <row r="75" spans="2:26" s="284" customFormat="1" ht="15.75" x14ac:dyDescent="0.25">
      <c r="B75" s="2363" t="s">
        <v>104</v>
      </c>
      <c r="C75" s="331">
        <f ca="1">SUM(C63,C67,C71)</f>
        <v>16348096.92302981</v>
      </c>
      <c r="D75" s="331" t="e">
        <f t="shared" si="22"/>
        <v>#REF!</v>
      </c>
      <c r="E75" s="331" t="e">
        <f t="shared" si="22"/>
        <v>#REF!</v>
      </c>
      <c r="F75" s="331" t="e">
        <f t="shared" si="22"/>
        <v>#REF!</v>
      </c>
      <c r="G75" s="331" t="e">
        <f t="shared" si="22"/>
        <v>#REF!</v>
      </c>
      <c r="H75" s="494">
        <f ca="1">SUM(C75/$C$77)</f>
        <v>0.5283388718951344</v>
      </c>
      <c r="I75" s="402"/>
      <c r="J75" s="402"/>
      <c r="K75" s="814" t="e">
        <f>SUM(K63,K67,K71)</f>
        <v>#REF!</v>
      </c>
      <c r="L75" s="402"/>
      <c r="M75" s="450" t="e">
        <f t="shared" si="23"/>
        <v>#REF!</v>
      </c>
      <c r="N75" s="450" t="e">
        <f t="shared" si="23"/>
        <v>#REF!</v>
      </c>
      <c r="O75" s="450" t="e">
        <f>SUM(O63,O67,O71)</f>
        <v>#REF!</v>
      </c>
      <c r="P75" s="438" t="e">
        <f ca="1">SUM(C75/M75)</f>
        <v>#REF!</v>
      </c>
      <c r="Q75" s="438" t="e">
        <f ca="1">SUM(C75/N75)</f>
        <v>#REF!</v>
      </c>
      <c r="R75" s="438" t="e">
        <f ca="1">C75/O75</f>
        <v>#REF!</v>
      </c>
      <c r="S75" s="450">
        <f t="shared" ref="S75:V76" si="24">SUM(S63,S67,S71)</f>
        <v>0</v>
      </c>
      <c r="T75" s="450">
        <f t="shared" si="24"/>
        <v>0</v>
      </c>
      <c r="U75" s="450">
        <f t="shared" si="24"/>
        <v>0</v>
      </c>
      <c r="V75" s="450">
        <f t="shared" si="24"/>
        <v>0</v>
      </c>
      <c r="W75" s="804" t="e">
        <f t="shared" si="17"/>
        <v>#REF!</v>
      </c>
      <c r="X75" s="804" t="e">
        <f t="shared" si="17"/>
        <v>#REF!</v>
      </c>
      <c r="Y75" s="335" t="e">
        <f ca="1">+C75/W75</f>
        <v>#REF!</v>
      </c>
      <c r="Z75" s="358" t="e">
        <f ca="1">+C75/X75</f>
        <v>#REF!</v>
      </c>
    </row>
    <row r="76" spans="2:26" s="284" customFormat="1" ht="15.75" x14ac:dyDescent="0.25">
      <c r="B76" s="2363" t="s">
        <v>105</v>
      </c>
      <c r="C76" s="331">
        <f t="shared" ca="1" si="21"/>
        <v>14594348.906083075</v>
      </c>
      <c r="D76" s="331" t="e">
        <f t="shared" si="22"/>
        <v>#REF!</v>
      </c>
      <c r="E76" s="331" t="e">
        <f t="shared" si="22"/>
        <v>#REF!</v>
      </c>
      <c r="F76" s="331" t="e">
        <f t="shared" si="22"/>
        <v>#REF!</v>
      </c>
      <c r="G76" s="331" t="e">
        <f t="shared" si="22"/>
        <v>#REF!</v>
      </c>
      <c r="H76" s="494">
        <f ca="1">SUM(C76/$C$77)</f>
        <v>0.47166112810486555</v>
      </c>
      <c r="I76" s="402"/>
      <c r="J76" s="402"/>
      <c r="K76" s="814" t="e">
        <f>SUM(K64,K68,K72)</f>
        <v>#REF!</v>
      </c>
      <c r="L76" s="402"/>
      <c r="M76" s="450" t="e">
        <f t="shared" si="23"/>
        <v>#REF!</v>
      </c>
      <c r="N76" s="450" t="e">
        <f t="shared" si="23"/>
        <v>#REF!</v>
      </c>
      <c r="O76" s="450" t="e">
        <f>SUM(O64,O68,O72)</f>
        <v>#REF!</v>
      </c>
      <c r="P76" s="438" t="e">
        <f ca="1">SUM(C76/M76)</f>
        <v>#REF!</v>
      </c>
      <c r="Q76" s="438" t="e">
        <f ca="1">SUM(C76/N76)</f>
        <v>#REF!</v>
      </c>
      <c r="R76" s="438" t="e">
        <f ca="1">C76/O76</f>
        <v>#REF!</v>
      </c>
      <c r="S76" s="450">
        <f t="shared" si="24"/>
        <v>0</v>
      </c>
      <c r="T76" s="450">
        <f t="shared" si="24"/>
        <v>0</v>
      </c>
      <c r="U76" s="450">
        <f t="shared" si="24"/>
        <v>0</v>
      </c>
      <c r="V76" s="450">
        <f t="shared" si="24"/>
        <v>0</v>
      </c>
      <c r="W76" s="804" t="e">
        <f t="shared" si="17"/>
        <v>#REF!</v>
      </c>
      <c r="X76" s="804" t="e">
        <f t="shared" si="17"/>
        <v>#REF!</v>
      </c>
      <c r="Y76" s="335" t="e">
        <f ca="1">+C76/W76</f>
        <v>#REF!</v>
      </c>
      <c r="Z76" s="358" t="e">
        <f ca="1">+C76/X76</f>
        <v>#REF!</v>
      </c>
    </row>
    <row r="77" spans="2:26" ht="16.5" thickBot="1" x14ac:dyDescent="0.3">
      <c r="B77" s="2369" t="s">
        <v>106</v>
      </c>
      <c r="C77" s="2370">
        <f ca="1">SUM(C74:C76)</f>
        <v>30942445.829112887</v>
      </c>
      <c r="D77" s="2370" t="e">
        <f>SUM(D74:D76)</f>
        <v>#REF!</v>
      </c>
      <c r="E77" s="2370" t="e">
        <f>SUM(E74:E76)</f>
        <v>#REF!</v>
      </c>
      <c r="F77" s="2370" t="e">
        <f>SUM(F74:F76)</f>
        <v>#REF!</v>
      </c>
      <c r="G77" s="2370" t="e">
        <f>SUM(G74:G76)</f>
        <v>#REF!</v>
      </c>
      <c r="H77" s="2396">
        <f ca="1">SUM(C77/$C$77)</f>
        <v>1</v>
      </c>
      <c r="I77" s="2372" t="e">
        <f ca="1">F77/C77</f>
        <v>#REF!</v>
      </c>
      <c r="J77" s="2372" t="e">
        <f>G77/E77</f>
        <v>#REF!</v>
      </c>
      <c r="K77" s="2397" t="e">
        <f>SUM(K74:K76)</f>
        <v>#REF!</v>
      </c>
      <c r="L77" s="2398"/>
      <c r="M77" s="2384" t="e">
        <f>SUM(M74:M76)</f>
        <v>#REF!</v>
      </c>
      <c r="N77" s="2384" t="e">
        <f>SUM(N74:N76)</f>
        <v>#REF!</v>
      </c>
      <c r="O77" s="2384" t="e">
        <f>SUM(O74:O76)</f>
        <v>#REF!</v>
      </c>
      <c r="P77" s="2376" t="e">
        <f ca="1">SUM(C77/M77)</f>
        <v>#REF!</v>
      </c>
      <c r="Q77" s="2376" t="e">
        <f ca="1">SUM(C77/N77)</f>
        <v>#REF!</v>
      </c>
      <c r="R77" s="2376" t="e">
        <f ca="1">C77/O77</f>
        <v>#REF!</v>
      </c>
      <c r="S77" s="2384">
        <f>SUM(S74:S76)</f>
        <v>0</v>
      </c>
      <c r="T77" s="2384">
        <f>SUM(T74:T76)</f>
        <v>0</v>
      </c>
      <c r="U77" s="2384">
        <f>SUM(U74:U76)</f>
        <v>0</v>
      </c>
      <c r="V77" s="2384">
        <f>SUM(V74:V76)</f>
        <v>0</v>
      </c>
      <c r="W77" s="2381" t="e">
        <f t="shared" si="17"/>
        <v>#REF!</v>
      </c>
      <c r="X77" s="2381" t="e">
        <f t="shared" si="17"/>
        <v>#REF!</v>
      </c>
      <c r="Y77" s="2382" t="e">
        <f ca="1">+C77/W77</f>
        <v>#REF!</v>
      </c>
      <c r="Z77" s="2377" t="e">
        <f ca="1">+C77/X77</f>
        <v>#REF!</v>
      </c>
    </row>
    <row r="78" spans="2:26" x14ac:dyDescent="0.2">
      <c r="C78" s="788"/>
    </row>
    <row r="80" spans="2:26" x14ac:dyDescent="0.2">
      <c r="C80" s="751"/>
      <c r="L80" s="704"/>
      <c r="M80" s="704"/>
      <c r="S80" s="704"/>
      <c r="T80" s="704"/>
      <c r="U80" s="704"/>
      <c r="V80" s="704"/>
      <c r="W80" s="704"/>
      <c r="X80" s="704"/>
    </row>
    <row r="81" spans="3:26" x14ac:dyDescent="0.2">
      <c r="L81" s="704"/>
      <c r="M81" s="1038"/>
      <c r="S81" s="704"/>
      <c r="T81" s="704"/>
      <c r="U81" s="704"/>
      <c r="V81" s="704"/>
      <c r="W81" s="704"/>
      <c r="X81" s="704"/>
    </row>
    <row r="82" spans="3:26" ht="13.5" customHeight="1" x14ac:dyDescent="0.2">
      <c r="L82" s="704"/>
      <c r="M82" s="1038"/>
      <c r="N82" s="1038"/>
      <c r="S82" s="704"/>
      <c r="T82" s="704"/>
      <c r="U82" s="704"/>
      <c r="V82" s="704"/>
      <c r="W82" s="704"/>
      <c r="X82" s="704"/>
    </row>
    <row r="83" spans="3:26" x14ac:dyDescent="0.2">
      <c r="M83" s="1038"/>
      <c r="N83" s="1038"/>
    </row>
    <row r="84" spans="3:26" x14ac:dyDescent="0.2">
      <c r="C84" s="788"/>
      <c r="D84" s="788"/>
      <c r="E84" s="788"/>
      <c r="F84" s="788"/>
      <c r="G84" s="788"/>
      <c r="H84" s="788"/>
      <c r="I84" s="788"/>
      <c r="J84" s="788"/>
      <c r="K84" s="788"/>
      <c r="L84" s="788"/>
      <c r="M84" s="788"/>
      <c r="N84" s="788"/>
      <c r="O84" s="788"/>
      <c r="P84" s="788"/>
      <c r="Q84" s="788"/>
      <c r="R84" s="788"/>
      <c r="S84" s="788"/>
      <c r="T84" s="788"/>
      <c r="U84" s="788"/>
      <c r="V84" s="788"/>
      <c r="W84" s="788"/>
      <c r="X84" s="788"/>
      <c r="Y84" s="788"/>
      <c r="Z84" s="788"/>
    </row>
    <row r="85" spans="3:26" x14ac:dyDescent="0.2">
      <c r="S85" s="704"/>
      <c r="T85" s="704"/>
      <c r="U85" s="704"/>
      <c r="V85" s="704"/>
      <c r="W85" s="704"/>
      <c r="X85" s="704"/>
    </row>
    <row r="86" spans="3:26" x14ac:dyDescent="0.2">
      <c r="C86" s="788"/>
      <c r="D86" s="788"/>
      <c r="E86" s="788"/>
      <c r="F86" s="788"/>
      <c r="G86" s="788"/>
      <c r="H86" s="788"/>
      <c r="I86" s="788"/>
      <c r="J86" s="788"/>
      <c r="K86" s="788"/>
      <c r="L86" s="788"/>
      <c r="M86" s="788"/>
      <c r="N86" s="788"/>
      <c r="O86" s="788"/>
      <c r="P86" s="788"/>
      <c r="Q86" s="788"/>
      <c r="R86" s="788"/>
      <c r="S86" s="704"/>
      <c r="T86" s="704"/>
      <c r="U86" s="704"/>
      <c r="V86" s="704"/>
      <c r="W86" s="704"/>
      <c r="X86" s="704"/>
    </row>
    <row r="88" spans="3:26" x14ac:dyDescent="0.2">
      <c r="S88" s="704"/>
      <c r="T88" s="704"/>
      <c r="U88" s="704"/>
      <c r="V88" s="704"/>
      <c r="W88" s="704"/>
      <c r="X88" s="704"/>
    </row>
    <row r="89" spans="3:26" x14ac:dyDescent="0.2">
      <c r="S89" s="704"/>
      <c r="T89" s="704"/>
      <c r="U89" s="704"/>
      <c r="V89" s="704"/>
      <c r="W89" s="704"/>
      <c r="X89" s="704"/>
    </row>
    <row r="90" spans="3:26" x14ac:dyDescent="0.2">
      <c r="C90" s="2205"/>
      <c r="S90" s="704"/>
      <c r="T90" s="704"/>
      <c r="U90" s="704"/>
      <c r="V90" s="704"/>
      <c r="W90" s="704"/>
      <c r="X90" s="704"/>
    </row>
  </sheetData>
  <printOptions horizontalCentered="1"/>
  <pageMargins left="0.25" right="0.21" top="0.19" bottom="0.42" header="0.19" footer="0.17"/>
  <pageSetup scale="47" fitToWidth="0" orientation="landscape" r:id="rId1"/>
  <headerFooter alignWithMargins="0">
    <oddFooter>&amp;C&amp;"Arial"&amp;11&amp;K000000Page &amp;P of &amp;N_x000D_&amp;1#&amp;"Calibri"&amp;12&amp;K008000Internal Use</oddFooter>
  </headerFooter>
  <colBreaks count="1" manualBreakCount="1">
    <brk id="15" max="7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indexed="22"/>
    <pageSetUpPr fitToPage="1"/>
  </sheetPr>
  <dimension ref="A1:H148"/>
  <sheetViews>
    <sheetView topLeftCell="A4" zoomScale="80" zoomScaleNormal="80" zoomScaleSheetLayoutView="25" workbookViewId="0">
      <selection activeCell="D43" sqref="D43"/>
    </sheetView>
  </sheetViews>
  <sheetFormatPr defaultRowHeight="15" x14ac:dyDescent="0.2"/>
  <cols>
    <col min="1" max="1" width="46.5703125" bestFit="1" customWidth="1"/>
    <col min="2" max="2" width="5.7109375" hidden="1" customWidth="1"/>
    <col min="3" max="3" width="9.140625" hidden="1" customWidth="1"/>
    <col min="4" max="4" width="18.5703125" style="723" bestFit="1" customWidth="1"/>
    <col min="5" max="5" width="4.42578125" style="723" customWidth="1"/>
    <col min="6" max="7" width="18.5703125" style="723" customWidth="1"/>
    <col min="8" max="8" width="19.42578125" style="723" customWidth="1"/>
  </cols>
  <sheetData>
    <row r="1" spans="1:8" ht="15" customHeight="1" x14ac:dyDescent="0.2">
      <c r="A1" s="2859" t="s">
        <v>286</v>
      </c>
      <c r="B1" s="2859"/>
      <c r="C1" s="2859"/>
      <c r="D1" s="2859"/>
      <c r="E1" s="2859"/>
      <c r="F1" s="2859"/>
      <c r="G1" s="2859"/>
      <c r="H1" s="2859"/>
    </row>
    <row r="2" spans="1:8" ht="15" customHeight="1" x14ac:dyDescent="0.2">
      <c r="A2" s="2859" t="s">
        <v>260</v>
      </c>
      <c r="B2" s="2859"/>
      <c r="C2" s="2859"/>
      <c r="D2" s="2859"/>
      <c r="E2" s="2859"/>
      <c r="F2" s="2859"/>
      <c r="G2" s="2859"/>
      <c r="H2" s="2859"/>
    </row>
    <row r="3" spans="1:8" ht="15" customHeight="1" x14ac:dyDescent="0.2">
      <c r="A3" s="2859"/>
      <c r="B3" s="2859"/>
      <c r="C3" s="2859"/>
      <c r="D3" s="2859"/>
      <c r="E3" s="2859"/>
      <c r="F3" s="2859"/>
      <c r="G3" s="2859"/>
      <c r="H3" s="2859"/>
    </row>
    <row r="4" spans="1:8" ht="15" customHeight="1" x14ac:dyDescent="0.2">
      <c r="A4" s="2859"/>
      <c r="B4" s="2859"/>
      <c r="C4" s="2859"/>
      <c r="D4" s="2859"/>
      <c r="E4" s="2859"/>
      <c r="F4" s="2859"/>
      <c r="G4" s="2859"/>
      <c r="H4" s="2859"/>
    </row>
    <row r="5" spans="1:8" ht="15" customHeight="1" x14ac:dyDescent="0.2">
      <c r="A5" s="212"/>
      <c r="B5" s="212"/>
      <c r="C5" s="212"/>
      <c r="D5" s="212"/>
      <c r="E5" s="212"/>
      <c r="F5" s="212"/>
      <c r="G5" s="212"/>
      <c r="H5" s="212"/>
    </row>
    <row r="6" spans="1:8" ht="15" customHeight="1" x14ac:dyDescent="0.25">
      <c r="A6" s="2857" t="s">
        <v>305</v>
      </c>
      <c r="B6" s="2858"/>
      <c r="C6" s="2858"/>
      <c r="D6" s="2858"/>
      <c r="E6" s="2858"/>
      <c r="F6" s="2858"/>
      <c r="G6" s="2858"/>
      <c r="H6" s="2858"/>
    </row>
    <row r="7" spans="1:8" ht="15" customHeight="1" x14ac:dyDescent="0.25">
      <c r="A7" s="708"/>
      <c r="B7" s="708"/>
      <c r="C7" s="708"/>
      <c r="D7" s="709"/>
      <c r="E7" s="709"/>
      <c r="F7" s="709"/>
      <c r="G7" s="709"/>
      <c r="H7" s="709"/>
    </row>
    <row r="8" spans="1:8" ht="15" customHeight="1" x14ac:dyDescent="0.25">
      <c r="A8" s="707"/>
      <c r="B8" s="707"/>
      <c r="C8" s="707"/>
      <c r="D8" s="710"/>
      <c r="E8" s="710"/>
      <c r="F8" s="710"/>
      <c r="G8" s="710"/>
      <c r="H8" s="710"/>
    </row>
    <row r="9" spans="1:8" ht="15" customHeight="1" x14ac:dyDescent="0.25">
      <c r="A9" s="707"/>
      <c r="B9" s="707"/>
      <c r="C9" s="707"/>
      <c r="D9" s="711" t="s">
        <v>306</v>
      </c>
      <c r="E9" s="710"/>
      <c r="F9" s="710"/>
      <c r="G9" s="710"/>
      <c r="H9" s="711" t="s">
        <v>306</v>
      </c>
    </row>
    <row r="10" spans="1:8" ht="15" customHeight="1" x14ac:dyDescent="0.25">
      <c r="A10" s="707"/>
      <c r="B10" s="707"/>
      <c r="C10" s="707"/>
      <c r="D10" s="711" t="s">
        <v>262</v>
      </c>
      <c r="E10" s="711"/>
      <c r="F10" s="711"/>
      <c r="G10" s="711"/>
      <c r="H10" s="710" t="s">
        <v>263</v>
      </c>
    </row>
    <row r="11" spans="1:8" ht="15" customHeight="1" x14ac:dyDescent="0.25">
      <c r="B11" s="707"/>
      <c r="C11" s="707"/>
      <c r="D11" s="710" t="s">
        <v>186</v>
      </c>
      <c r="E11" s="710"/>
      <c r="F11" s="711" t="s">
        <v>306</v>
      </c>
      <c r="G11" s="711" t="s">
        <v>306</v>
      </c>
      <c r="H11" s="712" t="s">
        <v>264</v>
      </c>
    </row>
    <row r="12" spans="1:8" ht="14.25" customHeight="1" x14ac:dyDescent="0.25">
      <c r="A12" s="707"/>
      <c r="B12" s="707"/>
      <c r="C12" s="707"/>
      <c r="D12" s="710" t="s">
        <v>265</v>
      </c>
      <c r="E12" s="710"/>
      <c r="F12" s="710" t="s">
        <v>263</v>
      </c>
      <c r="G12" s="710" t="s">
        <v>1</v>
      </c>
      <c r="H12" s="709" t="s">
        <v>266</v>
      </c>
    </row>
    <row r="13" spans="1:8" ht="15" customHeight="1" thickBot="1" x14ac:dyDescent="0.3">
      <c r="A13" s="13"/>
      <c r="B13" s="713"/>
      <c r="C13" s="713"/>
      <c r="D13" s="714" t="s">
        <v>307</v>
      </c>
      <c r="E13" s="714"/>
      <c r="F13" s="715" t="s">
        <v>264</v>
      </c>
      <c r="G13" s="714" t="s">
        <v>308</v>
      </c>
      <c r="H13" s="715" t="s">
        <v>1</v>
      </c>
    </row>
    <row r="14" spans="1:8" ht="15" customHeight="1" x14ac:dyDescent="0.25">
      <c r="A14" s="716" t="s">
        <v>267</v>
      </c>
      <c r="B14" s="665"/>
      <c r="C14" s="665"/>
      <c r="D14" s="717"/>
      <c r="E14" s="717"/>
      <c r="F14" s="712"/>
      <c r="G14" s="717"/>
      <c r="H14" s="712"/>
    </row>
    <row r="15" spans="1:8" ht="15" customHeight="1" thickBot="1" x14ac:dyDescent="0.3">
      <c r="A15" s="718" t="s">
        <v>268</v>
      </c>
      <c r="B15" s="713"/>
      <c r="C15" s="713"/>
      <c r="D15" s="714"/>
      <c r="E15" s="714"/>
      <c r="F15" s="715"/>
      <c r="G15" s="714"/>
      <c r="H15" s="715"/>
    </row>
    <row r="16" spans="1:8" ht="15" customHeight="1" x14ac:dyDescent="0.2">
      <c r="A16" s="132" t="s">
        <v>283</v>
      </c>
      <c r="B16" s="180"/>
      <c r="C16" s="180"/>
      <c r="D16" s="719" t="e">
        <f>'DN 10-10-03 Order 26i YGS '!D16+'DN 10-10-03 Order 26i CNG'!D16+'DN 10-10-03 Order 26i SCG'!D16</f>
        <v>#REF!</v>
      </c>
      <c r="E16" s="719"/>
      <c r="F16" s="719" t="e">
        <f>'DN 10-10-03 Order 26i YGS '!F16+'DN 10-10-03 Order 26i CNG'!F16+'DN 10-10-03 Order 26i SCG'!F16</f>
        <v>#REF!</v>
      </c>
      <c r="G16" s="719">
        <f>'DN 10-10-03 Order 26i YGS '!G16+'DN 10-10-03 Order 26i CNG'!G16+'DN 10-10-03 Order 26i SCG'!G16</f>
        <v>6663.5</v>
      </c>
      <c r="H16" s="719" t="e">
        <f>F16-G16</f>
        <v>#REF!</v>
      </c>
    </row>
    <row r="17" spans="1:8" ht="15" customHeight="1" x14ac:dyDescent="0.2">
      <c r="A17" s="132" t="s">
        <v>160</v>
      </c>
      <c r="B17" s="180"/>
      <c r="C17" s="180"/>
      <c r="D17" s="719" t="e">
        <f>'DN 10-10-03 Order 26i YGS '!D17+'DN 10-10-03 Order 26i CNG'!D17+'DN 10-10-03 Order 26i SCG'!D17</f>
        <v>#REF!</v>
      </c>
      <c r="E17" s="719"/>
      <c r="F17" s="719" t="e">
        <f>'DN 10-10-03 Order 26i YGS '!F17+'DN 10-10-03 Order 26i CNG'!F17+'DN 10-10-03 Order 26i SCG'!F17</f>
        <v>#REF!</v>
      </c>
      <c r="G17" s="719">
        <f>'DN 10-10-03 Order 26i YGS '!G17+'DN 10-10-03 Order 26i CNG'!G17+'DN 10-10-03 Order 26i SCG'!G17</f>
        <v>9047.8590000000004</v>
      </c>
      <c r="H17" s="721" t="e">
        <f>F17-G17</f>
        <v>#REF!</v>
      </c>
    </row>
    <row r="18" spans="1:8" ht="15" customHeight="1" x14ac:dyDescent="0.2">
      <c r="A18" s="132" t="s">
        <v>230</v>
      </c>
      <c r="B18" s="180"/>
      <c r="C18" s="180"/>
      <c r="D18" s="719" t="e">
        <f>'DN 10-10-03 Order 26i YGS '!D18+'DN 10-10-03 Order 26i CNG'!D18+'DN 10-10-03 Order 26i SCG'!D18</f>
        <v>#REF!</v>
      </c>
      <c r="E18" s="719"/>
      <c r="F18" s="719" t="e">
        <f>'DN 10-10-03 Order 26i YGS '!F18+'DN 10-10-03 Order 26i CNG'!F18+'DN 10-10-03 Order 26i SCG'!F18</f>
        <v>#REF!</v>
      </c>
      <c r="G18" s="719">
        <f>'DN 10-10-03 Order 26i YGS '!G18+'DN 10-10-03 Order 26i CNG'!G18+'DN 10-10-03 Order 26i SCG'!G18</f>
        <v>1250</v>
      </c>
      <c r="H18" s="721" t="e">
        <f>F18-G18</f>
        <v>#REF!</v>
      </c>
    </row>
    <row r="19" spans="1:8" ht="15" customHeight="1" x14ac:dyDescent="0.2">
      <c r="A19" s="132" t="s">
        <v>197</v>
      </c>
      <c r="B19" s="665"/>
      <c r="C19" s="665"/>
      <c r="D19" s="719" t="e">
        <f>'DN 10-10-03 Order 26i YGS '!D19+'DN 10-10-03 Order 26i CNG'!D19+'DN 10-10-03 Order 26i SCG'!D19</f>
        <v>#REF!</v>
      </c>
      <c r="E19" s="719"/>
      <c r="F19" s="719" t="e">
        <f>'DN 10-10-03 Order 26i YGS '!F19+'DN 10-10-03 Order 26i CNG'!F19+'DN 10-10-03 Order 26i SCG'!F19</f>
        <v>#REF!</v>
      </c>
      <c r="G19" s="719">
        <f>'DN 10-10-03 Order 26i YGS '!G19+'DN 10-10-03 Order 26i CNG'!G19+'DN 10-10-03 Order 26i SCG'!G19</f>
        <v>156</v>
      </c>
      <c r="H19" s="721" t="e">
        <f>F19-G19</f>
        <v>#REF!</v>
      </c>
    </row>
    <row r="20" spans="1:8" s="7" customFormat="1" ht="15" customHeight="1" x14ac:dyDescent="0.2">
      <c r="A20" s="102" t="s">
        <v>269</v>
      </c>
      <c r="B20" s="186"/>
      <c r="C20" s="186"/>
      <c r="D20" s="722" t="e">
        <f>SUM(D16:D19)</f>
        <v>#REF!</v>
      </c>
      <c r="E20" s="722"/>
      <c r="F20" s="722" t="e">
        <f>SUM(F16:F19)</f>
        <v>#REF!</v>
      </c>
      <c r="G20" s="722">
        <f>SUM(G16:G19)</f>
        <v>17117.359</v>
      </c>
      <c r="H20" s="722" t="e">
        <f>SUM(H16:H19)</f>
        <v>#REF!</v>
      </c>
    </row>
    <row r="21" spans="1:8" ht="15" customHeight="1" x14ac:dyDescent="0.2">
      <c r="A21" s="180"/>
      <c r="B21" s="180"/>
      <c r="C21" s="180"/>
      <c r="D21" s="720"/>
      <c r="E21" s="720"/>
      <c r="F21" s="720"/>
      <c r="G21" s="721"/>
    </row>
    <row r="22" spans="1:8" ht="15" customHeight="1" thickBot="1" x14ac:dyDescent="0.25">
      <c r="A22" s="724" t="s">
        <v>270</v>
      </c>
      <c r="B22" s="713"/>
      <c r="C22" s="713"/>
      <c r="D22" s="725"/>
      <c r="E22" s="725"/>
      <c r="F22" s="725"/>
      <c r="G22" s="726"/>
      <c r="H22" s="726"/>
    </row>
    <row r="23" spans="1:8" ht="15" customHeight="1" x14ac:dyDescent="0.2">
      <c r="A23" s="180" t="s">
        <v>285</v>
      </c>
      <c r="B23" s="665"/>
      <c r="C23" s="665"/>
      <c r="D23" s="719" t="e">
        <f>'DN 10-10-03 Order 26i YGS '!D23+'DN 10-10-03 Order 26i CNG'!D23+'DN 10-10-03 Order 26i SCG'!D23</f>
        <v>#REF!</v>
      </c>
      <c r="E23" s="719"/>
      <c r="F23" s="719" t="e">
        <f>'DN 10-10-03 Order 26i YGS '!F23+'DN 10-10-03 Order 26i CNG'!F23+'DN 10-10-03 Order 26i SCG'!F23</f>
        <v>#REF!</v>
      </c>
      <c r="G23" s="719">
        <f>'DN 10-10-03 Order 26i YGS '!G23+'DN 10-10-03 Order 26i CNG'!G23+'DN 10-10-03 Order 26i SCG'!G23</f>
        <v>7578.6120000000001</v>
      </c>
      <c r="H23" s="719" t="e">
        <f>F23-G23</f>
        <v>#REF!</v>
      </c>
    </row>
    <row r="24" spans="1:8" ht="15" customHeight="1" x14ac:dyDescent="0.2">
      <c r="A24" s="180" t="s">
        <v>275</v>
      </c>
      <c r="B24" s="665"/>
      <c r="C24" s="665"/>
      <c r="D24" s="719" t="e">
        <f>'DN 10-10-03 Order 26i YGS '!D24+'DN 10-10-03 Order 26i CNG'!D24+'DN 10-10-03 Order 26i SCG'!D24</f>
        <v>#REF!</v>
      </c>
      <c r="E24" s="719"/>
      <c r="F24" s="719" t="e">
        <f>'DN 10-10-03 Order 26i YGS '!F24+'DN 10-10-03 Order 26i CNG'!F24+'DN 10-10-03 Order 26i SCG'!F24</f>
        <v>#REF!</v>
      </c>
      <c r="G24" s="719">
        <f>'DN 10-10-03 Order 26i YGS '!G24+'DN 10-10-03 Order 26i CNG'!G24+'DN 10-10-03 Order 26i SCG'!G24</f>
        <v>5666.8339999999998</v>
      </c>
      <c r="H24" s="721" t="e">
        <f>F24-G24</f>
        <v>#REF!</v>
      </c>
    </row>
    <row r="25" spans="1:8" ht="15" customHeight="1" x14ac:dyDescent="0.2">
      <c r="A25" s="132" t="s">
        <v>276</v>
      </c>
      <c r="B25" s="665"/>
      <c r="C25" s="665"/>
      <c r="D25" s="719" t="e">
        <f>'DN 10-10-03 Order 26i YGS '!D25+'DN 10-10-03 Order 26i CNG'!D25+'DN 10-10-03 Order 26i SCG'!D25</f>
        <v>#REF!</v>
      </c>
      <c r="E25" s="719"/>
      <c r="F25" s="719" t="e">
        <f>'DN 10-10-03 Order 26i YGS '!F25+'DN 10-10-03 Order 26i CNG'!F25+'DN 10-10-03 Order 26i SCG'!F25</f>
        <v>#REF!</v>
      </c>
      <c r="G25" s="719">
        <f>'DN 10-10-03 Order 26i YGS '!G25+'DN 10-10-03 Order 26i CNG'!G25+'DN 10-10-03 Order 26i SCG'!G25</f>
        <v>699.548</v>
      </c>
      <c r="H25" s="721" t="e">
        <f>F25-G25</f>
        <v>#REF!</v>
      </c>
    </row>
    <row r="26" spans="1:8" ht="15" customHeight="1" x14ac:dyDescent="0.2">
      <c r="A26" s="132" t="s">
        <v>245</v>
      </c>
      <c r="B26" s="665"/>
      <c r="C26" s="665"/>
      <c r="D26" s="719" t="e">
        <f>'DN 10-10-03 Order 26i YGS '!D26+'DN 10-10-03 Order 26i CNG'!D26+'DN 10-10-03 Order 26i SCG'!D26</f>
        <v>#REF!</v>
      </c>
      <c r="E26" s="719"/>
      <c r="F26" s="719" t="e">
        <f>'DN 10-10-03 Order 26i YGS '!F26+'DN 10-10-03 Order 26i CNG'!F26+'DN 10-10-03 Order 26i SCG'!F26</f>
        <v>#REF!</v>
      </c>
      <c r="G26" s="719">
        <f>'DN 10-10-03 Order 26i YGS '!G26+'DN 10-10-03 Order 26i CNG'!G26+'DN 10-10-03 Order 26i SCG'!G26</f>
        <v>625.08100000000002</v>
      </c>
      <c r="H26" s="721" t="e">
        <f>F26-G26</f>
        <v>#REF!</v>
      </c>
    </row>
    <row r="27" spans="1:8" s="7" customFormat="1" ht="15" customHeight="1" x14ac:dyDescent="0.25">
      <c r="A27" s="728" t="s">
        <v>271</v>
      </c>
      <c r="B27" s="729"/>
      <c r="C27" s="729"/>
      <c r="D27" s="722" t="e">
        <f>SUM(D23:D26)</f>
        <v>#REF!</v>
      </c>
      <c r="E27" s="722"/>
      <c r="F27" s="722" t="e">
        <f>SUM(F23:F26)</f>
        <v>#REF!</v>
      </c>
      <c r="G27" s="722">
        <f>SUM(G23:G26)</f>
        <v>14570.075000000001</v>
      </c>
      <c r="H27" s="722" t="e">
        <f>SUM(H23:H26)</f>
        <v>#REF!</v>
      </c>
    </row>
    <row r="28" spans="1:8" ht="15" customHeight="1" x14ac:dyDescent="0.2">
      <c r="A28" s="730"/>
      <c r="B28" s="665"/>
      <c r="C28" s="665"/>
      <c r="D28" s="720"/>
      <c r="E28" s="720"/>
      <c r="F28" s="720"/>
      <c r="G28" s="721"/>
    </row>
    <row r="29" spans="1:8" ht="15" customHeight="1" thickBot="1" x14ac:dyDescent="0.25">
      <c r="A29" s="724" t="s">
        <v>277</v>
      </c>
      <c r="B29" s="713"/>
      <c r="C29" s="713"/>
      <c r="D29" s="731"/>
      <c r="E29" s="731"/>
      <c r="F29" s="731"/>
      <c r="G29" s="732"/>
      <c r="H29" s="732"/>
    </row>
    <row r="30" spans="1:8" ht="15" customHeight="1" x14ac:dyDescent="0.2">
      <c r="A30" s="13" t="s">
        <v>278</v>
      </c>
      <c r="B30" s="665"/>
      <c r="C30" s="665"/>
      <c r="D30" s="719">
        <f>'DN 10-10-03 Order 26i YGS '!D30+'DN 10-10-03 Order 26i CNG'!D30+'DN 10-10-03 Order 26i SCG'!D30</f>
        <v>0</v>
      </c>
      <c r="E30" s="719"/>
      <c r="F30" s="719">
        <f>'DN 10-10-03 Order 26i YGS '!F30+'DN 10-10-03 Order 26i CNG'!F30+'DN 10-10-03 Order 26i SCG'!F30</f>
        <v>207</v>
      </c>
      <c r="G30" s="719">
        <f>'DN 10-10-03 Order 26i YGS '!G30+'DN 10-10-03 Order 26i CNG'!G30+'DN 10-10-03 Order 26i SCG'!G30</f>
        <v>225</v>
      </c>
      <c r="H30" s="719">
        <f>F30-G30</f>
        <v>-18</v>
      </c>
    </row>
    <row r="31" spans="1:8" ht="15" customHeight="1" x14ac:dyDescent="0.2">
      <c r="A31" s="132" t="s">
        <v>279</v>
      </c>
      <c r="B31" s="665"/>
      <c r="C31" s="665"/>
      <c r="D31" s="719">
        <f>'DN 10-10-03 Order 26i YGS '!D31+'DN 10-10-03 Order 26i CNG'!D31+'DN 10-10-03 Order 26i SCG'!D31</f>
        <v>0</v>
      </c>
      <c r="E31" s="719"/>
      <c r="F31" s="719">
        <f>'DN 10-10-03 Order 26i YGS '!F31+'DN 10-10-03 Order 26i CNG'!F31+'DN 10-10-03 Order 26i SCG'!F31</f>
        <v>125</v>
      </c>
      <c r="G31" s="719">
        <f>'DN 10-10-03 Order 26i YGS '!G31+'DN 10-10-03 Order 26i CNG'!G31+'DN 10-10-03 Order 26i SCG'!G31</f>
        <v>405</v>
      </c>
      <c r="H31" s="721">
        <f>F31-G31</f>
        <v>-280</v>
      </c>
    </row>
    <row r="32" spans="1:8" ht="15" customHeight="1" x14ac:dyDescent="0.2">
      <c r="A32" s="132" t="s">
        <v>280</v>
      </c>
      <c r="B32" s="665"/>
      <c r="C32" s="665"/>
      <c r="D32" s="719">
        <f>'DN 10-10-03 Order 26i YGS '!D32+'DN 10-10-03 Order 26i CNG'!D32+'DN 10-10-03 Order 26i SCG'!D32</f>
        <v>0</v>
      </c>
      <c r="E32" s="719"/>
      <c r="F32" s="719">
        <f>'DN 10-10-03 Order 26i YGS '!F32+'DN 10-10-03 Order 26i CNG'!F32+'DN 10-10-03 Order 26i SCG'!F32</f>
        <v>104</v>
      </c>
      <c r="G32" s="719">
        <f>'DN 10-10-03 Order 26i YGS '!G32+'DN 10-10-03 Order 26i CNG'!G32+'DN 10-10-03 Order 26i SCG'!G32</f>
        <v>225</v>
      </c>
      <c r="H32" s="721">
        <f>F32-G32</f>
        <v>-121</v>
      </c>
    </row>
    <row r="33" spans="1:8" s="7" customFormat="1" ht="15" customHeight="1" x14ac:dyDescent="0.25">
      <c r="A33" s="728" t="s">
        <v>272</v>
      </c>
      <c r="B33" s="729"/>
      <c r="C33" s="729"/>
      <c r="D33" s="733">
        <f>SUM(D30:D32)</f>
        <v>0</v>
      </c>
      <c r="E33" s="733"/>
      <c r="F33" s="733">
        <f>SUM(F30:F32)</f>
        <v>436</v>
      </c>
      <c r="G33" s="733">
        <f>SUM(G30:G32)</f>
        <v>855</v>
      </c>
      <c r="H33" s="733">
        <f>SUM(H30:H32)</f>
        <v>-419</v>
      </c>
    </row>
    <row r="34" spans="1:8" ht="15" customHeight="1" x14ac:dyDescent="0.2">
      <c r="A34" s="734"/>
      <c r="B34" s="665"/>
      <c r="C34" s="665"/>
      <c r="D34" s="720"/>
      <c r="E34" s="720"/>
      <c r="F34" s="720"/>
      <c r="G34" s="721"/>
    </row>
    <row r="35" spans="1:8" ht="15" customHeight="1" thickBot="1" x14ac:dyDescent="0.25">
      <c r="A35" s="718" t="s">
        <v>24</v>
      </c>
      <c r="B35" s="713"/>
      <c r="C35" s="713"/>
      <c r="D35" s="725"/>
      <c r="E35" s="725"/>
      <c r="F35" s="725"/>
      <c r="G35" s="726"/>
      <c r="H35" s="726"/>
    </row>
    <row r="36" spans="1:8" ht="15" customHeight="1" x14ac:dyDescent="0.2">
      <c r="A36" s="34" t="s">
        <v>330</v>
      </c>
      <c r="B36" s="665"/>
      <c r="C36" s="665"/>
      <c r="D36" s="719">
        <f>'DN 10-10-03 Order 26i YGS '!D36+'DN 10-10-03 Order 26i CNG'!D36+'DN 10-10-03 Order 26i SCG'!D36</f>
        <v>194</v>
      </c>
      <c r="E36" s="719"/>
      <c r="F36" s="719">
        <f>'DN 10-10-03 Order 26i YGS '!F36+'DN 10-10-03 Order 26i CNG'!F36+'DN 10-10-03 Order 26i SCG'!F36</f>
        <v>335</v>
      </c>
      <c r="G36" s="719">
        <f>'DN 10-10-03 Order 26i YGS '!G36+'DN 10-10-03 Order 26i CNG'!G36+'DN 10-10-03 Order 26i SCG'!G36</f>
        <v>0</v>
      </c>
      <c r="H36" s="719">
        <f>F36-G36</f>
        <v>335</v>
      </c>
    </row>
    <row r="37" spans="1:8" ht="15" customHeight="1" x14ac:dyDescent="0.2">
      <c r="A37" s="180" t="s">
        <v>273</v>
      </c>
      <c r="B37" s="665"/>
      <c r="C37" s="665"/>
      <c r="D37" s="719">
        <f>'DN 10-10-03 Order 26i YGS '!D37+'DN 10-10-03 Order 26i CNG'!D37+'DN 10-10-03 Order 26i SCG'!D37</f>
        <v>0</v>
      </c>
      <c r="E37" s="719"/>
      <c r="F37" s="719">
        <f>'DN 10-10-03 Order 26i YGS '!F37+'DN 10-10-03 Order 26i CNG'!F37+'DN 10-10-03 Order 26i SCG'!F37</f>
        <v>125</v>
      </c>
      <c r="G37" s="719">
        <f>'DN 10-10-03 Order 26i YGS '!G37+'DN 10-10-03 Order 26i CNG'!G37+'DN 10-10-03 Order 26i SCG'!G37</f>
        <v>142.5</v>
      </c>
      <c r="H37" s="721">
        <f>F37-G37</f>
        <v>-17.5</v>
      </c>
    </row>
    <row r="38" spans="1:8" ht="15" customHeight="1" x14ac:dyDescent="0.2">
      <c r="A38" s="180" t="s">
        <v>281</v>
      </c>
      <c r="B38" s="665"/>
      <c r="C38" s="665"/>
      <c r="D38" s="719">
        <f>'DN 10-10-03 Order 26i YGS '!D38+'DN 10-10-03 Order 26i CNG'!D38+'DN 10-10-03 Order 26i SCG'!D38</f>
        <v>46.556170000000002</v>
      </c>
      <c r="E38" s="719"/>
      <c r="F38" s="719">
        <f>'DN 10-10-03 Order 26i YGS '!F38+'DN 10-10-03 Order 26i CNG'!F38+'DN 10-10-03 Order 26i SCG'!F38</f>
        <v>190.70959999999999</v>
      </c>
      <c r="G38" s="719">
        <f>'DN 10-10-03 Order 26i YGS '!G38+'DN 10-10-03 Order 26i CNG'!G38+'DN 10-10-03 Order 26i SCG'!G38</f>
        <v>242.5</v>
      </c>
      <c r="H38" s="721">
        <f>F38-G38</f>
        <v>-51.790400000000005</v>
      </c>
    </row>
    <row r="39" spans="1:8" ht="15" customHeight="1" x14ac:dyDescent="0.2">
      <c r="A39" s="180" t="s">
        <v>282</v>
      </c>
      <c r="B39" s="665"/>
      <c r="C39" s="665"/>
      <c r="D39" s="719">
        <f>'DN 10-10-03 Order 26i YGS '!D39+'DN 10-10-03 Order 26i CNG'!D39+'DN 10-10-03 Order 26i SCG'!D39</f>
        <v>89.79131000000001</v>
      </c>
      <c r="E39" s="719"/>
      <c r="F39" s="719">
        <f>'DN 10-10-03 Order 26i YGS '!F39+'DN 10-10-03 Order 26i CNG'!F39+'DN 10-10-03 Order 26i SCG'!F39</f>
        <v>538.72356000000002</v>
      </c>
      <c r="G39" s="719">
        <f>'DN 10-10-03 Order 26i YGS '!G39+'DN 10-10-03 Order 26i CNG'!G39+'DN 10-10-03 Order 26i SCG'!G39</f>
        <v>1201</v>
      </c>
      <c r="H39" s="721">
        <f>F39-G39</f>
        <v>-662.27643999999998</v>
      </c>
    </row>
    <row r="40" spans="1:8" ht="15" customHeight="1" x14ac:dyDescent="0.2">
      <c r="A40" s="13" t="s">
        <v>284</v>
      </c>
      <c r="B40" s="665"/>
      <c r="C40" s="665"/>
      <c r="D40" s="719">
        <f>'DN 10-10-03 Order 26i YGS '!D40+'DN 10-10-03 Order 26i CNG'!D40+'DN 10-10-03 Order 26i SCG'!D40</f>
        <v>23.685949999999998</v>
      </c>
      <c r="E40" s="719"/>
      <c r="F40" s="719">
        <f>'DN 10-10-03 Order 26i YGS '!F40+'DN 10-10-03 Order 26i CNG'!F40+'DN 10-10-03 Order 26i SCG'!F40</f>
        <v>70.41771</v>
      </c>
      <c r="G40" s="719">
        <f>'DN 10-10-03 Order 26i YGS '!G40+'DN 10-10-03 Order 26i CNG'!G40+'DN 10-10-03 Order 26i SCG'!G40</f>
        <v>74.75</v>
      </c>
      <c r="H40" s="721">
        <f>F40-G40</f>
        <v>-4.3322900000000004</v>
      </c>
    </row>
    <row r="41" spans="1:8" s="7" customFormat="1" ht="15" customHeight="1" x14ac:dyDescent="0.25">
      <c r="A41" s="728" t="s">
        <v>274</v>
      </c>
      <c r="B41" s="729"/>
      <c r="C41" s="729"/>
      <c r="D41" s="733">
        <f>SUM(D36:D40)</f>
        <v>354.03343000000001</v>
      </c>
      <c r="E41" s="733"/>
      <c r="F41" s="733">
        <f>SUM(F36:F40)</f>
        <v>1259.85087</v>
      </c>
      <c r="G41" s="733">
        <f>SUM(G36:G40)</f>
        <v>1660.75</v>
      </c>
      <c r="H41" s="733">
        <f>SUM(H36:H40)</f>
        <v>-400.89912999999996</v>
      </c>
    </row>
    <row r="42" spans="1:8" ht="15" customHeight="1" thickBot="1" x14ac:dyDescent="0.25">
      <c r="A42" s="735"/>
      <c r="B42" s="713"/>
      <c r="C42" s="713"/>
      <c r="D42" s="731"/>
      <c r="E42" s="731"/>
      <c r="F42" s="731"/>
      <c r="G42" s="731"/>
      <c r="H42" s="725"/>
    </row>
    <row r="43" spans="1:8" s="7" customFormat="1" ht="18" customHeight="1" thickBot="1" x14ac:dyDescent="0.3">
      <c r="A43" s="718" t="s">
        <v>0</v>
      </c>
      <c r="B43" s="736"/>
      <c r="C43" s="736"/>
      <c r="D43" s="737" t="e">
        <f>D20+D27+D33+D41</f>
        <v>#REF!</v>
      </c>
      <c r="E43" s="737"/>
      <c r="F43" s="737" t="e">
        <f>F20+F27+F33+F41</f>
        <v>#REF!</v>
      </c>
      <c r="G43" s="737">
        <f>G20+G27+G33+G41</f>
        <v>34203.184000000001</v>
      </c>
      <c r="H43" s="737" t="e">
        <f>H20+H27+H33+H41</f>
        <v>#REF!</v>
      </c>
    </row>
    <row r="44" spans="1:8" ht="15" customHeight="1" x14ac:dyDescent="0.2">
      <c r="A44" s="730"/>
      <c r="B44" s="665"/>
      <c r="C44" s="665"/>
      <c r="D44" s="720"/>
      <c r="E44" s="720"/>
      <c r="F44" s="720"/>
      <c r="G44" s="720"/>
      <c r="H44" s="720"/>
    </row>
    <row r="45" spans="1:8" ht="15" customHeight="1" x14ac:dyDescent="0.2">
      <c r="A45" s="730"/>
      <c r="B45" s="665"/>
      <c r="C45" s="665"/>
      <c r="D45" s="720"/>
      <c r="E45" s="720"/>
      <c r="F45" s="720"/>
      <c r="G45" s="720"/>
      <c r="H45" s="720"/>
    </row>
    <row r="46" spans="1:8" x14ac:dyDescent="0.2">
      <c r="A46" s="13"/>
      <c r="B46" s="13"/>
      <c r="C46" s="13"/>
      <c r="D46" s="738"/>
      <c r="E46" s="738"/>
      <c r="F46" s="738"/>
      <c r="G46" s="738"/>
      <c r="H46" s="738"/>
    </row>
    <row r="47" spans="1:8" x14ac:dyDescent="0.2">
      <c r="A47" s="739"/>
      <c r="B47" s="13"/>
      <c r="C47" s="13"/>
      <c r="D47" s="738"/>
      <c r="E47" s="738"/>
      <c r="F47" s="738"/>
      <c r="G47" s="738"/>
      <c r="H47" s="738"/>
    </row>
    <row r="48" spans="1:8" x14ac:dyDescent="0.2">
      <c r="A48" s="13"/>
      <c r="B48" s="13"/>
      <c r="C48" s="13"/>
      <c r="D48" s="738"/>
      <c r="E48" s="738"/>
      <c r="F48" s="738"/>
      <c r="G48" s="738"/>
      <c r="H48" s="738"/>
    </row>
    <row r="49" spans="1:8" x14ac:dyDescent="0.2">
      <c r="A49" s="244"/>
      <c r="B49" s="13"/>
      <c r="C49" s="13"/>
      <c r="D49" s="738"/>
      <c r="E49" s="738"/>
      <c r="F49" s="738"/>
      <c r="G49" s="738"/>
      <c r="H49" s="738"/>
    </row>
    <row r="50" spans="1:8" x14ac:dyDescent="0.2">
      <c r="A50" s="244"/>
      <c r="B50" s="13"/>
      <c r="C50" s="13"/>
      <c r="D50" s="738"/>
      <c r="E50" s="738"/>
      <c r="F50" s="738"/>
      <c r="G50" s="738"/>
      <c r="H50" s="738"/>
    </row>
    <row r="51" spans="1:8" x14ac:dyDescent="0.2">
      <c r="A51" s="13"/>
      <c r="B51" s="13"/>
      <c r="C51" s="13"/>
      <c r="D51" s="738"/>
      <c r="E51" s="738"/>
      <c r="F51" s="738"/>
      <c r="G51" s="738"/>
      <c r="H51" s="738"/>
    </row>
    <row r="52" spans="1:8" x14ac:dyDescent="0.2">
      <c r="A52" s="13"/>
      <c r="B52" s="13"/>
      <c r="C52" s="13"/>
      <c r="D52" s="738"/>
      <c r="E52" s="738"/>
      <c r="F52" s="738"/>
      <c r="G52" s="738"/>
      <c r="H52" s="738"/>
    </row>
    <row r="53" spans="1:8" x14ac:dyDescent="0.2">
      <c r="A53" s="13"/>
      <c r="B53" s="13"/>
      <c r="C53" s="13"/>
      <c r="D53" s="738"/>
      <c r="E53" s="738"/>
      <c r="F53" s="738"/>
      <c r="G53" s="738"/>
      <c r="H53" s="738"/>
    </row>
    <row r="54" spans="1:8" x14ac:dyDescent="0.2">
      <c r="A54" s="13"/>
      <c r="B54" s="13"/>
      <c r="C54" s="13"/>
      <c r="D54" s="738"/>
      <c r="E54" s="738"/>
      <c r="F54" s="738"/>
      <c r="G54" s="738"/>
      <c r="H54" s="738"/>
    </row>
    <row r="55" spans="1:8" x14ac:dyDescent="0.2">
      <c r="A55" s="13"/>
      <c r="B55" s="13"/>
      <c r="C55" s="13"/>
      <c r="D55" s="738"/>
      <c r="E55" s="738"/>
      <c r="F55" s="738"/>
      <c r="G55" s="738"/>
      <c r="H55" s="738"/>
    </row>
    <row r="56" spans="1:8" x14ac:dyDescent="0.2">
      <c r="A56" s="13"/>
      <c r="B56" s="13"/>
      <c r="C56" s="13"/>
      <c r="D56" s="738"/>
      <c r="E56" s="738"/>
      <c r="F56" s="738"/>
      <c r="G56" s="738"/>
      <c r="H56" s="738"/>
    </row>
    <row r="57" spans="1:8" x14ac:dyDescent="0.2">
      <c r="A57" s="13"/>
      <c r="B57" s="13"/>
      <c r="C57" s="13"/>
      <c r="D57" s="738"/>
      <c r="E57" s="738"/>
      <c r="F57" s="738"/>
      <c r="G57" s="738"/>
      <c r="H57" s="738"/>
    </row>
    <row r="58" spans="1:8" x14ac:dyDescent="0.2">
      <c r="A58" s="13"/>
      <c r="B58" s="13"/>
      <c r="C58" s="13"/>
      <c r="D58" s="738"/>
      <c r="E58" s="738"/>
      <c r="F58" s="738"/>
      <c r="G58" s="738"/>
      <c r="H58" s="738"/>
    </row>
    <row r="59" spans="1:8" x14ac:dyDescent="0.2">
      <c r="A59" s="13"/>
      <c r="B59" s="13"/>
      <c r="C59" s="13"/>
      <c r="D59" s="738"/>
      <c r="E59" s="738"/>
      <c r="F59" s="738"/>
      <c r="G59" s="738"/>
      <c r="H59" s="738"/>
    </row>
    <row r="60" spans="1:8" x14ac:dyDescent="0.2">
      <c r="A60" s="13"/>
      <c r="B60" s="13"/>
      <c r="C60" s="13"/>
      <c r="D60" s="738"/>
      <c r="E60" s="738"/>
      <c r="F60" s="738"/>
      <c r="G60" s="738"/>
      <c r="H60" s="738"/>
    </row>
    <row r="61" spans="1:8" x14ac:dyDescent="0.2">
      <c r="A61" s="13"/>
      <c r="B61" s="13"/>
      <c r="C61" s="13"/>
      <c r="D61" s="738"/>
      <c r="E61" s="738"/>
      <c r="F61" s="738"/>
      <c r="G61" s="738"/>
      <c r="H61" s="738"/>
    </row>
    <row r="62" spans="1:8" x14ac:dyDescent="0.2">
      <c r="A62" s="13"/>
      <c r="B62" s="13"/>
      <c r="C62" s="13"/>
      <c r="D62" s="738"/>
      <c r="E62" s="738"/>
      <c r="F62" s="738"/>
      <c r="G62" s="738"/>
      <c r="H62" s="738"/>
    </row>
    <row r="63" spans="1:8" x14ac:dyDescent="0.2">
      <c r="A63" s="13"/>
      <c r="B63" s="13"/>
      <c r="C63" s="13"/>
      <c r="D63" s="738"/>
      <c r="E63" s="738"/>
      <c r="F63" s="738"/>
      <c r="G63" s="738"/>
      <c r="H63" s="738"/>
    </row>
    <row r="64" spans="1:8" x14ac:dyDescent="0.2">
      <c r="A64" s="13"/>
      <c r="B64" s="13"/>
      <c r="C64" s="13"/>
      <c r="D64" s="738"/>
      <c r="E64" s="738"/>
      <c r="F64" s="738"/>
      <c r="G64" s="738"/>
      <c r="H64" s="738"/>
    </row>
    <row r="65" spans="1:8" x14ac:dyDescent="0.2">
      <c r="A65" s="13"/>
      <c r="B65" s="13"/>
      <c r="C65" s="13"/>
      <c r="D65" s="738"/>
      <c r="E65" s="738"/>
      <c r="F65" s="738"/>
      <c r="G65" s="738"/>
      <c r="H65" s="738"/>
    </row>
    <row r="66" spans="1:8" x14ac:dyDescent="0.2">
      <c r="A66" s="13"/>
      <c r="B66" s="13"/>
      <c r="C66" s="13"/>
      <c r="D66" s="738"/>
      <c r="E66" s="738"/>
      <c r="F66" s="738"/>
      <c r="G66" s="738"/>
      <c r="H66" s="738"/>
    </row>
    <row r="67" spans="1:8" x14ac:dyDescent="0.2">
      <c r="A67" s="13"/>
      <c r="B67" s="13"/>
      <c r="C67" s="13"/>
      <c r="D67" s="738"/>
      <c r="E67" s="738"/>
      <c r="F67" s="738"/>
      <c r="G67" s="738"/>
      <c r="H67" s="738"/>
    </row>
    <row r="68" spans="1:8" x14ac:dyDescent="0.2">
      <c r="A68" s="13"/>
      <c r="B68" s="13"/>
      <c r="C68" s="13"/>
      <c r="D68" s="738"/>
      <c r="E68" s="738"/>
      <c r="F68" s="738"/>
      <c r="G68" s="738"/>
      <c r="H68" s="738"/>
    </row>
    <row r="69" spans="1:8" x14ac:dyDescent="0.2">
      <c r="A69" s="13"/>
      <c r="B69" s="13"/>
      <c r="C69" s="13"/>
      <c r="D69" s="738"/>
      <c r="E69" s="738"/>
      <c r="F69" s="738"/>
      <c r="G69" s="738"/>
      <c r="H69" s="738"/>
    </row>
    <row r="70" spans="1:8" x14ac:dyDescent="0.2">
      <c r="A70" s="13"/>
      <c r="B70" s="13"/>
      <c r="C70" s="13"/>
      <c r="D70" s="738"/>
      <c r="E70" s="738"/>
      <c r="F70" s="738"/>
      <c r="G70" s="738"/>
      <c r="H70" s="738"/>
    </row>
    <row r="71" spans="1:8" x14ac:dyDescent="0.2">
      <c r="A71" s="13"/>
      <c r="B71" s="13"/>
      <c r="C71" s="13"/>
      <c r="D71" s="738"/>
      <c r="E71" s="738"/>
      <c r="F71" s="738"/>
      <c r="G71" s="738"/>
      <c r="H71" s="738"/>
    </row>
    <row r="72" spans="1:8" x14ac:dyDescent="0.2">
      <c r="A72" s="13"/>
      <c r="B72" s="13"/>
      <c r="C72" s="13"/>
      <c r="D72" s="738"/>
      <c r="E72" s="738"/>
      <c r="F72" s="738"/>
      <c r="G72" s="738"/>
      <c r="H72" s="738"/>
    </row>
    <row r="73" spans="1:8" x14ac:dyDescent="0.2">
      <c r="A73" s="13"/>
      <c r="B73" s="13"/>
      <c r="C73" s="13"/>
      <c r="D73" s="738"/>
      <c r="E73" s="738"/>
      <c r="F73" s="738"/>
      <c r="G73" s="738"/>
      <c r="H73" s="738"/>
    </row>
    <row r="74" spans="1:8" x14ac:dyDescent="0.2">
      <c r="A74" s="13"/>
      <c r="B74" s="13"/>
      <c r="C74" s="13"/>
      <c r="D74" s="738"/>
      <c r="E74" s="738"/>
      <c r="F74" s="738"/>
      <c r="G74" s="738"/>
      <c r="H74" s="738"/>
    </row>
    <row r="75" spans="1:8" x14ac:dyDescent="0.2">
      <c r="A75" s="13"/>
      <c r="B75" s="13"/>
      <c r="C75" s="13"/>
      <c r="D75" s="738"/>
      <c r="E75" s="738"/>
      <c r="F75" s="738"/>
      <c r="G75" s="738"/>
      <c r="H75" s="738"/>
    </row>
    <row r="76" spans="1:8" x14ac:dyDescent="0.2">
      <c r="A76" s="13"/>
      <c r="B76" s="13"/>
      <c r="C76" s="13"/>
      <c r="D76" s="738"/>
      <c r="E76" s="738"/>
      <c r="F76" s="738"/>
      <c r="G76" s="738"/>
      <c r="H76" s="738"/>
    </row>
    <row r="77" spans="1:8" x14ac:dyDescent="0.2">
      <c r="A77" s="13"/>
      <c r="B77" s="13"/>
      <c r="C77" s="13"/>
      <c r="D77" s="738"/>
      <c r="E77" s="738"/>
      <c r="F77" s="738"/>
      <c r="G77" s="738"/>
      <c r="H77" s="738"/>
    </row>
    <row r="78" spans="1:8" x14ac:dyDescent="0.2">
      <c r="A78" s="13"/>
      <c r="B78" s="13"/>
      <c r="C78" s="13"/>
      <c r="D78" s="738"/>
      <c r="E78" s="738"/>
      <c r="F78" s="738"/>
      <c r="G78" s="738"/>
      <c r="H78" s="738"/>
    </row>
    <row r="79" spans="1:8" x14ac:dyDescent="0.2">
      <c r="A79" s="13"/>
      <c r="B79" s="13"/>
      <c r="C79" s="13"/>
      <c r="D79" s="738"/>
      <c r="E79" s="738"/>
      <c r="F79" s="738"/>
      <c r="G79" s="738"/>
      <c r="H79" s="738"/>
    </row>
    <row r="80" spans="1:8" x14ac:dyDescent="0.2">
      <c r="A80" s="13"/>
      <c r="B80" s="13"/>
      <c r="C80" s="13"/>
      <c r="D80" s="738"/>
      <c r="E80" s="738"/>
      <c r="F80" s="738"/>
      <c r="G80" s="738"/>
      <c r="H80" s="738"/>
    </row>
    <row r="81" spans="1:8" x14ac:dyDescent="0.2">
      <c r="A81" s="13"/>
      <c r="B81" s="13"/>
      <c r="C81" s="13"/>
      <c r="D81" s="738"/>
      <c r="E81" s="738"/>
      <c r="F81" s="738"/>
      <c r="G81" s="738"/>
      <c r="H81" s="738"/>
    </row>
    <row r="82" spans="1:8" x14ac:dyDescent="0.2">
      <c r="A82" s="13"/>
      <c r="B82" s="13"/>
      <c r="C82" s="13"/>
      <c r="D82" s="738"/>
      <c r="E82" s="738"/>
      <c r="F82" s="738"/>
      <c r="G82" s="738"/>
      <c r="H82" s="738"/>
    </row>
    <row r="83" spans="1:8" x14ac:dyDescent="0.2">
      <c r="A83" s="13"/>
      <c r="B83" s="13"/>
      <c r="C83" s="13"/>
      <c r="D83" s="738"/>
      <c r="E83" s="738"/>
      <c r="F83" s="738"/>
      <c r="G83" s="738"/>
      <c r="H83" s="738"/>
    </row>
    <row r="84" spans="1:8" x14ac:dyDescent="0.2">
      <c r="A84" s="13"/>
      <c r="B84" s="13"/>
      <c r="C84" s="13"/>
      <c r="D84" s="738"/>
      <c r="E84" s="738"/>
      <c r="F84" s="738"/>
      <c r="G84" s="738"/>
      <c r="H84" s="738"/>
    </row>
    <row r="85" spans="1:8" x14ac:dyDescent="0.2">
      <c r="A85" s="13"/>
      <c r="B85" s="13"/>
      <c r="C85" s="13"/>
      <c r="D85" s="738"/>
      <c r="E85" s="738"/>
      <c r="F85" s="738"/>
      <c r="G85" s="738"/>
      <c r="H85" s="738"/>
    </row>
    <row r="86" spans="1:8" x14ac:dyDescent="0.2">
      <c r="A86" s="13"/>
      <c r="B86" s="13"/>
      <c r="C86" s="13"/>
      <c r="D86" s="738"/>
      <c r="E86" s="738"/>
      <c r="F86" s="738"/>
      <c r="G86" s="738"/>
      <c r="H86" s="738"/>
    </row>
    <row r="87" spans="1:8" x14ac:dyDescent="0.2">
      <c r="A87" s="13"/>
      <c r="B87" s="13"/>
      <c r="C87" s="13"/>
      <c r="D87" s="738"/>
      <c r="E87" s="738"/>
      <c r="F87" s="738"/>
      <c r="G87" s="738"/>
      <c r="H87" s="738"/>
    </row>
    <row r="88" spans="1:8" x14ac:dyDescent="0.2">
      <c r="A88" s="13"/>
      <c r="B88" s="13"/>
      <c r="C88" s="13"/>
      <c r="D88" s="738"/>
      <c r="E88" s="738"/>
      <c r="F88" s="738"/>
      <c r="G88" s="738"/>
      <c r="H88" s="738"/>
    </row>
    <row r="89" spans="1:8" x14ac:dyDescent="0.2">
      <c r="A89" s="13"/>
      <c r="B89" s="13"/>
      <c r="C89" s="13"/>
      <c r="D89" s="738"/>
      <c r="E89" s="738"/>
      <c r="F89" s="738"/>
      <c r="G89" s="738"/>
      <c r="H89" s="738"/>
    </row>
    <row r="90" spans="1:8" x14ac:dyDescent="0.2">
      <c r="A90" s="13"/>
      <c r="B90" s="13"/>
      <c r="C90" s="13"/>
      <c r="D90" s="738"/>
      <c r="E90" s="738"/>
      <c r="F90" s="738"/>
      <c r="G90" s="738"/>
      <c r="H90" s="738"/>
    </row>
    <row r="91" spans="1:8" x14ac:dyDescent="0.2">
      <c r="A91" s="13"/>
      <c r="B91" s="13"/>
      <c r="C91" s="13"/>
      <c r="D91" s="738"/>
      <c r="E91" s="738"/>
      <c r="F91" s="738"/>
      <c r="G91" s="738"/>
      <c r="H91" s="738"/>
    </row>
    <row r="92" spans="1:8" x14ac:dyDescent="0.2">
      <c r="A92" s="13"/>
      <c r="B92" s="13"/>
      <c r="C92" s="13"/>
      <c r="D92" s="738"/>
      <c r="E92" s="738"/>
      <c r="F92" s="738"/>
      <c r="G92" s="738"/>
      <c r="H92" s="738"/>
    </row>
    <row r="93" spans="1:8" x14ac:dyDescent="0.2">
      <c r="A93" s="13"/>
      <c r="B93" s="13"/>
      <c r="C93" s="13"/>
      <c r="D93" s="738"/>
      <c r="E93" s="738"/>
      <c r="F93" s="738"/>
      <c r="G93" s="738"/>
      <c r="H93" s="738"/>
    </row>
    <row r="94" spans="1:8" x14ac:dyDescent="0.2">
      <c r="A94" s="13"/>
      <c r="B94" s="13"/>
      <c r="C94" s="13"/>
      <c r="D94" s="738"/>
      <c r="E94" s="738"/>
      <c r="F94" s="738"/>
      <c r="G94" s="738"/>
      <c r="H94" s="738"/>
    </row>
    <row r="95" spans="1:8" x14ac:dyDescent="0.2">
      <c r="A95" s="13"/>
      <c r="B95" s="13"/>
      <c r="C95" s="13"/>
      <c r="D95" s="738"/>
      <c r="E95" s="738"/>
      <c r="F95" s="738"/>
      <c r="G95" s="738"/>
      <c r="H95" s="738"/>
    </row>
    <row r="96" spans="1:8" x14ac:dyDescent="0.2">
      <c r="A96" s="13"/>
      <c r="B96" s="13"/>
      <c r="C96" s="13"/>
      <c r="D96" s="738"/>
      <c r="E96" s="738"/>
      <c r="F96" s="738"/>
      <c r="G96" s="738"/>
      <c r="H96" s="738"/>
    </row>
    <row r="97" spans="1:8" x14ac:dyDescent="0.2">
      <c r="A97" s="13"/>
      <c r="B97" s="13"/>
      <c r="C97" s="13"/>
      <c r="D97" s="738"/>
      <c r="E97" s="738"/>
      <c r="F97" s="738"/>
      <c r="G97" s="738"/>
      <c r="H97" s="738"/>
    </row>
    <row r="98" spans="1:8" x14ac:dyDescent="0.2">
      <c r="A98" s="13"/>
      <c r="B98" s="13"/>
      <c r="C98" s="13"/>
      <c r="D98" s="738"/>
      <c r="E98" s="738"/>
      <c r="F98" s="738"/>
      <c r="G98" s="738"/>
      <c r="H98" s="738"/>
    </row>
    <row r="99" spans="1:8" x14ac:dyDescent="0.2">
      <c r="A99" s="13"/>
      <c r="B99" s="13"/>
      <c r="C99" s="13"/>
      <c r="D99" s="738"/>
      <c r="E99" s="738"/>
      <c r="F99" s="738"/>
      <c r="G99" s="738"/>
      <c r="H99" s="738"/>
    </row>
    <row r="100" spans="1:8" x14ac:dyDescent="0.2">
      <c r="A100" s="13"/>
      <c r="B100" s="13"/>
      <c r="C100" s="13"/>
      <c r="D100" s="738"/>
      <c r="E100" s="738"/>
      <c r="F100" s="738"/>
      <c r="G100" s="738"/>
      <c r="H100" s="738"/>
    </row>
    <row r="101" spans="1:8" x14ac:dyDescent="0.2">
      <c r="A101" s="13"/>
      <c r="B101" s="13"/>
      <c r="C101" s="13"/>
      <c r="D101" s="738"/>
      <c r="E101" s="738"/>
      <c r="F101" s="738"/>
      <c r="G101" s="738"/>
      <c r="H101" s="738"/>
    </row>
    <row r="102" spans="1:8" x14ac:dyDescent="0.2">
      <c r="A102" s="13"/>
      <c r="B102" s="13"/>
      <c r="C102" s="13"/>
      <c r="D102" s="738"/>
      <c r="E102" s="738"/>
      <c r="F102" s="738"/>
      <c r="G102" s="738"/>
      <c r="H102" s="738"/>
    </row>
    <row r="103" spans="1:8" x14ac:dyDescent="0.2">
      <c r="A103" s="13"/>
      <c r="B103" s="13"/>
      <c r="C103" s="13"/>
      <c r="D103" s="738"/>
      <c r="E103" s="738"/>
      <c r="F103" s="738"/>
      <c r="G103" s="738"/>
      <c r="H103" s="738"/>
    </row>
    <row r="104" spans="1:8" x14ac:dyDescent="0.2">
      <c r="A104" s="13"/>
      <c r="B104" s="13"/>
      <c r="C104" s="13"/>
      <c r="D104" s="738"/>
      <c r="E104" s="738"/>
      <c r="F104" s="738"/>
      <c r="G104" s="738"/>
      <c r="H104" s="738"/>
    </row>
    <row r="105" spans="1:8" x14ac:dyDescent="0.2">
      <c r="A105" s="13"/>
      <c r="B105" s="13"/>
      <c r="C105" s="13"/>
      <c r="D105" s="738"/>
      <c r="E105" s="738"/>
      <c r="F105" s="738"/>
      <c r="G105" s="738"/>
      <c r="H105" s="738"/>
    </row>
    <row r="106" spans="1:8" x14ac:dyDescent="0.2">
      <c r="A106" s="13"/>
      <c r="B106" s="13"/>
      <c r="C106" s="13"/>
      <c r="D106" s="738"/>
      <c r="E106" s="738"/>
      <c r="F106" s="738"/>
      <c r="G106" s="738"/>
      <c r="H106" s="738"/>
    </row>
    <row r="107" spans="1:8" x14ac:dyDescent="0.2">
      <c r="A107" s="13"/>
      <c r="B107" s="13"/>
      <c r="C107" s="13"/>
      <c r="D107" s="738"/>
      <c r="E107" s="738"/>
      <c r="F107" s="738"/>
      <c r="G107" s="738"/>
      <c r="H107" s="738"/>
    </row>
    <row r="108" spans="1:8" x14ac:dyDescent="0.2">
      <c r="A108" s="13"/>
      <c r="B108" s="13"/>
      <c r="C108" s="13"/>
      <c r="D108" s="738"/>
      <c r="E108" s="738"/>
      <c r="F108" s="738"/>
      <c r="G108" s="738"/>
      <c r="H108" s="738"/>
    </row>
    <row r="109" spans="1:8" x14ac:dyDescent="0.2">
      <c r="A109" s="13"/>
      <c r="B109" s="13"/>
      <c r="C109" s="13"/>
      <c r="D109" s="738"/>
      <c r="E109" s="738"/>
      <c r="F109" s="738"/>
      <c r="G109" s="738"/>
      <c r="H109" s="738"/>
    </row>
    <row r="110" spans="1:8" x14ac:dyDescent="0.2">
      <c r="A110" s="13"/>
      <c r="B110" s="13"/>
      <c r="C110" s="13"/>
      <c r="D110" s="738"/>
      <c r="E110" s="738"/>
      <c r="F110" s="738"/>
      <c r="G110" s="738"/>
      <c r="H110" s="738"/>
    </row>
    <row r="111" spans="1:8" x14ac:dyDescent="0.2">
      <c r="A111" s="13"/>
      <c r="B111" s="13"/>
      <c r="C111" s="13"/>
      <c r="D111" s="738"/>
      <c r="E111" s="738"/>
      <c r="F111" s="738"/>
      <c r="G111" s="738"/>
      <c r="H111" s="738"/>
    </row>
    <row r="112" spans="1:8" x14ac:dyDescent="0.2">
      <c r="A112" s="13"/>
      <c r="B112" s="13"/>
      <c r="C112" s="13"/>
      <c r="D112" s="738"/>
      <c r="E112" s="738"/>
      <c r="F112" s="738"/>
      <c r="G112" s="738"/>
      <c r="H112" s="738"/>
    </row>
    <row r="113" spans="1:8" x14ac:dyDescent="0.2">
      <c r="A113" s="13"/>
      <c r="B113" s="13"/>
      <c r="C113" s="13"/>
      <c r="D113" s="738"/>
      <c r="E113" s="738"/>
      <c r="F113" s="738"/>
      <c r="G113" s="738"/>
      <c r="H113" s="738"/>
    </row>
    <row r="114" spans="1:8" x14ac:dyDescent="0.2">
      <c r="A114" s="13"/>
      <c r="B114" s="13"/>
      <c r="C114" s="13"/>
      <c r="D114" s="738"/>
      <c r="E114" s="738"/>
      <c r="F114" s="738"/>
      <c r="G114" s="738"/>
      <c r="H114" s="738"/>
    </row>
    <row r="115" spans="1:8" x14ac:dyDescent="0.2">
      <c r="A115" s="13"/>
      <c r="B115" s="13"/>
      <c r="C115" s="13"/>
      <c r="D115" s="738"/>
      <c r="E115" s="738"/>
      <c r="F115" s="738"/>
      <c r="G115" s="738"/>
      <c r="H115" s="738"/>
    </row>
    <row r="116" spans="1:8" x14ac:dyDescent="0.2">
      <c r="A116" s="13"/>
      <c r="B116" s="13"/>
      <c r="C116" s="13"/>
      <c r="D116" s="738"/>
      <c r="E116" s="738"/>
      <c r="F116" s="738"/>
      <c r="G116" s="738"/>
      <c r="H116" s="738"/>
    </row>
    <row r="117" spans="1:8" x14ac:dyDescent="0.2">
      <c r="A117" s="13"/>
      <c r="B117" s="13"/>
      <c r="C117" s="13"/>
      <c r="D117" s="738"/>
      <c r="E117" s="738"/>
      <c r="F117" s="738"/>
      <c r="G117" s="738"/>
      <c r="H117" s="738"/>
    </row>
    <row r="118" spans="1:8" x14ac:dyDescent="0.2">
      <c r="A118" s="13"/>
      <c r="B118" s="13"/>
      <c r="C118" s="13"/>
      <c r="D118" s="738"/>
      <c r="E118" s="738"/>
      <c r="F118" s="738"/>
      <c r="G118" s="738"/>
      <c r="H118" s="738"/>
    </row>
    <row r="119" spans="1:8" x14ac:dyDescent="0.2">
      <c r="A119" s="13"/>
      <c r="B119" s="13"/>
      <c r="C119" s="13"/>
      <c r="D119" s="738"/>
      <c r="E119" s="738"/>
      <c r="F119" s="738"/>
      <c r="G119" s="738"/>
      <c r="H119" s="738"/>
    </row>
    <row r="120" spans="1:8" x14ac:dyDescent="0.2">
      <c r="A120" s="13"/>
      <c r="B120" s="13"/>
      <c r="C120" s="13"/>
      <c r="D120" s="738"/>
      <c r="E120" s="738"/>
      <c r="F120" s="738"/>
      <c r="G120" s="738"/>
      <c r="H120" s="738"/>
    </row>
    <row r="121" spans="1:8" x14ac:dyDescent="0.2">
      <c r="A121" s="13"/>
      <c r="B121" s="13"/>
      <c r="C121" s="13"/>
      <c r="D121" s="738"/>
      <c r="E121" s="738"/>
      <c r="F121" s="738"/>
      <c r="G121" s="738"/>
      <c r="H121" s="738"/>
    </row>
    <row r="122" spans="1:8" x14ac:dyDescent="0.2">
      <c r="A122" s="13"/>
      <c r="B122" s="13"/>
      <c r="C122" s="13"/>
      <c r="D122" s="738"/>
      <c r="E122" s="738"/>
      <c r="F122" s="738"/>
      <c r="G122" s="738"/>
      <c r="H122" s="738"/>
    </row>
    <row r="123" spans="1:8" x14ac:dyDescent="0.2">
      <c r="A123" s="13"/>
      <c r="B123" s="13"/>
      <c r="C123" s="13"/>
      <c r="D123" s="738"/>
      <c r="E123" s="738"/>
      <c r="F123" s="738"/>
      <c r="G123" s="738"/>
      <c r="H123" s="738"/>
    </row>
    <row r="124" spans="1:8" x14ac:dyDescent="0.2">
      <c r="A124" s="13"/>
      <c r="B124" s="13"/>
      <c r="C124" s="13"/>
      <c r="D124" s="738"/>
      <c r="E124" s="738"/>
      <c r="F124" s="738"/>
      <c r="G124" s="738"/>
      <c r="H124" s="738"/>
    </row>
    <row r="125" spans="1:8" x14ac:dyDescent="0.2">
      <c r="A125" s="13"/>
      <c r="B125" s="13"/>
      <c r="C125" s="13"/>
      <c r="D125" s="738"/>
      <c r="E125" s="738"/>
      <c r="F125" s="738"/>
      <c r="G125" s="738"/>
      <c r="H125" s="738"/>
    </row>
    <row r="126" spans="1:8" x14ac:dyDescent="0.2">
      <c r="A126" s="13"/>
      <c r="B126" s="13"/>
      <c r="C126" s="13"/>
      <c r="D126" s="738"/>
      <c r="E126" s="738"/>
      <c r="F126" s="738"/>
      <c r="G126" s="738"/>
      <c r="H126" s="738"/>
    </row>
    <row r="127" spans="1:8" x14ac:dyDescent="0.2">
      <c r="A127" s="13"/>
      <c r="B127" s="13"/>
      <c r="C127" s="13"/>
      <c r="D127" s="738"/>
      <c r="E127" s="738"/>
      <c r="F127" s="738"/>
      <c r="G127" s="738"/>
      <c r="H127" s="738"/>
    </row>
    <row r="128" spans="1:8" x14ac:dyDescent="0.2">
      <c r="A128" s="13"/>
      <c r="B128" s="13"/>
      <c r="C128" s="13"/>
      <c r="D128" s="738"/>
      <c r="E128" s="738"/>
      <c r="F128" s="738"/>
      <c r="G128" s="738"/>
      <c r="H128" s="738"/>
    </row>
    <row r="129" spans="1:8" x14ac:dyDescent="0.2">
      <c r="A129" s="13"/>
      <c r="B129" s="13"/>
      <c r="C129" s="13"/>
      <c r="D129" s="738"/>
      <c r="E129" s="738"/>
      <c r="F129" s="738"/>
      <c r="G129" s="738"/>
      <c r="H129" s="738"/>
    </row>
    <row r="130" spans="1:8" x14ac:dyDescent="0.2">
      <c r="A130" s="13"/>
      <c r="B130" s="13"/>
      <c r="C130" s="13"/>
      <c r="D130" s="738"/>
      <c r="E130" s="738"/>
      <c r="F130" s="738"/>
      <c r="G130" s="738"/>
      <c r="H130" s="738"/>
    </row>
    <row r="131" spans="1:8" x14ac:dyDescent="0.2">
      <c r="A131" s="13"/>
      <c r="B131" s="13"/>
      <c r="C131" s="13"/>
      <c r="D131" s="738"/>
      <c r="E131" s="738"/>
      <c r="F131" s="738"/>
      <c r="G131" s="738"/>
      <c r="H131" s="738"/>
    </row>
    <row r="132" spans="1:8" x14ac:dyDescent="0.2">
      <c r="A132" s="13"/>
      <c r="B132" s="13"/>
      <c r="C132" s="13"/>
      <c r="D132" s="738"/>
      <c r="E132" s="738"/>
      <c r="F132" s="738"/>
      <c r="G132" s="738"/>
      <c r="H132" s="738"/>
    </row>
    <row r="133" spans="1:8" x14ac:dyDescent="0.2">
      <c r="A133" s="13"/>
      <c r="B133" s="13"/>
      <c r="C133" s="13"/>
      <c r="D133" s="738"/>
      <c r="E133" s="738"/>
      <c r="F133" s="738"/>
      <c r="G133" s="738"/>
      <c r="H133" s="738"/>
    </row>
    <row r="134" spans="1:8" x14ac:dyDescent="0.2">
      <c r="A134" s="13"/>
      <c r="B134" s="13"/>
      <c r="C134" s="13"/>
      <c r="D134" s="738"/>
      <c r="E134" s="738"/>
      <c r="F134" s="738"/>
      <c r="G134" s="738"/>
      <c r="H134" s="738"/>
    </row>
    <row r="135" spans="1:8" x14ac:dyDescent="0.2">
      <c r="A135" s="13"/>
      <c r="B135" s="13"/>
      <c r="C135" s="13"/>
      <c r="D135" s="738"/>
      <c r="E135" s="738"/>
      <c r="F135" s="738"/>
      <c r="G135" s="738"/>
      <c r="H135" s="738"/>
    </row>
    <row r="136" spans="1:8" x14ac:dyDescent="0.2">
      <c r="A136" s="13"/>
      <c r="B136" s="13"/>
      <c r="C136" s="13"/>
      <c r="D136" s="738"/>
      <c r="E136" s="738"/>
      <c r="F136" s="738"/>
      <c r="G136" s="738"/>
      <c r="H136" s="738"/>
    </row>
    <row r="137" spans="1:8" x14ac:dyDescent="0.2">
      <c r="A137" s="13"/>
      <c r="B137" s="13"/>
      <c r="C137" s="13"/>
      <c r="D137" s="738"/>
      <c r="E137" s="738"/>
      <c r="F137" s="738"/>
      <c r="G137" s="738"/>
      <c r="H137" s="738"/>
    </row>
    <row r="138" spans="1:8" x14ac:dyDescent="0.2">
      <c r="A138" s="13"/>
      <c r="B138" s="13"/>
      <c r="C138" s="13"/>
      <c r="D138" s="738"/>
      <c r="E138" s="738"/>
      <c r="F138" s="738"/>
      <c r="G138" s="738"/>
      <c r="H138" s="738"/>
    </row>
    <row r="139" spans="1:8" x14ac:dyDescent="0.2">
      <c r="A139" s="13"/>
      <c r="B139" s="13"/>
      <c r="C139" s="13"/>
      <c r="D139" s="738"/>
      <c r="E139" s="738"/>
      <c r="F139" s="738"/>
      <c r="G139" s="738"/>
      <c r="H139" s="738"/>
    </row>
    <row r="140" spans="1:8" x14ac:dyDescent="0.2">
      <c r="A140" s="13"/>
      <c r="B140" s="13"/>
      <c r="C140" s="13"/>
      <c r="D140" s="738"/>
      <c r="E140" s="738"/>
      <c r="F140" s="738"/>
      <c r="G140" s="738"/>
      <c r="H140" s="738"/>
    </row>
    <row r="141" spans="1:8" x14ac:dyDescent="0.2">
      <c r="A141" s="13"/>
      <c r="B141" s="13"/>
      <c r="C141" s="13"/>
      <c r="D141" s="738"/>
      <c r="E141" s="738"/>
      <c r="F141" s="738"/>
      <c r="G141" s="738"/>
      <c r="H141" s="738"/>
    </row>
    <row r="142" spans="1:8" x14ac:dyDescent="0.2">
      <c r="A142" s="13"/>
      <c r="B142" s="13"/>
      <c r="C142" s="13"/>
      <c r="D142" s="738"/>
      <c r="E142" s="738"/>
      <c r="F142" s="738"/>
      <c r="G142" s="738"/>
      <c r="H142" s="738"/>
    </row>
    <row r="143" spans="1:8" x14ac:dyDescent="0.2">
      <c r="A143" s="13"/>
      <c r="B143" s="13"/>
      <c r="C143" s="13"/>
      <c r="D143" s="738"/>
      <c r="E143" s="738"/>
      <c r="F143" s="738"/>
      <c r="G143" s="738"/>
      <c r="H143" s="738"/>
    </row>
    <row r="144" spans="1:8" x14ac:dyDescent="0.2">
      <c r="A144" s="13"/>
      <c r="B144" s="13"/>
      <c r="C144" s="13"/>
      <c r="D144" s="738"/>
      <c r="E144" s="738"/>
      <c r="F144" s="738"/>
      <c r="G144" s="738"/>
      <c r="H144" s="738"/>
    </row>
    <row r="145" spans="1:8" x14ac:dyDescent="0.2">
      <c r="A145" s="13"/>
      <c r="B145" s="13"/>
      <c r="C145" s="13"/>
      <c r="D145" s="738"/>
      <c r="E145" s="738"/>
      <c r="F145" s="738"/>
      <c r="G145" s="738"/>
      <c r="H145" s="738"/>
    </row>
    <row r="146" spans="1:8" x14ac:dyDescent="0.2">
      <c r="A146" s="13"/>
      <c r="B146" s="13"/>
      <c r="C146" s="13"/>
      <c r="D146" s="738"/>
      <c r="E146" s="738"/>
      <c r="F146" s="738"/>
      <c r="G146" s="738"/>
      <c r="H146" s="738"/>
    </row>
    <row r="147" spans="1:8" x14ac:dyDescent="0.2">
      <c r="A147" s="13"/>
      <c r="B147" s="13"/>
      <c r="C147" s="13"/>
      <c r="D147" s="738"/>
      <c r="E147" s="738"/>
      <c r="F147" s="738"/>
      <c r="G147" s="738"/>
      <c r="H147" s="738"/>
    </row>
    <row r="148" spans="1:8" x14ac:dyDescent="0.2">
      <c r="A148" s="13"/>
      <c r="B148" s="13"/>
      <c r="C148" s="13"/>
      <c r="D148" s="738"/>
      <c r="E148" s="738"/>
      <c r="F148" s="738"/>
      <c r="G148" s="738"/>
      <c r="H148" s="738"/>
    </row>
  </sheetData>
  <mergeCells count="5">
    <mergeCell ref="A6:H6"/>
    <mergeCell ref="A1:H1"/>
    <mergeCell ref="A2:H2"/>
    <mergeCell ref="A3:H3"/>
    <mergeCell ref="A4:H4"/>
  </mergeCells>
  <phoneticPr fontId="10" type="noConversion"/>
  <printOptions horizontalCentered="1"/>
  <pageMargins left="0.5" right="0.5" top="0.75" bottom="0.45" header="0.5" footer="0.45"/>
  <pageSetup scale="77" orientation="portrait" horizontalDpi="300" r:id="rId1"/>
  <headerFooter alignWithMargins="0">
    <oddFooter>&amp;C&amp;1#&amp;"Calibri"&amp;12&amp;K008000Internal Use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7">
    <tabColor indexed="47"/>
    <pageSetUpPr fitToPage="1"/>
  </sheetPr>
  <dimension ref="A1:N79"/>
  <sheetViews>
    <sheetView zoomScale="75" zoomScaleNormal="75" workbookViewId="0">
      <selection activeCell="F12" sqref="B12:I57"/>
    </sheetView>
  </sheetViews>
  <sheetFormatPr defaultRowHeight="12.75" x14ac:dyDescent="0.2"/>
  <cols>
    <col min="1" max="1" width="7.140625" style="49" customWidth="1"/>
    <col min="2" max="2" width="60.425781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10.7109375" style="49" customWidth="1"/>
    <col min="11" max="11" width="13.42578125" style="49" bestFit="1" customWidth="1"/>
    <col min="12" max="12" width="9.140625" style="49"/>
    <col min="13" max="13" width="15.7109375" style="49" bestFit="1" customWidth="1"/>
    <col min="14" max="16384" width="9.140625" style="49"/>
  </cols>
  <sheetData>
    <row r="1" spans="1:13" ht="26.25" x14ac:dyDescent="0.4">
      <c r="B1" s="2884" t="s">
        <v>82</v>
      </c>
      <c r="C1" s="2884"/>
      <c r="D1" s="2884"/>
      <c r="E1" s="2884"/>
      <c r="F1" s="2884"/>
      <c r="G1" s="2884"/>
      <c r="H1" s="2884"/>
      <c r="I1" s="2884"/>
    </row>
    <row r="2" spans="1:13" ht="26.25" x14ac:dyDescent="0.4">
      <c r="B2" s="2884" t="s">
        <v>623</v>
      </c>
      <c r="C2" s="2884"/>
      <c r="D2" s="2884"/>
      <c r="E2" s="2884"/>
      <c r="F2" s="2884"/>
      <c r="G2" s="2884"/>
      <c r="H2" s="2884"/>
      <c r="I2" s="2884"/>
    </row>
    <row r="3" spans="1:13" ht="26.25" hidden="1" x14ac:dyDescent="0.4">
      <c r="B3" s="1894"/>
      <c r="C3" s="1894"/>
      <c r="D3" s="1894"/>
      <c r="E3" s="1894"/>
      <c r="F3" s="1894"/>
      <c r="G3" s="1894"/>
      <c r="H3" s="1894"/>
      <c r="I3" s="1894"/>
    </row>
    <row r="4" spans="1:13" ht="26.25" hidden="1" x14ac:dyDescent="0.4">
      <c r="B4" s="1894"/>
      <c r="C4" s="1894"/>
      <c r="D4" s="1894"/>
      <c r="E4" s="1894"/>
      <c r="F4" s="1894"/>
      <c r="G4" s="1894"/>
      <c r="H4" s="1894"/>
      <c r="I4" s="1894"/>
    </row>
    <row r="5" spans="1:13" ht="26.25" hidden="1" x14ac:dyDescent="0.4">
      <c r="B5" s="1894"/>
      <c r="C5" s="1894"/>
      <c r="D5" s="1894"/>
      <c r="E5" s="1894"/>
      <c r="F5" s="1894"/>
      <c r="G5" s="1894"/>
      <c r="H5" s="1894"/>
      <c r="I5" s="1894"/>
    </row>
    <row r="6" spans="1:13" ht="26.25" hidden="1" x14ac:dyDescent="0.4">
      <c r="B6" s="1894"/>
      <c r="C6" s="1894"/>
      <c r="D6" s="1894"/>
      <c r="E6" s="1894"/>
      <c r="F6" s="1894"/>
      <c r="G6" s="1894"/>
      <c r="H6" s="1894"/>
      <c r="I6" s="1894"/>
    </row>
    <row r="7" spans="1:13" ht="26.25" hidden="1" x14ac:dyDescent="0.4">
      <c r="B7" s="1894"/>
      <c r="C7" s="1894"/>
      <c r="D7" s="1894"/>
      <c r="E7" s="1894"/>
      <c r="F7" s="1894"/>
      <c r="G7" s="1894"/>
      <c r="H7" s="1894"/>
      <c r="I7" s="1894"/>
    </row>
    <row r="8" spans="1:13" ht="6.75" customHeight="1" x14ac:dyDescent="0.25">
      <c r="B8" s="11"/>
      <c r="C8" s="10"/>
      <c r="D8" s="8"/>
      <c r="E8" s="8"/>
      <c r="F8" s="9"/>
      <c r="G8" s="9"/>
      <c r="H8" s="9"/>
      <c r="I8" s="9"/>
    </row>
    <row r="9" spans="1:13" ht="6.75" customHeight="1" thickBot="1" x14ac:dyDescent="0.3">
      <c r="B9" s="11"/>
      <c r="C9" s="10"/>
      <c r="D9" s="8"/>
      <c r="E9" s="8"/>
      <c r="F9" s="9"/>
      <c r="G9" s="9"/>
      <c r="H9" s="9"/>
      <c r="I9" s="9"/>
    </row>
    <row r="10" spans="1:13" ht="48.75" thickBot="1" x14ac:dyDescent="0.35">
      <c r="A10" s="21"/>
      <c r="B10" s="630" t="s">
        <v>620</v>
      </c>
      <c r="C10" s="631" t="s">
        <v>53</v>
      </c>
      <c r="D10" s="631" t="s">
        <v>13</v>
      </c>
      <c r="E10" s="631" t="s">
        <v>4</v>
      </c>
      <c r="F10" s="631" t="s">
        <v>2</v>
      </c>
      <c r="G10" s="631" t="s">
        <v>14</v>
      </c>
      <c r="H10" s="631" t="s">
        <v>15</v>
      </c>
      <c r="I10" s="631" t="s">
        <v>16</v>
      </c>
    </row>
    <row r="11" spans="1:13" ht="21" thickBot="1" x14ac:dyDescent="0.35">
      <c r="A11" s="21"/>
      <c r="B11" s="2888" t="s">
        <v>5</v>
      </c>
      <c r="C11" s="2889"/>
      <c r="D11" s="2889"/>
      <c r="E11" s="2889"/>
      <c r="F11" s="2889"/>
      <c r="G11" s="2889"/>
      <c r="H11" s="2889"/>
      <c r="I11" s="2890"/>
    </row>
    <row r="12" spans="1:13" ht="20.25" x14ac:dyDescent="0.3">
      <c r="A12" s="83"/>
      <c r="B12" s="156" t="s">
        <v>227</v>
      </c>
      <c r="C12" s="633">
        <v>38600.064250000003</v>
      </c>
      <c r="D12" s="633">
        <v>1000</v>
      </c>
      <c r="E12" s="633">
        <f>25000-10000-11000+631.86</f>
        <v>4631.8599999999997</v>
      </c>
      <c r="F12" s="633">
        <f>358468+19500+170000+200000+100927+885798-886725+885798-898068-200000-28351+16123.45</f>
        <v>623470.44999999995</v>
      </c>
      <c r="G12" s="633">
        <f>12500-8500</f>
        <v>4000</v>
      </c>
      <c r="H12" s="633">
        <v>2500</v>
      </c>
      <c r="I12" s="634">
        <f t="shared" ref="I12:I17" si="0">SUM(C12:H12)</f>
        <v>674202.37424999999</v>
      </c>
      <c r="K12" s="2499"/>
      <c r="M12" s="2469"/>
    </row>
    <row r="13" spans="1:13" ht="20.25" x14ac:dyDescent="0.3">
      <c r="A13" s="83"/>
      <c r="B13" s="614" t="s">
        <v>149</v>
      </c>
      <c r="C13" s="638">
        <v>138529.789625</v>
      </c>
      <c r="D13" s="638">
        <v>2000</v>
      </c>
      <c r="E13" s="638">
        <f>236634+60000+2863.06-18590+45.96+61780</f>
        <v>342733.02</v>
      </c>
      <c r="F13" s="638">
        <f>3762645-80000-750000+3685138-3537547+3720221-3685138-200000-50000+100000+3112688-3532207+3112688-3086991-128817+64847+11293/2</f>
        <v>2513173.5</v>
      </c>
      <c r="G13" s="638">
        <f>30000+20000+50000+3333</f>
        <v>103333</v>
      </c>
      <c r="H13" s="638">
        <v>4027</v>
      </c>
      <c r="I13" s="640">
        <f t="shared" si="0"/>
        <v>3103796.3096249998</v>
      </c>
      <c r="K13" s="2499"/>
      <c r="M13" s="2469"/>
    </row>
    <row r="14" spans="1:13" ht="20.25" x14ac:dyDescent="0.3">
      <c r="A14" s="83"/>
      <c r="B14" s="614" t="s">
        <v>596</v>
      </c>
      <c r="C14" s="638">
        <v>52034</v>
      </c>
      <c r="D14" s="638">
        <f>2300+4000</f>
        <v>6300</v>
      </c>
      <c r="E14" s="638">
        <f>38000+90000+10000+1672.45</f>
        <v>139672.45000000001</v>
      </c>
      <c r="F14" s="638">
        <f>1538039.40146789-5000-10000+1817690-1733628+1817690-1831435-75144+40305</f>
        <v>1558517.40146789</v>
      </c>
      <c r="G14" s="638">
        <f>28000-8000+5000</f>
        <v>25000</v>
      </c>
      <c r="H14" s="638">
        <v>3000</v>
      </c>
      <c r="I14" s="640">
        <f t="shared" si="0"/>
        <v>1784523.85146789</v>
      </c>
      <c r="K14" s="2499"/>
      <c r="M14" s="2469"/>
    </row>
    <row r="15" spans="1:13" ht="20.25" x14ac:dyDescent="0.3">
      <c r="A15" s="83"/>
      <c r="B15" s="614" t="s">
        <v>342</v>
      </c>
      <c r="C15" s="638">
        <v>139060.42140000002</v>
      </c>
      <c r="D15" s="638">
        <v>2500</v>
      </c>
      <c r="E15" s="638">
        <f>60000-50000+20000+20000+3800.4</f>
        <v>53800.4</v>
      </c>
      <c r="F15" s="638">
        <f>3894417.42593205+4121337-4117760-22000+3922785-4121337+3922785-3883603+4122785-3942785-170437+98920</f>
        <v>3825107.4259320498</v>
      </c>
      <c r="G15" s="638">
        <f>15000-5000+22000</f>
        <v>32000</v>
      </c>
      <c r="H15" s="638">
        <v>2600</v>
      </c>
      <c r="I15" s="2294">
        <f t="shared" si="0"/>
        <v>4055068.2473320495</v>
      </c>
      <c r="K15" s="2499"/>
      <c r="M15" s="2469"/>
    </row>
    <row r="16" spans="1:13" ht="24.6" customHeight="1" thickBot="1" x14ac:dyDescent="0.35">
      <c r="A16" s="83"/>
      <c r="B16" s="617" t="s">
        <v>529</v>
      </c>
      <c r="C16" s="641">
        <v>15214.370500000003</v>
      </c>
      <c r="D16" s="641">
        <v>0</v>
      </c>
      <c r="E16" s="641">
        <f>140566+157486-155780-6511+141.63</f>
        <v>135902.63</v>
      </c>
      <c r="F16" s="641">
        <v>0</v>
      </c>
      <c r="G16" s="641">
        <v>0</v>
      </c>
      <c r="H16" s="641">
        <v>0</v>
      </c>
      <c r="I16" s="643">
        <f t="shared" si="0"/>
        <v>151117.00049999999</v>
      </c>
      <c r="J16" s="582"/>
      <c r="K16" s="2499"/>
      <c r="M16" s="2469"/>
    </row>
    <row r="17" spans="1:11" ht="21" hidden="1" thickBot="1" x14ac:dyDescent="0.35">
      <c r="A17" s="84"/>
      <c r="B17" s="2293" t="s">
        <v>150</v>
      </c>
      <c r="C17" s="845">
        <v>0</v>
      </c>
      <c r="D17" s="635">
        <v>0</v>
      </c>
      <c r="E17" s="635">
        <v>0</v>
      </c>
      <c r="F17" s="635">
        <v>0</v>
      </c>
      <c r="G17" s="635">
        <v>0</v>
      </c>
      <c r="H17" s="635">
        <v>0</v>
      </c>
      <c r="I17" s="1025">
        <f t="shared" si="0"/>
        <v>0</v>
      </c>
    </row>
    <row r="18" spans="1:11" ht="21" thickBot="1" x14ac:dyDescent="0.35">
      <c r="A18" s="84"/>
      <c r="B18" s="232" t="s">
        <v>30</v>
      </c>
      <c r="C18" s="645">
        <f>SUM(C12:C17)</f>
        <v>383438.64577500004</v>
      </c>
      <c r="D18" s="645">
        <f t="shared" ref="D18:I18" si="1">SUM(D12:D17)</f>
        <v>11800</v>
      </c>
      <c r="E18" s="645">
        <f t="shared" si="1"/>
        <v>676740.36</v>
      </c>
      <c r="F18" s="645">
        <f t="shared" si="1"/>
        <v>8520268.7773999404</v>
      </c>
      <c r="G18" s="645">
        <f t="shared" si="1"/>
        <v>164333</v>
      </c>
      <c r="H18" s="645">
        <f t="shared" si="1"/>
        <v>12127</v>
      </c>
      <c r="I18" s="645">
        <f t="shared" si="1"/>
        <v>9768707.7831749376</v>
      </c>
      <c r="K18" s="587"/>
    </row>
    <row r="19" spans="1:11" s="51" customFormat="1" ht="15" x14ac:dyDescent="0.2">
      <c r="B19" s="663"/>
      <c r="C19" s="664"/>
      <c r="D19" s="622"/>
      <c r="E19" s="622"/>
      <c r="F19" s="665"/>
      <c r="G19" s="665"/>
      <c r="H19" s="665"/>
      <c r="I19" s="666"/>
      <c r="K19" s="2500"/>
    </row>
    <row r="20" spans="1:11" ht="21" thickBot="1" x14ac:dyDescent="0.35">
      <c r="A20" s="84"/>
      <c r="B20" s="2885" t="s">
        <v>151</v>
      </c>
      <c r="C20" s="2886"/>
      <c r="D20" s="2886"/>
      <c r="E20" s="2886"/>
      <c r="F20" s="2886"/>
      <c r="G20" s="2886"/>
      <c r="H20" s="2886"/>
      <c r="I20" s="2887"/>
      <c r="K20" s="2468"/>
    </row>
    <row r="21" spans="1:11" ht="21" thickBot="1" x14ac:dyDescent="0.35">
      <c r="A21" s="83"/>
      <c r="B21" s="100" t="s">
        <v>154</v>
      </c>
      <c r="C21" s="644">
        <v>205534.34539999996</v>
      </c>
      <c r="D21" s="644">
        <v>10251</v>
      </c>
      <c r="E21" s="644">
        <f>125000-38600+2070.37</f>
        <v>88470.37</v>
      </c>
      <c r="F21" s="644">
        <f>2091723.36466124-157169+2248990-2430508+2248990-2273897-92974+51022+11292/2</f>
        <v>1691823.36466124</v>
      </c>
      <c r="G21" s="644">
        <f>41004+157169</f>
        <v>198173</v>
      </c>
      <c r="H21" s="644">
        <v>20502</v>
      </c>
      <c r="I21" s="634">
        <f>SUM(C21:H21)</f>
        <v>2214754.0800612401</v>
      </c>
      <c r="K21" s="2499"/>
    </row>
    <row r="22" spans="1:11" ht="21" thickBot="1" x14ac:dyDescent="0.35">
      <c r="A22" s="84"/>
      <c r="B22" s="26" t="s">
        <v>152</v>
      </c>
      <c r="C22" s="645">
        <f>SUM(C21)</f>
        <v>205534.34539999996</v>
      </c>
      <c r="D22" s="645">
        <f t="shared" ref="D22:I22" si="2">SUM(D21)</f>
        <v>10251</v>
      </c>
      <c r="E22" s="645">
        <f t="shared" si="2"/>
        <v>88470.37</v>
      </c>
      <c r="F22" s="645">
        <f t="shared" si="2"/>
        <v>1691823.36466124</v>
      </c>
      <c r="G22" s="645">
        <f t="shared" si="2"/>
        <v>198173</v>
      </c>
      <c r="H22" s="645">
        <f t="shared" si="2"/>
        <v>20502</v>
      </c>
      <c r="I22" s="645">
        <f t="shared" si="2"/>
        <v>2214754.0800612401</v>
      </c>
      <c r="K22" s="2468"/>
    </row>
    <row r="23" spans="1:11" s="51" customFormat="1" ht="20.25" x14ac:dyDescent="0.3">
      <c r="A23" s="83"/>
      <c r="B23" s="2894"/>
      <c r="C23" s="2895"/>
      <c r="D23" s="2895"/>
      <c r="E23" s="2895"/>
      <c r="F23" s="2895"/>
      <c r="G23" s="2895"/>
      <c r="H23" s="2895"/>
      <c r="I23" s="2896"/>
      <c r="K23" s="2500"/>
    </row>
    <row r="24" spans="1:11" ht="21" thickBot="1" x14ac:dyDescent="0.35">
      <c r="A24" s="84"/>
      <c r="B24" s="2885" t="s">
        <v>153</v>
      </c>
      <c r="C24" s="2886"/>
      <c r="D24" s="2886"/>
      <c r="E24" s="2886"/>
      <c r="F24" s="2886"/>
      <c r="G24" s="2886"/>
      <c r="H24" s="2886"/>
      <c r="I24" s="2887"/>
      <c r="K24" s="2468"/>
    </row>
    <row r="25" spans="1:11" ht="20.25" x14ac:dyDescent="0.3">
      <c r="A25" s="83"/>
      <c r="B25" s="100" t="s">
        <v>155</v>
      </c>
      <c r="C25" s="633">
        <v>159393.65340000004</v>
      </c>
      <c r="D25" s="633">
        <v>5000</v>
      </c>
      <c r="E25" s="633">
        <f>58633-29519+1201.72</f>
        <v>30315.72</v>
      </c>
      <c r="F25" s="633">
        <f>1174211.99023619-114602+1306686-1382879+1306686-1326527-54019+28381</f>
        <v>937937.99023619015</v>
      </c>
      <c r="G25" s="633">
        <f>30000+114602</f>
        <v>144602</v>
      </c>
      <c r="H25" s="633">
        <v>5000</v>
      </c>
      <c r="I25" s="634">
        <f>SUM(C25:H25)</f>
        <v>1282249.3636361901</v>
      </c>
      <c r="K25" s="2499"/>
    </row>
    <row r="26" spans="1:11" ht="21" thickBot="1" x14ac:dyDescent="0.35">
      <c r="A26" s="83"/>
      <c r="B26" s="155" t="s">
        <v>581</v>
      </c>
      <c r="C26" s="635">
        <v>27069.272249999998</v>
      </c>
      <c r="D26" s="635">
        <v>5000</v>
      </c>
      <c r="E26" s="635">
        <f>45000+612.45</f>
        <v>45612.45</v>
      </c>
      <c r="F26" s="635">
        <f>633369.817702631-39292+664650-724967+664650-667622-27477+15705.33</f>
        <v>519017.14770263102</v>
      </c>
      <c r="G26" s="635">
        <f>10000+39292</f>
        <v>49292</v>
      </c>
      <c r="H26" s="635">
        <v>7500</v>
      </c>
      <c r="I26" s="926">
        <f>SUM(C26:H26)</f>
        <v>653490.86995263095</v>
      </c>
      <c r="K26" s="2499"/>
    </row>
    <row r="27" spans="1:11" ht="21" thickBot="1" x14ac:dyDescent="0.35">
      <c r="A27" s="84"/>
      <c r="B27" s="26" t="s">
        <v>152</v>
      </c>
      <c r="C27" s="645">
        <f>SUM(C25:C26)</f>
        <v>186462.92565000005</v>
      </c>
      <c r="D27" s="645">
        <f t="shared" ref="D27:I27" si="3">SUM(D25:D26)</f>
        <v>10000</v>
      </c>
      <c r="E27" s="645">
        <f t="shared" si="3"/>
        <v>75928.17</v>
      </c>
      <c r="F27" s="645">
        <f t="shared" si="3"/>
        <v>1456955.1379388212</v>
      </c>
      <c r="G27" s="645">
        <f t="shared" si="3"/>
        <v>193894</v>
      </c>
      <c r="H27" s="645">
        <f t="shared" si="3"/>
        <v>12500</v>
      </c>
      <c r="I27" s="645">
        <f t="shared" si="3"/>
        <v>1935740.233588821</v>
      </c>
      <c r="K27" s="2468"/>
    </row>
    <row r="28" spans="1:11" ht="21" thickBot="1" x14ac:dyDescent="0.35">
      <c r="A28" s="84"/>
      <c r="B28" s="690" t="s">
        <v>245</v>
      </c>
      <c r="C28" s="703">
        <v>13463.9925</v>
      </c>
      <c r="D28" s="703">
        <v>2000</v>
      </c>
      <c r="E28" s="703">
        <f>10000+250.21</f>
        <v>10250.209999999999</v>
      </c>
      <c r="F28" s="703">
        <f>197121+7150-16372+218181-234303+218181-223613-11294+4838</f>
        <v>159889</v>
      </c>
      <c r="G28" s="703">
        <f>5000+16372</f>
        <v>21372</v>
      </c>
      <c r="H28" s="703">
        <v>60000</v>
      </c>
      <c r="I28" s="703">
        <f>SUM(C28:H28)</f>
        <v>266975.20250000001</v>
      </c>
      <c r="K28" s="2499"/>
    </row>
    <row r="29" spans="1:11" ht="21" thickBot="1" x14ac:dyDescent="0.35">
      <c r="A29" s="84"/>
      <c r="B29" s="26" t="s">
        <v>31</v>
      </c>
      <c r="C29" s="645">
        <f>C22+C27+C28</f>
        <v>405461.26354999997</v>
      </c>
      <c r="D29" s="645">
        <f t="shared" ref="D29:I29" si="4">D22+D27+D28</f>
        <v>22251</v>
      </c>
      <c r="E29" s="645">
        <f t="shared" si="4"/>
        <v>174648.74999999997</v>
      </c>
      <c r="F29" s="645">
        <f t="shared" si="4"/>
        <v>3308667.5026000612</v>
      </c>
      <c r="G29" s="645">
        <f t="shared" si="4"/>
        <v>413439</v>
      </c>
      <c r="H29" s="645">
        <f t="shared" si="4"/>
        <v>93002</v>
      </c>
      <c r="I29" s="645">
        <f t="shared" si="4"/>
        <v>4417469.516150061</v>
      </c>
      <c r="K29" s="587"/>
    </row>
    <row r="30" spans="1:11" ht="21" thickBot="1" x14ac:dyDescent="0.35">
      <c r="A30" s="83"/>
      <c r="B30" s="2885" t="s">
        <v>158</v>
      </c>
      <c r="C30" s="2886"/>
      <c r="D30" s="2886"/>
      <c r="E30" s="2886"/>
      <c r="F30" s="2886"/>
      <c r="G30" s="2886"/>
      <c r="H30" s="2886"/>
      <c r="I30" s="2887"/>
    </row>
    <row r="31" spans="1:11" s="9" customFormat="1" ht="16.5" customHeight="1" thickBot="1" x14ac:dyDescent="0.3">
      <c r="A31" s="1145"/>
      <c r="B31" s="2926" t="s">
        <v>393</v>
      </c>
      <c r="C31" s="2927"/>
      <c r="D31" s="2927"/>
      <c r="E31" s="2927"/>
      <c r="F31" s="2927"/>
      <c r="G31" s="2927"/>
      <c r="H31" s="2927"/>
      <c r="I31" s="2928"/>
    </row>
    <row r="32" spans="1:11" s="9" customFormat="1" ht="16.5" hidden="1" customHeight="1" x14ac:dyDescent="0.25">
      <c r="A32" s="1150"/>
      <c r="B32" s="953" t="s">
        <v>573</v>
      </c>
      <c r="C32" s="1854">
        <v>0</v>
      </c>
      <c r="D32" s="669">
        <v>0</v>
      </c>
      <c r="E32" s="669">
        <v>0</v>
      </c>
      <c r="F32" s="669">
        <v>0</v>
      </c>
      <c r="G32" s="669">
        <v>0</v>
      </c>
      <c r="H32" s="669">
        <v>0</v>
      </c>
      <c r="I32" s="668">
        <f t="shared" ref="I32:I39" si="5">SUM(C32:H32)</f>
        <v>0</v>
      </c>
    </row>
    <row r="33" spans="1:9" s="9" customFormat="1" ht="16.5" customHeight="1" x14ac:dyDescent="0.25">
      <c r="A33" s="1150"/>
      <c r="B33" s="693" t="s">
        <v>600</v>
      </c>
      <c r="C33" s="1854">
        <v>18472</v>
      </c>
      <c r="D33" s="669">
        <v>469</v>
      </c>
      <c r="E33" s="669">
        <v>28097</v>
      </c>
      <c r="F33" s="669">
        <v>0</v>
      </c>
      <c r="G33" s="669">
        <v>2347</v>
      </c>
      <c r="H33" s="669">
        <f>13624.6666666667+264</f>
        <v>13888.666666666701</v>
      </c>
      <c r="I33" s="1899">
        <f>SUM(C33:H33)</f>
        <v>63273.666666666701</v>
      </c>
    </row>
    <row r="34" spans="1:9" s="9" customFormat="1" ht="16.5" customHeight="1" x14ac:dyDescent="0.25">
      <c r="A34" s="1150"/>
      <c r="B34" s="693" t="s">
        <v>487</v>
      </c>
      <c r="C34" s="1854">
        <v>0</v>
      </c>
      <c r="D34" s="669">
        <v>0</v>
      </c>
      <c r="E34" s="669">
        <v>0</v>
      </c>
      <c r="F34" s="669">
        <v>0</v>
      </c>
      <c r="G34" s="669">
        <v>0</v>
      </c>
      <c r="H34" s="669">
        <v>0</v>
      </c>
      <c r="I34" s="1899">
        <f t="shared" si="5"/>
        <v>0</v>
      </c>
    </row>
    <row r="35" spans="1:9" s="9" customFormat="1" ht="16.5" customHeight="1" x14ac:dyDescent="0.25">
      <c r="A35" s="1150"/>
      <c r="B35" s="693" t="s">
        <v>601</v>
      </c>
      <c r="C35" s="1854">
        <v>4830</v>
      </c>
      <c r="D35" s="669">
        <v>374</v>
      </c>
      <c r="E35" s="669">
        <v>16500</v>
      </c>
      <c r="F35" s="669">
        <v>0</v>
      </c>
      <c r="G35" s="669">
        <v>862</v>
      </c>
      <c r="H35" s="669">
        <f>2667+287</f>
        <v>2954</v>
      </c>
      <c r="I35" s="1899">
        <f t="shared" si="5"/>
        <v>25520</v>
      </c>
    </row>
    <row r="36" spans="1:9" s="9" customFormat="1" ht="16.5" customHeight="1" thickBot="1" x14ac:dyDescent="0.3">
      <c r="A36" s="1150"/>
      <c r="B36" s="693" t="s">
        <v>602</v>
      </c>
      <c r="C36" s="1854">
        <v>1157</v>
      </c>
      <c r="D36" s="669">
        <v>1147</v>
      </c>
      <c r="E36" s="669">
        <v>7394</v>
      </c>
      <c r="F36" s="669">
        <v>0</v>
      </c>
      <c r="G36" s="669">
        <v>0</v>
      </c>
      <c r="H36" s="669">
        <f>1583+48</f>
        <v>1631</v>
      </c>
      <c r="I36" s="1899">
        <f t="shared" si="5"/>
        <v>11329</v>
      </c>
    </row>
    <row r="37" spans="1:9" s="9" customFormat="1" ht="16.5" hidden="1" customHeight="1" x14ac:dyDescent="0.25">
      <c r="A37" s="1150"/>
      <c r="B37" s="1352" t="s">
        <v>414</v>
      </c>
      <c r="C37" s="669">
        <v>0</v>
      </c>
      <c r="D37" s="669">
        <v>0</v>
      </c>
      <c r="E37" s="669">
        <v>0</v>
      </c>
      <c r="F37" s="669">
        <v>0</v>
      </c>
      <c r="G37" s="669">
        <v>0</v>
      </c>
      <c r="H37" s="669">
        <v>0</v>
      </c>
      <c r="I37" s="670">
        <f t="shared" si="5"/>
        <v>0</v>
      </c>
    </row>
    <row r="38" spans="1:9" s="9" customFormat="1" ht="16.5" hidden="1" customHeight="1" x14ac:dyDescent="0.25">
      <c r="A38" s="1150"/>
      <c r="B38" s="1167" t="s">
        <v>486</v>
      </c>
      <c r="C38" s="1854">
        <v>0</v>
      </c>
      <c r="D38" s="669">
        <v>0</v>
      </c>
      <c r="E38" s="669">
        <v>0</v>
      </c>
      <c r="F38" s="669">
        <v>0</v>
      </c>
      <c r="G38" s="669">
        <v>0</v>
      </c>
      <c r="H38" s="669">
        <v>0</v>
      </c>
      <c r="I38" s="1899">
        <f t="shared" si="5"/>
        <v>0</v>
      </c>
    </row>
    <row r="39" spans="1:9" s="9" customFormat="1" ht="16.5" hidden="1" customHeight="1" thickBot="1" x14ac:dyDescent="0.3">
      <c r="A39" s="1150"/>
      <c r="B39" s="1167" t="s">
        <v>487</v>
      </c>
      <c r="C39" s="669">
        <v>0</v>
      </c>
      <c r="D39" s="669">
        <v>0</v>
      </c>
      <c r="E39" s="669">
        <v>0</v>
      </c>
      <c r="F39" s="669">
        <v>0</v>
      </c>
      <c r="G39" s="669">
        <v>0</v>
      </c>
      <c r="H39" s="669">
        <v>0</v>
      </c>
      <c r="I39" s="1157">
        <f t="shared" si="5"/>
        <v>0</v>
      </c>
    </row>
    <row r="40" spans="1:9" s="9" customFormat="1" ht="16.5" customHeight="1" thickBot="1" x14ac:dyDescent="0.3">
      <c r="A40" s="1150"/>
      <c r="B40" s="1160" t="s">
        <v>395</v>
      </c>
      <c r="C40" s="1161">
        <f>SUM(C32:C39)</f>
        <v>24459</v>
      </c>
      <c r="D40" s="1161">
        <f t="shared" ref="D40:I40" si="6">SUM(D32:D39)</f>
        <v>1990</v>
      </c>
      <c r="E40" s="1161">
        <f t="shared" si="6"/>
        <v>51991</v>
      </c>
      <c r="F40" s="1161">
        <f t="shared" si="6"/>
        <v>0</v>
      </c>
      <c r="G40" s="1161">
        <f t="shared" si="6"/>
        <v>3209</v>
      </c>
      <c r="H40" s="1161">
        <f t="shared" si="6"/>
        <v>18473.666666666701</v>
      </c>
      <c r="I40" s="2271">
        <f t="shared" si="6"/>
        <v>100122.6666666667</v>
      </c>
    </row>
    <row r="41" spans="1:9" s="9" customFormat="1" ht="16.5" hidden="1" customHeight="1" thickBot="1" x14ac:dyDescent="0.3">
      <c r="A41" s="1150"/>
      <c r="B41" s="1160"/>
      <c r="C41" s="1896"/>
      <c r="D41" s="1896"/>
      <c r="E41" s="1896"/>
      <c r="F41" s="1896"/>
      <c r="G41" s="1896"/>
      <c r="H41" s="1896"/>
      <c r="I41" s="1896"/>
    </row>
    <row r="42" spans="1:9" s="1164" customFormat="1" ht="16.5" customHeight="1" thickBot="1" x14ac:dyDescent="0.3">
      <c r="A42" s="1150"/>
      <c r="B42" s="2929" t="s">
        <v>396</v>
      </c>
      <c r="C42" s="2930"/>
      <c r="D42" s="2930"/>
      <c r="E42" s="2930"/>
      <c r="F42" s="2930"/>
      <c r="G42" s="2930"/>
      <c r="H42" s="2930"/>
      <c r="I42" s="2931"/>
    </row>
    <row r="43" spans="1:9" s="9" customFormat="1" ht="16.5" hidden="1" customHeight="1" x14ac:dyDescent="0.25">
      <c r="A43" s="1150"/>
      <c r="B43" s="953" t="s">
        <v>584</v>
      </c>
      <c r="C43" s="1166">
        <v>0</v>
      </c>
      <c r="D43" s="1166">
        <v>0</v>
      </c>
      <c r="E43" s="667" t="e">
        <f>#REF!</f>
        <v>#REF!</v>
      </c>
      <c r="F43" s="1166">
        <v>0</v>
      </c>
      <c r="G43" s="1166">
        <v>0</v>
      </c>
      <c r="H43" s="1166">
        <v>0</v>
      </c>
      <c r="I43" s="668" t="e">
        <f>SUM(E43:H43)</f>
        <v>#REF!</v>
      </c>
    </row>
    <row r="44" spans="1:9" s="9" customFormat="1" ht="16.5" customHeight="1" x14ac:dyDescent="0.25">
      <c r="A44" s="1150"/>
      <c r="B44" s="2264" t="s">
        <v>607</v>
      </c>
      <c r="C44" s="1166">
        <v>0</v>
      </c>
      <c r="D44" s="1166">
        <v>0</v>
      </c>
      <c r="E44" s="1901">
        <f>186292-100000</f>
        <v>86292</v>
      </c>
      <c r="F44" s="1166">
        <v>0</v>
      </c>
      <c r="G44" s="1166">
        <v>0</v>
      </c>
      <c r="H44" s="1166">
        <v>0</v>
      </c>
      <c r="I44" s="1899">
        <f>SUM(C44:H44)</f>
        <v>86292</v>
      </c>
    </row>
    <row r="45" spans="1:9" s="9" customFormat="1" ht="16.5" customHeight="1" x14ac:dyDescent="0.25">
      <c r="A45" s="1150"/>
      <c r="B45" s="2264" t="s">
        <v>608</v>
      </c>
      <c r="C45" s="1166">
        <v>0</v>
      </c>
      <c r="D45" s="1166">
        <v>0</v>
      </c>
      <c r="E45" s="1901">
        <v>20000</v>
      </c>
      <c r="F45" s="1166">
        <v>0</v>
      </c>
      <c r="G45" s="1166">
        <v>0</v>
      </c>
      <c r="H45" s="1166">
        <v>0</v>
      </c>
      <c r="I45" s="1899">
        <f>SUM(C45:H45)</f>
        <v>20000</v>
      </c>
    </row>
    <row r="46" spans="1:9" s="9" customFormat="1" ht="16.5" customHeight="1" thickBot="1" x14ac:dyDescent="0.3">
      <c r="A46" s="1150"/>
      <c r="B46" s="2264" t="s">
        <v>603</v>
      </c>
      <c r="C46" s="1166">
        <v>0</v>
      </c>
      <c r="D46" s="1166">
        <v>0</v>
      </c>
      <c r="E46" s="1901">
        <v>50000</v>
      </c>
      <c r="F46" s="1166">
        <v>0</v>
      </c>
      <c r="G46" s="1166">
        <v>0</v>
      </c>
      <c r="H46" s="1166">
        <v>0</v>
      </c>
      <c r="I46" s="1899">
        <f>SUM(C46:H46)</f>
        <v>50000</v>
      </c>
    </row>
    <row r="47" spans="1:9" s="9" customFormat="1" ht="16.5" hidden="1" customHeight="1" x14ac:dyDescent="0.25">
      <c r="A47" s="1150"/>
      <c r="B47" s="693" t="s">
        <v>585</v>
      </c>
      <c r="C47" s="1166">
        <v>0</v>
      </c>
      <c r="D47" s="1166">
        <v>0</v>
      </c>
      <c r="E47" s="669" t="e">
        <f>#REF!</f>
        <v>#REF!</v>
      </c>
      <c r="F47" s="1166">
        <v>0</v>
      </c>
      <c r="G47" s="1166">
        <v>0</v>
      </c>
      <c r="H47" s="1166">
        <v>0</v>
      </c>
      <c r="I47" s="670" t="e">
        <f>SUM(E47:H47)</f>
        <v>#REF!</v>
      </c>
    </row>
    <row r="48" spans="1:9" s="9" customFormat="1" ht="16.5" hidden="1" customHeight="1" x14ac:dyDescent="0.25">
      <c r="A48" s="1150"/>
      <c r="B48" s="693" t="s">
        <v>586</v>
      </c>
      <c r="C48" s="1900">
        <v>0</v>
      </c>
      <c r="D48" s="1900">
        <v>0</v>
      </c>
      <c r="E48" s="1901" t="e">
        <f>#REF!</f>
        <v>#REF!</v>
      </c>
      <c r="F48" s="1900">
        <v>0</v>
      </c>
      <c r="G48" s="1900">
        <v>0</v>
      </c>
      <c r="H48" s="1900">
        <v>0</v>
      </c>
      <c r="I48" s="1899" t="e">
        <f>SUM(E48:H48)</f>
        <v>#REF!</v>
      </c>
    </row>
    <row r="49" spans="1:9" s="9" customFormat="1" ht="16.5" hidden="1" customHeight="1" x14ac:dyDescent="0.25">
      <c r="A49" s="1150"/>
      <c r="B49" s="693" t="s">
        <v>579</v>
      </c>
      <c r="C49" s="1166">
        <v>0</v>
      </c>
      <c r="D49" s="1166">
        <v>0</v>
      </c>
      <c r="E49" s="669" t="e">
        <f>#REF!</f>
        <v>#REF!</v>
      </c>
      <c r="F49" s="1166">
        <v>0</v>
      </c>
      <c r="G49" s="1166">
        <v>0</v>
      </c>
      <c r="H49" s="1166">
        <v>0</v>
      </c>
      <c r="I49" s="670" t="e">
        <f>SUM(E49:H49)</f>
        <v>#REF!</v>
      </c>
    </row>
    <row r="50" spans="1:9" s="9" customFormat="1" ht="16.5" hidden="1" customHeight="1" thickBot="1" x14ac:dyDescent="0.3">
      <c r="A50" s="1150"/>
      <c r="B50" s="694" t="s">
        <v>587</v>
      </c>
      <c r="C50" s="1166">
        <v>0</v>
      </c>
      <c r="D50" s="1166">
        <v>0</v>
      </c>
      <c r="E50" s="913" t="e">
        <f>#REF!</f>
        <v>#REF!</v>
      </c>
      <c r="F50" s="1166">
        <v>0</v>
      </c>
      <c r="G50" s="1166">
        <v>0</v>
      </c>
      <c r="H50" s="1166">
        <v>0</v>
      </c>
      <c r="I50" s="1157" t="e">
        <f>SUM(C50:H50)</f>
        <v>#REF!</v>
      </c>
    </row>
    <row r="51" spans="1:9" s="1164" customFormat="1" ht="16.5" customHeight="1" thickBot="1" x14ac:dyDescent="0.3">
      <c r="A51" s="1150"/>
      <c r="B51" s="1168" t="s">
        <v>397</v>
      </c>
      <c r="C51" s="1169">
        <f t="shared" ref="C51:I51" si="7">SUM(C43:C50)</f>
        <v>0</v>
      </c>
      <c r="D51" s="1169">
        <f t="shared" si="7"/>
        <v>0</v>
      </c>
      <c r="E51" s="1169" t="e">
        <f t="shared" si="7"/>
        <v>#REF!</v>
      </c>
      <c r="F51" s="1169">
        <f t="shared" si="7"/>
        <v>0</v>
      </c>
      <c r="G51" s="1169">
        <f t="shared" si="7"/>
        <v>0</v>
      </c>
      <c r="H51" s="1169">
        <f t="shared" si="7"/>
        <v>0</v>
      </c>
      <c r="I51" s="2272" t="e">
        <f t="shared" si="7"/>
        <v>#REF!</v>
      </c>
    </row>
    <row r="52" spans="1:9" s="1164" customFormat="1" ht="16.5" hidden="1" customHeight="1" thickBot="1" x14ac:dyDescent="0.3">
      <c r="A52" s="1150"/>
      <c r="B52" s="2929" t="s">
        <v>398</v>
      </c>
      <c r="C52" s="2930"/>
      <c r="D52" s="2930"/>
      <c r="E52" s="2930"/>
      <c r="F52" s="2930"/>
      <c r="G52" s="2930"/>
      <c r="H52" s="2930"/>
      <c r="I52" s="2931"/>
    </row>
    <row r="53" spans="1:9" s="9" customFormat="1" ht="16.5" hidden="1" customHeight="1" x14ac:dyDescent="0.25">
      <c r="A53" s="1150"/>
      <c r="B53" s="953" t="s">
        <v>549</v>
      </c>
      <c r="C53" s="1171">
        <v>0</v>
      </c>
      <c r="D53" s="1171">
        <v>0</v>
      </c>
      <c r="E53" s="1171" t="e">
        <f>#REF!</f>
        <v>#REF!</v>
      </c>
      <c r="F53" s="1171">
        <v>0</v>
      </c>
      <c r="G53" s="1171">
        <v>0</v>
      </c>
      <c r="H53" s="1171">
        <v>0</v>
      </c>
      <c r="I53" s="668" t="e">
        <f>SUM(C53:H53)</f>
        <v>#REF!</v>
      </c>
    </row>
    <row r="54" spans="1:9" s="9" customFormat="1" ht="16.5" hidden="1" customHeight="1" thickBot="1" x14ac:dyDescent="0.3">
      <c r="A54" s="1150"/>
      <c r="B54" s="1173" t="s">
        <v>400</v>
      </c>
      <c r="C54" s="1174">
        <f>SUM(C53)</f>
        <v>0</v>
      </c>
      <c r="D54" s="1174">
        <f t="shared" ref="D54:I54" si="8">SUM(D53)</f>
        <v>0</v>
      </c>
      <c r="E54" s="1174" t="e">
        <f t="shared" si="8"/>
        <v>#REF!</v>
      </c>
      <c r="F54" s="1174">
        <f t="shared" si="8"/>
        <v>0</v>
      </c>
      <c r="G54" s="1174">
        <f t="shared" si="8"/>
        <v>0</v>
      </c>
      <c r="H54" s="1174">
        <f t="shared" si="8"/>
        <v>0</v>
      </c>
      <c r="I54" s="1174" t="e">
        <f t="shared" si="8"/>
        <v>#REF!</v>
      </c>
    </row>
    <row r="55" spans="1:9" s="9" customFormat="1" ht="16.5" hidden="1" customHeight="1" x14ac:dyDescent="0.25">
      <c r="A55" s="1150"/>
      <c r="B55" s="1897"/>
      <c r="C55" s="1898"/>
      <c r="D55" s="1898"/>
      <c r="E55" s="1898"/>
      <c r="F55" s="1898"/>
      <c r="G55" s="1898"/>
      <c r="H55" s="1898"/>
      <c r="I55" s="1898"/>
    </row>
    <row r="56" spans="1:9" s="9" customFormat="1" ht="16.5" hidden="1" customHeight="1" x14ac:dyDescent="0.25">
      <c r="A56" s="1150"/>
      <c r="B56" s="1897"/>
      <c r="C56" s="1898"/>
      <c r="D56" s="1898"/>
      <c r="E56" s="1898"/>
      <c r="F56" s="1898"/>
      <c r="G56" s="1898"/>
      <c r="H56" s="1898"/>
      <c r="I56" s="1898"/>
    </row>
    <row r="57" spans="1:9" s="9" customFormat="1" ht="16.5" hidden="1" customHeight="1" thickBot="1" x14ac:dyDescent="0.3">
      <c r="A57" s="1150"/>
      <c r="B57" s="2929" t="s">
        <v>629</v>
      </c>
      <c r="C57" s="2930"/>
      <c r="D57" s="2930"/>
      <c r="E57" s="2930"/>
      <c r="F57" s="2930"/>
      <c r="G57" s="2930"/>
      <c r="H57" s="2930"/>
      <c r="I57" s="2931"/>
    </row>
    <row r="58" spans="1:9" s="9" customFormat="1" ht="16.5" hidden="1" customHeight="1" thickBot="1" x14ac:dyDescent="0.3">
      <c r="A58" s="1150"/>
      <c r="B58" s="953" t="s">
        <v>631</v>
      </c>
      <c r="C58" s="2300">
        <v>0</v>
      </c>
      <c r="D58" s="2300">
        <v>0</v>
      </c>
      <c r="E58" s="667">
        <v>0</v>
      </c>
      <c r="F58" s="633">
        <v>0</v>
      </c>
      <c r="G58" s="2300">
        <v>0</v>
      </c>
      <c r="H58" s="2300">
        <v>0</v>
      </c>
      <c r="I58" s="668">
        <f>SUM(C58:H58)</f>
        <v>0</v>
      </c>
    </row>
    <row r="59" spans="1:9" s="9" customFormat="1" ht="16.5" hidden="1" customHeight="1" thickBot="1" x14ac:dyDescent="0.3">
      <c r="A59" s="1150"/>
      <c r="B59" s="1168" t="s">
        <v>632</v>
      </c>
      <c r="C59" s="1169">
        <f>SUM(C58)</f>
        <v>0</v>
      </c>
      <c r="D59" s="1169">
        <f t="shared" ref="D59:I59" si="9">SUM(D58)</f>
        <v>0</v>
      </c>
      <c r="E59" s="1169">
        <f t="shared" si="9"/>
        <v>0</v>
      </c>
      <c r="F59" s="1169">
        <f t="shared" si="9"/>
        <v>0</v>
      </c>
      <c r="G59" s="1169">
        <f t="shared" si="9"/>
        <v>0</v>
      </c>
      <c r="H59" s="1169">
        <f t="shared" si="9"/>
        <v>0</v>
      </c>
      <c r="I59" s="2272">
        <f t="shared" si="9"/>
        <v>0</v>
      </c>
    </row>
    <row r="60" spans="1:9" s="9" customFormat="1" ht="16.5" customHeight="1" x14ac:dyDescent="0.25">
      <c r="A60" s="1150"/>
      <c r="B60" s="2941" t="s">
        <v>401</v>
      </c>
      <c r="C60" s="2942"/>
      <c r="D60" s="2942"/>
      <c r="E60" s="2942"/>
      <c r="F60" s="2942"/>
      <c r="G60" s="2942"/>
      <c r="H60" s="2942"/>
      <c r="I60" s="2943"/>
    </row>
    <row r="61" spans="1:9" s="9" customFormat="1" ht="16.5" customHeight="1" x14ac:dyDescent="0.25">
      <c r="A61" s="1150"/>
      <c r="B61" s="615" t="s">
        <v>545</v>
      </c>
      <c r="C61" s="638">
        <v>136991.511</v>
      </c>
      <c r="D61" s="638" t="e">
        <f>+#REF!</f>
        <v>#REF!</v>
      </c>
      <c r="E61" s="638">
        <f>20675-11292</f>
        <v>9383</v>
      </c>
      <c r="F61" s="638" t="e">
        <f>+#REF!</f>
        <v>#REF!</v>
      </c>
      <c r="G61" s="638" t="e">
        <f>+#REF!</f>
        <v>#REF!</v>
      </c>
      <c r="H61" s="638">
        <v>0</v>
      </c>
      <c r="I61" s="640" t="e">
        <f>SUM(C61:H61)</f>
        <v>#REF!</v>
      </c>
    </row>
    <row r="62" spans="1:9" s="9" customFormat="1" ht="16.5" customHeight="1" x14ac:dyDescent="0.25">
      <c r="A62" s="1150"/>
      <c r="B62" s="615" t="s">
        <v>546</v>
      </c>
      <c r="C62" s="638" t="e">
        <f>+#REF!</f>
        <v>#REF!</v>
      </c>
      <c r="D62" s="638" t="e">
        <f>+#REF!</f>
        <v>#REF!</v>
      </c>
      <c r="E62" s="638">
        <f>77725-61780</f>
        <v>15945</v>
      </c>
      <c r="F62" s="638" t="e">
        <f>+#REF!</f>
        <v>#REF!</v>
      </c>
      <c r="G62" s="638" t="e">
        <f>+#REF!</f>
        <v>#REF!</v>
      </c>
      <c r="H62" s="638">
        <v>0</v>
      </c>
      <c r="I62" s="640" t="e">
        <f t="shared" ref="I62:I69" si="10">SUM(C62:H62)</f>
        <v>#REF!</v>
      </c>
    </row>
    <row r="63" spans="1:9" s="9" customFormat="1" ht="16.5" customHeight="1" x14ac:dyDescent="0.25">
      <c r="A63" s="1150"/>
      <c r="B63" s="615" t="s">
        <v>547</v>
      </c>
      <c r="C63" s="638">
        <v>21669.774000000005</v>
      </c>
      <c r="D63" s="638" t="e">
        <f>+#REF!</f>
        <v>#REF!</v>
      </c>
      <c r="E63" s="638">
        <f>120000+1464422-1497101</f>
        <v>87321</v>
      </c>
      <c r="F63" s="638" t="e">
        <f>+#REF!</f>
        <v>#REF!</v>
      </c>
      <c r="G63" s="638" t="e">
        <f>+#REF!</f>
        <v>#REF!</v>
      </c>
      <c r="H63" s="638">
        <v>0</v>
      </c>
      <c r="I63" s="640" t="e">
        <f t="shared" si="10"/>
        <v>#REF!</v>
      </c>
    </row>
    <row r="64" spans="1:9" s="9" customFormat="1" ht="16.5" customHeight="1" x14ac:dyDescent="0.25">
      <c r="A64" s="1150"/>
      <c r="B64" s="615" t="s">
        <v>548</v>
      </c>
      <c r="C64" s="638">
        <v>138979.22125</v>
      </c>
      <c r="D64" s="638" t="e">
        <f>+#REF!</f>
        <v>#REF!</v>
      </c>
      <c r="E64" s="638">
        <v>0</v>
      </c>
      <c r="F64" s="638" t="e">
        <f>+#REF!</f>
        <v>#REF!</v>
      </c>
      <c r="G64" s="638" t="e">
        <f>+#REF!</f>
        <v>#REF!</v>
      </c>
      <c r="H64" s="638">
        <v>0</v>
      </c>
      <c r="I64" s="640" t="e">
        <f t="shared" si="10"/>
        <v>#REF!</v>
      </c>
    </row>
    <row r="65" spans="1:14" s="1159" customFormat="1" ht="16.5" customHeight="1" x14ac:dyDescent="0.25">
      <c r="A65" s="1145"/>
      <c r="B65" s="615" t="s">
        <v>639</v>
      </c>
      <c r="C65" s="638">
        <v>0</v>
      </c>
      <c r="D65" s="638" t="e">
        <f>+#REF!</f>
        <v>#REF!</v>
      </c>
      <c r="E65" s="638">
        <v>217523</v>
      </c>
      <c r="F65" s="638" t="e">
        <f>+#REF!</f>
        <v>#REF!</v>
      </c>
      <c r="G65" s="638" t="e">
        <f>+#REF!</f>
        <v>#REF!</v>
      </c>
      <c r="H65" s="638">
        <v>0</v>
      </c>
      <c r="I65" s="640" t="e">
        <f t="shared" si="10"/>
        <v>#REF!</v>
      </c>
      <c r="J65" s="9"/>
      <c r="K65" s="9"/>
      <c r="L65" s="9"/>
      <c r="M65" s="9"/>
      <c r="N65" s="9"/>
    </row>
    <row r="66" spans="1:14" s="9" customFormat="1" ht="16.5" customHeight="1" x14ac:dyDescent="0.25">
      <c r="A66" s="1145"/>
      <c r="B66" s="615" t="s">
        <v>640</v>
      </c>
      <c r="C66" s="638">
        <v>0</v>
      </c>
      <c r="D66" s="638" t="e">
        <f>+#REF!</f>
        <v>#REF!</v>
      </c>
      <c r="E66" s="638">
        <f>17600+1067</f>
        <v>18667</v>
      </c>
      <c r="F66" s="638" t="e">
        <f>+#REF!</f>
        <v>#REF!</v>
      </c>
      <c r="G66" s="638" t="e">
        <f>+#REF!</f>
        <v>#REF!</v>
      </c>
      <c r="H66" s="638">
        <v>0</v>
      </c>
      <c r="I66" s="640" t="e">
        <f>SUM(C66:H66)</f>
        <v>#REF!</v>
      </c>
    </row>
    <row r="67" spans="1:14" s="9" customFormat="1" ht="16.5" customHeight="1" x14ac:dyDescent="0.25">
      <c r="A67" s="1145"/>
      <c r="B67" s="615" t="s">
        <v>641</v>
      </c>
      <c r="C67" s="638" t="e">
        <f>+#REF!</f>
        <v>#REF!</v>
      </c>
      <c r="D67" s="638" t="e">
        <f>+#REF!</f>
        <v>#REF!</v>
      </c>
      <c r="E67" s="638">
        <v>31893</v>
      </c>
      <c r="F67" s="638" t="e">
        <f>+#REF!</f>
        <v>#REF!</v>
      </c>
      <c r="G67" s="638" t="e">
        <f>+#REF!</f>
        <v>#REF!</v>
      </c>
      <c r="H67" s="638">
        <v>0</v>
      </c>
      <c r="I67" s="640" t="e">
        <f t="shared" si="10"/>
        <v>#REF!</v>
      </c>
    </row>
    <row r="68" spans="1:14" s="9" customFormat="1" ht="16.5" customHeight="1" x14ac:dyDescent="0.25">
      <c r="A68" s="1145"/>
      <c r="B68" s="615" t="s">
        <v>642</v>
      </c>
      <c r="C68" s="638" t="e">
        <f>+#REF!</f>
        <v>#REF!</v>
      </c>
      <c r="D68" s="638" t="e">
        <f>+#REF!</f>
        <v>#REF!</v>
      </c>
      <c r="E68" s="638" t="e">
        <f>+#REF!</f>
        <v>#REF!</v>
      </c>
      <c r="F68" s="638" t="e">
        <f>+#REF!</f>
        <v>#REF!</v>
      </c>
      <c r="G68" s="638" t="e">
        <f>+#REF!</f>
        <v>#REF!</v>
      </c>
      <c r="H68" s="638">
        <v>0</v>
      </c>
      <c r="I68" s="640" t="e">
        <f>SUM(C68:H68)</f>
        <v>#REF!</v>
      </c>
    </row>
    <row r="69" spans="1:14" s="9" customFormat="1" ht="16.5" customHeight="1" thickBot="1" x14ac:dyDescent="0.3">
      <c r="A69" s="1145"/>
      <c r="B69" s="2432" t="s">
        <v>643</v>
      </c>
      <c r="C69" s="925" t="e">
        <f>+#REF!</f>
        <v>#REF!</v>
      </c>
      <c r="D69" s="925" t="e">
        <f>+#REF!</f>
        <v>#REF!</v>
      </c>
      <c r="E69" s="925" t="e">
        <f>+#REF!</f>
        <v>#REF!</v>
      </c>
      <c r="F69" s="925" t="e">
        <f>+#REF!</f>
        <v>#REF!</v>
      </c>
      <c r="G69" s="925" t="e">
        <f>+#REF!</f>
        <v>#REF!</v>
      </c>
      <c r="H69" s="925">
        <v>678168.2153110113</v>
      </c>
      <c r="I69" s="789" t="e">
        <f t="shared" si="10"/>
        <v>#REF!</v>
      </c>
    </row>
    <row r="70" spans="1:14" s="9" customFormat="1" ht="16.5" customHeight="1" thickBot="1" x14ac:dyDescent="0.3">
      <c r="A70" s="1145"/>
      <c r="B70" s="648" t="s">
        <v>43</v>
      </c>
      <c r="C70" s="2433" t="e">
        <f>SUM(C61:C69)</f>
        <v>#REF!</v>
      </c>
      <c r="D70" s="2433" t="e">
        <f t="shared" ref="D70:I70" si="11">SUM(D61:D69)</f>
        <v>#REF!</v>
      </c>
      <c r="E70" s="2433" t="e">
        <f t="shared" si="11"/>
        <v>#REF!</v>
      </c>
      <c r="F70" s="2433" t="e">
        <f t="shared" si="11"/>
        <v>#REF!</v>
      </c>
      <c r="G70" s="2433" t="e">
        <f t="shared" si="11"/>
        <v>#REF!</v>
      </c>
      <c r="H70" s="2433">
        <f t="shared" si="11"/>
        <v>678168.2153110113</v>
      </c>
      <c r="I70" s="2433" t="e">
        <f t="shared" si="11"/>
        <v>#REF!</v>
      </c>
    </row>
    <row r="71" spans="1:14" ht="19.5" hidden="1" customHeight="1" thickBot="1" x14ac:dyDescent="0.35">
      <c r="A71" s="83"/>
      <c r="B71" s="2891" t="s">
        <v>28</v>
      </c>
      <c r="C71" s="2892"/>
      <c r="D71" s="2892"/>
      <c r="E71" s="2892"/>
      <c r="F71" s="2892"/>
      <c r="G71" s="2892"/>
      <c r="H71" s="2892"/>
      <c r="I71" s="2893"/>
    </row>
    <row r="72" spans="1:14" ht="21" hidden="1" customHeight="1" x14ac:dyDescent="0.3">
      <c r="A72" s="83"/>
      <c r="B72" s="1032" t="s">
        <v>7</v>
      </c>
      <c r="C72" s="655" t="e">
        <f>C18+C32*0.8+C33*0.5+C34*0.8+C35*0.8+C36*0.5+C37*0.8+C38+C39*0.8+C44+C48+C62*0.8</f>
        <v>#REF!</v>
      </c>
      <c r="D72" s="655" t="e">
        <f t="shared" ref="D72:I72" si="12">D18+D32*0.8+D33*0.5+D34*0.8+D35*0.8+D36*0.5+D37*0.8+D38+D39*0.8+D44+D48+D62*0.8</f>
        <v>#REF!</v>
      </c>
      <c r="E72" s="655" t="e">
        <f t="shared" si="12"/>
        <v>#REF!</v>
      </c>
      <c r="F72" s="655" t="e">
        <f t="shared" si="12"/>
        <v>#REF!</v>
      </c>
      <c r="G72" s="655" t="e">
        <f t="shared" si="12"/>
        <v>#REF!</v>
      </c>
      <c r="H72" s="655">
        <f t="shared" si="12"/>
        <v>22250.033333333351</v>
      </c>
      <c r="I72" s="1033" t="e">
        <f t="shared" si="12"/>
        <v>#REF!</v>
      </c>
    </row>
    <row r="73" spans="1:14" ht="21" hidden="1" customHeight="1" x14ac:dyDescent="0.3">
      <c r="A73" s="21"/>
      <c r="B73" s="1034" t="s">
        <v>8</v>
      </c>
      <c r="C73" s="657" t="e">
        <f>C29+C32*0.2+C33*0.5+C34*0.2+C35*0.2+C36*0.5+C37*0.2+C39*0.2+C45+C47+C49+C50+C58+C62*0.2</f>
        <v>#REF!</v>
      </c>
      <c r="D73" s="657" t="e">
        <f t="shared" ref="D73:I73" si="13">D29+D32*0.2+D33*0.5+D34*0.2+D35*0.2+D36*0.5+D37*0.2+D39*0.2+D45+D47+D49+D50+D58+D62*0.2</f>
        <v>#REF!</v>
      </c>
      <c r="E73" s="657" t="e">
        <f t="shared" si="13"/>
        <v>#REF!</v>
      </c>
      <c r="F73" s="657" t="e">
        <f t="shared" si="13"/>
        <v>#REF!</v>
      </c>
      <c r="G73" s="657" t="e">
        <f t="shared" si="13"/>
        <v>#REF!</v>
      </c>
      <c r="H73" s="657">
        <f t="shared" si="13"/>
        <v>101352.63333333335</v>
      </c>
      <c r="I73" s="1035" t="e">
        <f t="shared" si="13"/>
        <v>#REF!</v>
      </c>
    </row>
    <row r="74" spans="1:14" ht="21" hidden="1" customHeight="1" thickBot="1" x14ac:dyDescent="0.35">
      <c r="A74" s="86"/>
      <c r="B74" s="1036" t="s">
        <v>12</v>
      </c>
      <c r="C74" s="659" t="e">
        <f t="shared" ref="C74:H74" si="14">C43+C46+C53+C61+C63+C64+C65+C66+C67+C68+C69</f>
        <v>#REF!</v>
      </c>
      <c r="D74" s="659" t="e">
        <f t="shared" si="14"/>
        <v>#REF!</v>
      </c>
      <c r="E74" s="659" t="e">
        <f t="shared" si="14"/>
        <v>#REF!</v>
      </c>
      <c r="F74" s="659" t="e">
        <f t="shared" si="14"/>
        <v>#REF!</v>
      </c>
      <c r="G74" s="659" t="e">
        <f t="shared" si="14"/>
        <v>#REF!</v>
      </c>
      <c r="H74" s="659">
        <f t="shared" si="14"/>
        <v>678168.2153110113</v>
      </c>
      <c r="I74" s="1037" t="e">
        <f>SUM(C74:H74)</f>
        <v>#REF!</v>
      </c>
    </row>
    <row r="75" spans="1:14" ht="21" thickBot="1" x14ac:dyDescent="0.35">
      <c r="A75" s="83"/>
      <c r="B75" s="648" t="s">
        <v>58</v>
      </c>
      <c r="C75" s="649" t="e">
        <f>C18+C29+C40+C51+C70</f>
        <v>#REF!</v>
      </c>
      <c r="D75" s="649" t="e">
        <f t="shared" ref="D75:I75" si="15">D18+D29+D40+D51+D70</f>
        <v>#REF!</v>
      </c>
      <c r="E75" s="649" t="e">
        <f t="shared" si="15"/>
        <v>#REF!</v>
      </c>
      <c r="F75" s="649" t="e">
        <f t="shared" si="15"/>
        <v>#REF!</v>
      </c>
      <c r="G75" s="649" t="e">
        <f t="shared" si="15"/>
        <v>#REF!</v>
      </c>
      <c r="H75" s="649">
        <f t="shared" si="15"/>
        <v>801770.88197767804</v>
      </c>
      <c r="I75" s="649" t="e">
        <f t="shared" si="15"/>
        <v>#REF!</v>
      </c>
    </row>
    <row r="77" spans="1:14" x14ac:dyDescent="0.2">
      <c r="I77" s="2470" t="e">
        <f>+I75-#REF!</f>
        <v>#REF!</v>
      </c>
    </row>
    <row r="79" spans="1:14" x14ac:dyDescent="0.2">
      <c r="I79" s="2501" t="e">
        <f>+I75-I77</f>
        <v>#REF!</v>
      </c>
    </row>
  </sheetData>
  <mergeCells count="13">
    <mergeCell ref="B71:I71"/>
    <mergeCell ref="B30:I30"/>
    <mergeCell ref="B31:I31"/>
    <mergeCell ref="B42:I42"/>
    <mergeCell ref="B52:I52"/>
    <mergeCell ref="B57:I57"/>
    <mergeCell ref="B60:I60"/>
    <mergeCell ref="B24:I24"/>
    <mergeCell ref="B1:I1"/>
    <mergeCell ref="B2:I2"/>
    <mergeCell ref="B11:I11"/>
    <mergeCell ref="B20:I20"/>
    <mergeCell ref="B23:I23"/>
  </mergeCells>
  <printOptions horizontalCentered="1" verticalCentered="1"/>
  <pageMargins left="0.61" right="0.31" top="0.2" bottom="0.43" header="0.2" footer="0.18"/>
  <pageSetup scale="65" orientation="landscape" r:id="rId1"/>
  <headerFooter alignWithMargins="0">
    <oddFooter>&amp;C&amp;1#&amp;"Calibri"&amp;12&amp;K008000Internal Use</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3">
    <tabColor indexed="47"/>
    <pageSetUpPr fitToPage="1"/>
  </sheetPr>
  <dimension ref="A1:L61"/>
  <sheetViews>
    <sheetView zoomScaleNormal="100" workbookViewId="0">
      <pane xSplit="1" ySplit="10" topLeftCell="B34" activePane="bottomRight" state="frozen"/>
      <selection activeCell="F12" sqref="B12:I57"/>
      <selection pane="topRight" activeCell="F12" sqref="B12:I57"/>
      <selection pane="bottomLeft" activeCell="F12" sqref="B12:I57"/>
      <selection pane="bottomRight" activeCell="F12" sqref="B12:I57"/>
    </sheetView>
  </sheetViews>
  <sheetFormatPr defaultRowHeight="12.75" x14ac:dyDescent="0.2"/>
  <cols>
    <col min="1" max="1" width="7.140625" style="49" customWidth="1"/>
    <col min="2" max="2" width="60.42578125" style="49" customWidth="1"/>
    <col min="3" max="3" width="20.42578125" style="64" customWidth="1"/>
    <col min="4" max="5" width="20.42578125" style="63" customWidth="1"/>
    <col min="6" max="9" width="20.42578125" style="49" customWidth="1"/>
    <col min="10" max="10" width="10.7109375" style="2469" customWidth="1"/>
    <col min="11" max="11" width="9.140625" style="49"/>
    <col min="12" max="12" width="12.140625" style="49" customWidth="1"/>
    <col min="13" max="16384" width="9.140625" style="49"/>
  </cols>
  <sheetData>
    <row r="1" spans="1:12" ht="26.25" x14ac:dyDescent="0.4">
      <c r="B1" s="2884" t="s">
        <v>82</v>
      </c>
      <c r="C1" s="2884"/>
      <c r="D1" s="2884"/>
      <c r="E1" s="2884"/>
      <c r="F1" s="2884"/>
      <c r="G1" s="2884"/>
      <c r="H1" s="2884"/>
      <c r="I1" s="2884"/>
    </row>
    <row r="2" spans="1:12" ht="26.25" x14ac:dyDescent="0.4">
      <c r="B2" s="2884" t="s">
        <v>690</v>
      </c>
      <c r="C2" s="2884"/>
      <c r="D2" s="2884"/>
      <c r="E2" s="2884"/>
      <c r="F2" s="2884"/>
      <c r="G2" s="2884"/>
      <c r="H2" s="2884"/>
      <c r="I2" s="2884"/>
    </row>
    <row r="3" spans="1:12" ht="26.25" hidden="1" x14ac:dyDescent="0.4">
      <c r="B3" s="1894"/>
      <c r="C3" s="1894"/>
      <c r="D3" s="1894"/>
      <c r="E3" s="1894"/>
      <c r="F3" s="1894"/>
      <c r="G3" s="1894"/>
      <c r="H3" s="1894"/>
      <c r="I3" s="1894"/>
    </row>
    <row r="4" spans="1:12" ht="26.25" hidden="1" x14ac:dyDescent="0.4">
      <c r="B4" s="1894"/>
      <c r="C4" s="1894"/>
      <c r="D4" s="1894"/>
      <c r="E4" s="1894"/>
      <c r="F4" s="1894"/>
      <c r="G4" s="1894"/>
      <c r="H4" s="1894"/>
      <c r="I4" s="1894"/>
    </row>
    <row r="5" spans="1:12" ht="26.25" hidden="1" x14ac:dyDescent="0.4">
      <c r="B5" s="1894"/>
      <c r="C5" s="1894"/>
      <c r="D5" s="1894"/>
      <c r="E5" s="1894"/>
      <c r="F5" s="1894"/>
      <c r="G5" s="1894"/>
      <c r="H5" s="1894"/>
      <c r="I5" s="1894"/>
    </row>
    <row r="6" spans="1:12" ht="26.25" hidden="1" x14ac:dyDescent="0.4">
      <c r="B6" s="1894"/>
      <c r="C6" s="1894"/>
      <c r="D6" s="1894"/>
      <c r="E6" s="1894"/>
      <c r="F6" s="1894"/>
      <c r="G6" s="1894"/>
      <c r="H6" s="1894"/>
      <c r="I6" s="1894"/>
    </row>
    <row r="7" spans="1:12" ht="26.25" hidden="1" x14ac:dyDescent="0.4">
      <c r="B7" s="1894"/>
      <c r="C7" s="1894"/>
      <c r="D7" s="1894"/>
      <c r="E7" s="1894"/>
      <c r="F7" s="1894"/>
      <c r="G7" s="1894"/>
      <c r="H7" s="1894"/>
      <c r="I7" s="1894"/>
    </row>
    <row r="8" spans="1:12" ht="6.75" customHeight="1" x14ac:dyDescent="0.25">
      <c r="B8" s="11"/>
      <c r="C8" s="10"/>
      <c r="D8" s="8"/>
      <c r="E8" s="8"/>
      <c r="F8" s="9"/>
      <c r="G8" s="9"/>
      <c r="H8" s="9"/>
      <c r="I8" s="9"/>
    </row>
    <row r="9" spans="1:12" ht="6.75" customHeight="1" thickBot="1" x14ac:dyDescent="0.3">
      <c r="B9" s="11"/>
      <c r="C9" s="10"/>
      <c r="D9" s="8"/>
      <c r="E9" s="8"/>
      <c r="F9" s="9"/>
      <c r="G9" s="9"/>
      <c r="H9" s="9"/>
      <c r="I9" s="9"/>
    </row>
    <row r="10" spans="1:12" ht="48.75" thickBot="1" x14ac:dyDescent="0.35">
      <c r="A10" s="21"/>
      <c r="B10" s="630" t="s">
        <v>620</v>
      </c>
      <c r="C10" s="631" t="s">
        <v>53</v>
      </c>
      <c r="D10" s="631" t="s">
        <v>13</v>
      </c>
      <c r="E10" s="631" t="s">
        <v>4</v>
      </c>
      <c r="F10" s="631" t="s">
        <v>2</v>
      </c>
      <c r="G10" s="631" t="s">
        <v>14</v>
      </c>
      <c r="H10" s="631" t="s">
        <v>15</v>
      </c>
      <c r="I10" s="631" t="s">
        <v>16</v>
      </c>
    </row>
    <row r="11" spans="1:12" ht="21" thickBot="1" x14ac:dyDescent="0.35">
      <c r="A11" s="21"/>
      <c r="B11" s="2476" t="s">
        <v>5</v>
      </c>
      <c r="C11" s="2477"/>
      <c r="D11" s="2477"/>
      <c r="E11" s="2477"/>
      <c r="F11" s="2477"/>
      <c r="G11" s="2477"/>
      <c r="H11" s="2477"/>
      <c r="I11" s="2478"/>
    </row>
    <row r="12" spans="1:12" ht="20.25" x14ac:dyDescent="0.3">
      <c r="A12" s="83"/>
      <c r="B12" s="156" t="s">
        <v>227</v>
      </c>
      <c r="C12" s="633">
        <v>73175</v>
      </c>
      <c r="D12" s="633">
        <v>1000</v>
      </c>
      <c r="E12" s="633">
        <f>25000-10000-11000+631.86</f>
        <v>4631.8599999999997</v>
      </c>
      <c r="F12" s="633">
        <f>358468+19500+170000+200000+100927+885798-886725+885798-898068-200000-28351+16123.45+7301.32-10095+13966.4</f>
        <v>634643.16999999993</v>
      </c>
      <c r="G12" s="633">
        <f>12500-8500</f>
        <v>4000</v>
      </c>
      <c r="H12" s="633">
        <v>2500</v>
      </c>
      <c r="I12" s="634">
        <f>SUM(C12:H12)</f>
        <v>719950.02999999991</v>
      </c>
      <c r="J12" s="2469">
        <f>$J$17*I12/$I$17</f>
        <v>-1.2671334831160807E-3</v>
      </c>
      <c r="L12" s="2469">
        <v>13966.401223136252</v>
      </c>
    </row>
    <row r="13" spans="1:12" ht="20.25" x14ac:dyDescent="0.3">
      <c r="A13" s="83"/>
      <c r="B13" s="614" t="s">
        <v>149</v>
      </c>
      <c r="C13" s="638">
        <f>9727.5/2+201762</f>
        <v>206625.75</v>
      </c>
      <c r="D13" s="638">
        <v>2000</v>
      </c>
      <c r="E13" s="638">
        <f>236634+60000+2863.06-18590+45.96+61780+1370</f>
        <v>344103.02</v>
      </c>
      <c r="F13" s="638">
        <f>3762645-80000-750000+3685138-3537547+3720221-3685138-200000-50000+100000+3112688-3532207+3112688-3086991-128817+64847+33551.63-45294+17847+62785</f>
        <v>2576416.63</v>
      </c>
      <c r="G13" s="638">
        <f>30000+20000+50000+3333</f>
        <v>103333</v>
      </c>
      <c r="H13" s="638">
        <v>4027</v>
      </c>
      <c r="I13" s="640">
        <f>SUM(C13:H13)</f>
        <v>3236505.4</v>
      </c>
      <c r="J13" s="2469">
        <f>$J$17*I13/$I$17</f>
        <v>-5.6963458430941442E-3</v>
      </c>
      <c r="L13" s="2469">
        <v>62785.382823185973</v>
      </c>
    </row>
    <row r="14" spans="1:12" ht="20.25" x14ac:dyDescent="0.3">
      <c r="A14" s="83"/>
      <c r="B14" s="614" t="s">
        <v>595</v>
      </c>
      <c r="C14" s="638">
        <f>31233*2</f>
        <v>62466</v>
      </c>
      <c r="D14" s="638">
        <f>2300+4000</f>
        <v>6300</v>
      </c>
      <c r="E14" s="638">
        <f>38000+90000+10000+1672.45</f>
        <v>139672.45000000001</v>
      </c>
      <c r="F14" s="638">
        <f>1538039.40146789-5000-10000+1817690-1733628+1817690-1831435-75144+40305+19326-1.05-25578+98.14+35388</f>
        <v>1587750.4914678899</v>
      </c>
      <c r="G14" s="638">
        <f>28000-8000+5000</f>
        <v>25000</v>
      </c>
      <c r="H14" s="638">
        <v>3000</v>
      </c>
      <c r="I14" s="640">
        <f>SUM(C14:H14)</f>
        <v>1824188.9414678898</v>
      </c>
      <c r="J14" s="2469">
        <f>$J$17*I14/$I$17</f>
        <v>-3.2106268365098114E-3</v>
      </c>
      <c r="L14" s="2469">
        <v>35387.664239274811</v>
      </c>
    </row>
    <row r="15" spans="1:12" ht="20.25" x14ac:dyDescent="0.3">
      <c r="A15" s="83"/>
      <c r="B15" s="614" t="s">
        <v>342</v>
      </c>
      <c r="C15" s="638">
        <f>19455/2/2+201103</f>
        <v>205966.75</v>
      </c>
      <c r="D15" s="638">
        <v>2500</v>
      </c>
      <c r="E15" s="638">
        <f>60000-50000+20000+20000+3800.4</f>
        <v>53800.4</v>
      </c>
      <c r="F15" s="638">
        <f>3894417.42593205+4121337-4117760-22000+3922785-4121337+3922785-3883603+4122785-3942785-170437+98920+43915-58915+17848-30000+81601</f>
        <v>3879556.4259320498</v>
      </c>
      <c r="G15" s="638">
        <f>15000-5000+22000+30000</f>
        <v>62000</v>
      </c>
      <c r="H15" s="638">
        <v>2600</v>
      </c>
      <c r="I15" s="2294">
        <f>SUM(C15:H15)</f>
        <v>4206423.5759320501</v>
      </c>
      <c r="J15" s="2469">
        <f>$J$17*I15/$I$17</f>
        <v>-7.4034307037008926E-3</v>
      </c>
      <c r="L15" s="2469">
        <v>81600.938919387438</v>
      </c>
    </row>
    <row r="16" spans="1:12" ht="24.6" customHeight="1" thickBot="1" x14ac:dyDescent="0.35">
      <c r="A16" s="83"/>
      <c r="B16" s="617" t="s">
        <v>529</v>
      </c>
      <c r="C16" s="641">
        <v>17848</v>
      </c>
      <c r="D16" s="641">
        <v>0</v>
      </c>
      <c r="E16" s="641">
        <f>140566+157486-155780-6511+141.63+1637-2191+3031</f>
        <v>138379.63</v>
      </c>
      <c r="F16" s="641">
        <v>0</v>
      </c>
      <c r="G16" s="641">
        <v>0</v>
      </c>
      <c r="H16" s="641">
        <v>0</v>
      </c>
      <c r="I16" s="643">
        <f>SUM(C16:H16)</f>
        <v>156227.63</v>
      </c>
      <c r="J16" s="2469">
        <f>$J$17*I16/$I$17</f>
        <v>-2.7496527913315085E-4</v>
      </c>
      <c r="L16" s="2469">
        <v>3030.6731058514097</v>
      </c>
    </row>
    <row r="17" spans="1:12" ht="21" thickBot="1" x14ac:dyDescent="0.35">
      <c r="A17" s="84"/>
      <c r="B17" s="232" t="s">
        <v>30</v>
      </c>
      <c r="C17" s="645">
        <f t="shared" ref="C17:I17" si="0">SUM(C12:C16)</f>
        <v>566081.5</v>
      </c>
      <c r="D17" s="645">
        <f t="shared" si="0"/>
        <v>11800</v>
      </c>
      <c r="E17" s="645">
        <f t="shared" si="0"/>
        <v>680587.36</v>
      </c>
      <c r="F17" s="645">
        <f t="shared" si="0"/>
        <v>8678366.7173999399</v>
      </c>
      <c r="G17" s="645">
        <f t="shared" si="0"/>
        <v>194333</v>
      </c>
      <c r="H17" s="645">
        <f t="shared" si="0"/>
        <v>12127</v>
      </c>
      <c r="I17" s="645">
        <f t="shared" si="0"/>
        <v>10143295.577399941</v>
      </c>
      <c r="J17" s="2469">
        <f>$I$61*I17/($I$17+$I$28)</f>
        <v>-1.7852502145554082E-2</v>
      </c>
      <c r="L17" s="2469">
        <v>196771.06031083592</v>
      </c>
    </row>
    <row r="18" spans="1:12" s="51" customFormat="1" ht="15" x14ac:dyDescent="0.2">
      <c r="B18" s="663"/>
      <c r="C18" s="664"/>
      <c r="D18" s="622"/>
      <c r="E18" s="622"/>
      <c r="F18" s="665"/>
      <c r="G18" s="665"/>
      <c r="H18" s="665"/>
      <c r="I18" s="666"/>
      <c r="J18" s="2645"/>
      <c r="L18" s="2645"/>
    </row>
    <row r="19" spans="1:12" ht="21" thickBot="1" x14ac:dyDescent="0.35">
      <c r="A19" s="84"/>
      <c r="B19" s="2476" t="s">
        <v>151</v>
      </c>
      <c r="C19" s="2477"/>
      <c r="D19" s="2477"/>
      <c r="E19" s="2477"/>
      <c r="F19" s="2477"/>
      <c r="G19" s="2477"/>
      <c r="H19" s="2477"/>
      <c r="I19" s="2478"/>
      <c r="L19" s="2469"/>
    </row>
    <row r="20" spans="1:12" ht="21" thickBot="1" x14ac:dyDescent="0.35">
      <c r="A20" s="83"/>
      <c r="B20" s="100" t="s">
        <v>154</v>
      </c>
      <c r="C20" s="644">
        <v>118968</v>
      </c>
      <c r="D20" s="644">
        <v>10251</v>
      </c>
      <c r="E20" s="644">
        <f>125000-38600+2070.37</f>
        <v>88470.37</v>
      </c>
      <c r="F20" s="644">
        <f>2091723.36466124-157169+2248990-2430508+2248990-2273897-92974+51022+23924-30261-6610.36+41734</f>
        <v>1714964.0046612399</v>
      </c>
      <c r="G20" s="644">
        <f>41004+157169</f>
        <v>198173</v>
      </c>
      <c r="H20" s="644">
        <v>20502</v>
      </c>
      <c r="I20" s="634">
        <f>SUM(C20:H20)</f>
        <v>2151328.3746612398</v>
      </c>
      <c r="J20" s="2469">
        <f>$J$28*I20/$I$28</f>
        <v>-3.7864019766912895E-3</v>
      </c>
      <c r="L20" s="2469">
        <v>41733.88758970247</v>
      </c>
    </row>
    <row r="21" spans="1:12" ht="21" thickBot="1" x14ac:dyDescent="0.35">
      <c r="A21" s="84"/>
      <c r="B21" s="26" t="s">
        <v>152</v>
      </c>
      <c r="C21" s="645">
        <f>SUM(C20)</f>
        <v>118968</v>
      </c>
      <c r="D21" s="645">
        <f t="shared" ref="D21:I21" si="1">SUM(D20)</f>
        <v>10251</v>
      </c>
      <c r="E21" s="645">
        <f t="shared" si="1"/>
        <v>88470.37</v>
      </c>
      <c r="F21" s="645">
        <f t="shared" si="1"/>
        <v>1714964.0046612399</v>
      </c>
      <c r="G21" s="645">
        <f t="shared" si="1"/>
        <v>198173</v>
      </c>
      <c r="H21" s="645">
        <f t="shared" si="1"/>
        <v>20502</v>
      </c>
      <c r="I21" s="645">
        <f t="shared" si="1"/>
        <v>2151328.3746612398</v>
      </c>
      <c r="L21" s="2469"/>
    </row>
    <row r="22" spans="1:12" s="51" customFormat="1" ht="20.25" x14ac:dyDescent="0.3">
      <c r="A22" s="83"/>
      <c r="B22" s="2479"/>
      <c r="C22" s="2480"/>
      <c r="D22" s="2480"/>
      <c r="E22" s="2480"/>
      <c r="F22" s="2480"/>
      <c r="G22" s="2480"/>
      <c r="H22" s="2480"/>
      <c r="I22" s="2481"/>
      <c r="J22" s="2645"/>
      <c r="L22" s="2645"/>
    </row>
    <row r="23" spans="1:12" ht="21" thickBot="1" x14ac:dyDescent="0.35">
      <c r="A23" s="84"/>
      <c r="B23" s="2476" t="s">
        <v>153</v>
      </c>
      <c r="C23" s="2477"/>
      <c r="D23" s="2477"/>
      <c r="E23" s="2477"/>
      <c r="F23" s="2477"/>
      <c r="G23" s="2477"/>
      <c r="H23" s="2477"/>
      <c r="I23" s="2478"/>
      <c r="L23" s="2469"/>
    </row>
    <row r="24" spans="1:12" ht="20.25" x14ac:dyDescent="0.3">
      <c r="A24" s="83"/>
      <c r="B24" s="100" t="s">
        <v>155</v>
      </c>
      <c r="C24" s="633">
        <v>118968</v>
      </c>
      <c r="D24" s="633">
        <v>5000</v>
      </c>
      <c r="E24" s="633">
        <f>58633-29519+1201.72</f>
        <v>30315.72</v>
      </c>
      <c r="F24" s="633">
        <f>1174211.99023619-114602+1306686-1382879+1306686-1326527-54019+28381+13886-17703+24491</f>
        <v>958611.99023619015</v>
      </c>
      <c r="G24" s="633">
        <f>30000+114602</f>
        <v>144602</v>
      </c>
      <c r="H24" s="633">
        <v>5000</v>
      </c>
      <c r="I24" s="634">
        <f>SUM(C24:H24)</f>
        <v>1262497.7102361901</v>
      </c>
      <c r="J24" s="2469">
        <f>$J$28*I24/$I$28</f>
        <v>-2.2220335500196587E-3</v>
      </c>
      <c r="L24" s="2469">
        <v>24491.358860677286</v>
      </c>
    </row>
    <row r="25" spans="1:12" ht="21" thickBot="1" x14ac:dyDescent="0.35">
      <c r="A25" s="83"/>
      <c r="B25" s="155" t="s">
        <v>581</v>
      </c>
      <c r="C25" s="635">
        <v>96377</v>
      </c>
      <c r="D25" s="635">
        <v>5000</v>
      </c>
      <c r="E25" s="635">
        <f>45000+612.45</f>
        <v>45612.45</v>
      </c>
      <c r="F25" s="635">
        <f>633369.817702631-39292+664650-724967+664650-667622-27477+15705.33+7077-10290+14235</f>
        <v>530039.14770263107</v>
      </c>
      <c r="G25" s="635">
        <f>10000+39292</f>
        <v>49292</v>
      </c>
      <c r="H25" s="635">
        <v>7500</v>
      </c>
      <c r="I25" s="926">
        <f>SUM(C25:H25)</f>
        <v>733820.59770263103</v>
      </c>
      <c r="J25" s="2469">
        <f>$J$28*I25/$I$28</f>
        <v>-1.2915460951494913E-3</v>
      </c>
      <c r="L25" s="2469">
        <v>14235.487545094011</v>
      </c>
    </row>
    <row r="26" spans="1:12" ht="21" thickBot="1" x14ac:dyDescent="0.35">
      <c r="A26" s="84"/>
      <c r="B26" s="26" t="s">
        <v>152</v>
      </c>
      <c r="C26" s="645">
        <f>SUM(C24:C25)</f>
        <v>215345</v>
      </c>
      <c r="D26" s="645">
        <f t="shared" ref="D26:I26" si="2">SUM(D24:D25)</f>
        <v>10000</v>
      </c>
      <c r="E26" s="645">
        <f t="shared" si="2"/>
        <v>75928.17</v>
      </c>
      <c r="F26" s="645">
        <f t="shared" si="2"/>
        <v>1488651.1379388212</v>
      </c>
      <c r="G26" s="645">
        <f t="shared" si="2"/>
        <v>193894</v>
      </c>
      <c r="H26" s="645">
        <f t="shared" si="2"/>
        <v>12500</v>
      </c>
      <c r="I26" s="645">
        <f t="shared" si="2"/>
        <v>1996318.3079388211</v>
      </c>
      <c r="L26" s="2469"/>
    </row>
    <row r="27" spans="1:12" ht="21" thickBot="1" x14ac:dyDescent="0.35">
      <c r="A27" s="84"/>
      <c r="B27" s="690" t="s">
        <v>245</v>
      </c>
      <c r="C27" s="703">
        <f>9727.5+66668</f>
        <v>76395.5</v>
      </c>
      <c r="D27" s="703">
        <v>2000</v>
      </c>
      <c r="E27" s="703">
        <f>10000+250.21</f>
        <v>10250.209999999999</v>
      </c>
      <c r="F27" s="703">
        <f>197121+7150-16372+218181-234303+218181-223613-11294+4838+2891-4555.59+6494</f>
        <v>164718.41</v>
      </c>
      <c r="G27" s="703">
        <f>5000+16372</f>
        <v>21372</v>
      </c>
      <c r="H27" s="703">
        <v>60000</v>
      </c>
      <c r="I27" s="703">
        <f>SUM(C27:H27)</f>
        <v>334736.12</v>
      </c>
      <c r="J27" s="2469">
        <f>$J$28*I27/$I$28</f>
        <v>-5.8914553508715363E-4</v>
      </c>
      <c r="L27" s="2469">
        <v>6493.5799520632472</v>
      </c>
    </row>
    <row r="28" spans="1:12" ht="21" thickBot="1" x14ac:dyDescent="0.35">
      <c r="A28" s="84"/>
      <c r="B28" s="26" t="s">
        <v>31</v>
      </c>
      <c r="C28" s="645">
        <f>C21+C26+C27</f>
        <v>410708.5</v>
      </c>
      <c r="D28" s="645">
        <f t="shared" ref="D28:I28" si="3">D21+D26+D27</f>
        <v>22251</v>
      </c>
      <c r="E28" s="645">
        <f t="shared" si="3"/>
        <v>174648.74999999997</v>
      </c>
      <c r="F28" s="645">
        <f t="shared" si="3"/>
        <v>3368333.5526000615</v>
      </c>
      <c r="G28" s="645">
        <f t="shared" si="3"/>
        <v>413439</v>
      </c>
      <c r="H28" s="645">
        <f t="shared" si="3"/>
        <v>93002</v>
      </c>
      <c r="I28" s="645">
        <f t="shared" si="3"/>
        <v>4482382.8026000606</v>
      </c>
      <c r="J28" s="2469">
        <f>$I$61*I28/($I$17+$I$28)</f>
        <v>-7.8891271569475931E-3</v>
      </c>
      <c r="L28" s="2469">
        <v>86954.313947537012</v>
      </c>
    </row>
    <row r="29" spans="1:12" ht="21" thickBot="1" x14ac:dyDescent="0.35">
      <c r="A29" s="83"/>
      <c r="B29" s="2476" t="s">
        <v>158</v>
      </c>
      <c r="C29" s="2477"/>
      <c r="D29" s="2477"/>
      <c r="E29" s="2477"/>
      <c r="F29" s="2477"/>
      <c r="G29" s="2477"/>
      <c r="H29" s="2477"/>
      <c r="I29" s="2478"/>
    </row>
    <row r="30" spans="1:12" s="9" customFormat="1" ht="16.5" customHeight="1" thickBot="1" x14ac:dyDescent="0.3">
      <c r="A30" s="1145"/>
      <c r="B30" s="2476" t="s">
        <v>393</v>
      </c>
      <c r="C30" s="2477"/>
      <c r="D30" s="2477"/>
      <c r="E30" s="2477"/>
      <c r="F30" s="2477"/>
      <c r="G30" s="2477"/>
      <c r="H30" s="2477"/>
      <c r="I30" s="2478"/>
      <c r="J30" s="2596"/>
    </row>
    <row r="31" spans="1:12" s="9" customFormat="1" ht="16.5" customHeight="1" x14ac:dyDescent="0.25">
      <c r="A31" s="1150"/>
      <c r="B31" s="693" t="s">
        <v>600</v>
      </c>
      <c r="C31" s="1854">
        <f>26678.03-950-5200-10826</f>
        <v>9702.0299999999988</v>
      </c>
      <c r="D31" s="669">
        <v>469</v>
      </c>
      <c r="E31" s="669">
        <f>16897+11890</f>
        <v>28787</v>
      </c>
      <c r="F31" s="669">
        <v>0</v>
      </c>
      <c r="G31" s="669">
        <v>1657</v>
      </c>
      <c r="H31" s="669">
        <f>24917+264</f>
        <v>25181</v>
      </c>
      <c r="I31" s="1899">
        <f>SUM(C31:H31)</f>
        <v>65796.03</v>
      </c>
      <c r="J31" s="2596"/>
    </row>
    <row r="32" spans="1:12" s="9" customFormat="1" ht="16.5" customHeight="1" x14ac:dyDescent="0.25">
      <c r="A32" s="1150"/>
      <c r="B32" s="693" t="s">
        <v>487</v>
      </c>
      <c r="C32" s="1854">
        <v>0</v>
      </c>
      <c r="D32" s="669">
        <v>0</v>
      </c>
      <c r="E32" s="669">
        <v>0</v>
      </c>
      <c r="F32" s="669">
        <v>0</v>
      </c>
      <c r="G32" s="669">
        <v>0</v>
      </c>
      <c r="H32" s="669">
        <v>0</v>
      </c>
      <c r="I32" s="1899">
        <f>SUM(C32:H32)</f>
        <v>0</v>
      </c>
      <c r="J32" s="2596"/>
    </row>
    <row r="33" spans="1:12" s="9" customFormat="1" ht="16.5" customHeight="1" x14ac:dyDescent="0.25">
      <c r="A33" s="1150"/>
      <c r="B33" s="693" t="s">
        <v>601</v>
      </c>
      <c r="C33" s="1854">
        <v>7139</v>
      </c>
      <c r="D33" s="669">
        <v>374</v>
      </c>
      <c r="E33" s="669">
        <f>16500-2485</f>
        <v>14015</v>
      </c>
      <c r="F33" s="669">
        <v>0</v>
      </c>
      <c r="G33" s="669">
        <v>862</v>
      </c>
      <c r="H33" s="669">
        <f>2667+287-2485</f>
        <v>469</v>
      </c>
      <c r="I33" s="1899">
        <f>SUM(C33:H33)</f>
        <v>22859</v>
      </c>
      <c r="J33" s="2596"/>
    </row>
    <row r="34" spans="1:12" s="9" customFormat="1" ht="16.5" customHeight="1" thickBot="1" x14ac:dyDescent="0.3">
      <c r="A34" s="1150"/>
      <c r="B34" s="693" t="s">
        <v>602</v>
      </c>
      <c r="C34" s="1854">
        <v>1785</v>
      </c>
      <c r="D34" s="669">
        <v>1147</v>
      </c>
      <c r="E34" s="669">
        <v>7394</v>
      </c>
      <c r="F34" s="669">
        <v>0</v>
      </c>
      <c r="G34" s="669">
        <v>0</v>
      </c>
      <c r="H34" s="669">
        <f>1583+48+1714</f>
        <v>3345</v>
      </c>
      <c r="I34" s="1899">
        <f>SUM(C34:H34)</f>
        <v>13671</v>
      </c>
      <c r="J34" s="2596"/>
    </row>
    <row r="35" spans="1:12" s="9" customFormat="1" ht="16.5" customHeight="1" thickBot="1" x14ac:dyDescent="0.3">
      <c r="A35" s="1150"/>
      <c r="B35" s="26" t="s">
        <v>395</v>
      </c>
      <c r="C35" s="645">
        <f t="shared" ref="C35:I35" si="4">SUM(C31:C34)</f>
        <v>18626.03</v>
      </c>
      <c r="D35" s="645">
        <f t="shared" si="4"/>
        <v>1990</v>
      </c>
      <c r="E35" s="645">
        <f t="shared" si="4"/>
        <v>50196</v>
      </c>
      <c r="F35" s="645">
        <f t="shared" si="4"/>
        <v>0</v>
      </c>
      <c r="G35" s="645">
        <f t="shared" si="4"/>
        <v>2519</v>
      </c>
      <c r="H35" s="645">
        <f t="shared" si="4"/>
        <v>28995</v>
      </c>
      <c r="I35" s="645">
        <f t="shared" si="4"/>
        <v>102326.03</v>
      </c>
      <c r="J35" s="2596"/>
    </row>
    <row r="36" spans="1:12" s="9" customFormat="1" ht="16.5" customHeight="1" thickBot="1" x14ac:dyDescent="0.3">
      <c r="A36" s="1150"/>
      <c r="B36" s="2483"/>
      <c r="C36" s="2484"/>
      <c r="D36" s="2484"/>
      <c r="E36" s="2484"/>
      <c r="F36" s="2484"/>
      <c r="G36" s="2484"/>
      <c r="H36" s="2484"/>
      <c r="I36" s="2484"/>
      <c r="J36" s="2596"/>
    </row>
    <row r="37" spans="1:12" s="1164" customFormat="1" ht="16.5" customHeight="1" thickBot="1" x14ac:dyDescent="0.3">
      <c r="A37" s="1150"/>
      <c r="B37" s="2476" t="s">
        <v>396</v>
      </c>
      <c r="C37" s="2477"/>
      <c r="D37" s="2477"/>
      <c r="E37" s="2477"/>
      <c r="F37" s="2477"/>
      <c r="G37" s="2477"/>
      <c r="H37" s="2477"/>
      <c r="I37" s="2478"/>
      <c r="J37" s="2646"/>
    </row>
    <row r="38" spans="1:12" s="9" customFormat="1" ht="16.5" customHeight="1" x14ac:dyDescent="0.25">
      <c r="A38" s="1150"/>
      <c r="B38" s="2264" t="s">
        <v>607</v>
      </c>
      <c r="C38" s="1166">
        <v>0</v>
      </c>
      <c r="D38" s="1166">
        <v>0</v>
      </c>
      <c r="E38" s="1901">
        <f>186292-100000</f>
        <v>86292</v>
      </c>
      <c r="F38" s="1166">
        <v>0</v>
      </c>
      <c r="G38" s="1166">
        <v>0</v>
      </c>
      <c r="H38" s="1166">
        <v>0</v>
      </c>
      <c r="I38" s="1899">
        <f>SUM(C38:H38)</f>
        <v>86292</v>
      </c>
      <c r="J38" s="2596"/>
    </row>
    <row r="39" spans="1:12" s="9" customFormat="1" ht="16.5" customHeight="1" x14ac:dyDescent="0.25">
      <c r="A39" s="1150"/>
      <c r="B39" s="2264" t="s">
        <v>608</v>
      </c>
      <c r="C39" s="1166">
        <v>0</v>
      </c>
      <c r="D39" s="1166">
        <v>0</v>
      </c>
      <c r="E39" s="1901">
        <v>20000</v>
      </c>
      <c r="F39" s="1166">
        <v>0</v>
      </c>
      <c r="G39" s="1166">
        <v>0</v>
      </c>
      <c r="H39" s="1166">
        <v>0</v>
      </c>
      <c r="I39" s="1899">
        <f>SUM(C39:H39)</f>
        <v>20000</v>
      </c>
      <c r="J39" s="2596"/>
    </row>
    <row r="40" spans="1:12" s="9" customFormat="1" ht="16.5" customHeight="1" thickBot="1" x14ac:dyDescent="0.3">
      <c r="A40" s="1150"/>
      <c r="B40" s="2264" t="s">
        <v>603</v>
      </c>
      <c r="C40" s="1166">
        <v>0</v>
      </c>
      <c r="D40" s="1166">
        <v>0</v>
      </c>
      <c r="E40" s="1901">
        <v>50000</v>
      </c>
      <c r="F40" s="1166">
        <v>0</v>
      </c>
      <c r="G40" s="1166">
        <v>0</v>
      </c>
      <c r="H40" s="1166">
        <v>0</v>
      </c>
      <c r="I40" s="1899">
        <f>SUM(C40:H40)</f>
        <v>50000</v>
      </c>
      <c r="J40" s="2596"/>
    </row>
    <row r="41" spans="1:12" s="1164" customFormat="1" ht="16.5" customHeight="1" thickBot="1" x14ac:dyDescent="0.3">
      <c r="A41" s="1150"/>
      <c r="B41" s="1168" t="s">
        <v>397</v>
      </c>
      <c r="C41" s="1169">
        <f t="shared" ref="C41:I41" si="5">SUM(C38:C40)</f>
        <v>0</v>
      </c>
      <c r="D41" s="1169">
        <f t="shared" si="5"/>
        <v>0</v>
      </c>
      <c r="E41" s="1169">
        <f t="shared" si="5"/>
        <v>156292</v>
      </c>
      <c r="F41" s="1169">
        <f t="shared" si="5"/>
        <v>0</v>
      </c>
      <c r="G41" s="1169">
        <f t="shared" si="5"/>
        <v>0</v>
      </c>
      <c r="H41" s="1169">
        <f t="shared" si="5"/>
        <v>0</v>
      </c>
      <c r="I41" s="2272">
        <f t="shared" si="5"/>
        <v>156292</v>
      </c>
      <c r="J41" s="2646"/>
    </row>
    <row r="42" spans="1:12" s="9" customFormat="1" ht="16.5" customHeight="1" thickBot="1" x14ac:dyDescent="0.3">
      <c r="A42" s="1150"/>
      <c r="B42" s="2476" t="s">
        <v>401</v>
      </c>
      <c r="C42" s="2477"/>
      <c r="D42" s="2477"/>
      <c r="E42" s="2477"/>
      <c r="F42" s="2477"/>
      <c r="G42" s="2477"/>
      <c r="H42" s="2477"/>
      <c r="I42" s="2478"/>
      <c r="J42" s="2596"/>
    </row>
    <row r="43" spans="1:12" s="9" customFormat="1" ht="16.5" customHeight="1" x14ac:dyDescent="0.25">
      <c r="A43" s="1150"/>
      <c r="B43" s="615" t="s">
        <v>545</v>
      </c>
      <c r="C43" s="638">
        <f>-98.56+141234</f>
        <v>141135.44</v>
      </c>
      <c r="D43" s="638">
        <f>+'CNG Table C 2013'!D38</f>
        <v>0</v>
      </c>
      <c r="E43" s="638">
        <f>20675-11292-55.03</f>
        <v>9327.9699999999993</v>
      </c>
      <c r="F43" s="638">
        <f>+'CNG Table C 2013'!F38</f>
        <v>0</v>
      </c>
      <c r="G43" s="638">
        <f>+'CNG Table C 2013'!G38</f>
        <v>0</v>
      </c>
      <c r="H43" s="638">
        <v>0</v>
      </c>
      <c r="I43" s="640">
        <f>SUM(C43:H43)</f>
        <v>150463.41</v>
      </c>
      <c r="J43" s="2596"/>
    </row>
    <row r="44" spans="1:12" s="9" customFormat="1" ht="16.5" customHeight="1" x14ac:dyDescent="0.25">
      <c r="A44" s="1150"/>
      <c r="B44" s="615" t="s">
        <v>546</v>
      </c>
      <c r="C44" s="638">
        <f>+'CNG Table C 2013'!C39</f>
        <v>0</v>
      </c>
      <c r="D44" s="638">
        <f>+'CNG Table C 2013'!D39</f>
        <v>0</v>
      </c>
      <c r="E44" s="638">
        <v>14630</v>
      </c>
      <c r="F44" s="638">
        <f>+'CNG Table C 2013'!F39</f>
        <v>0</v>
      </c>
      <c r="G44" s="638">
        <f>+'CNG Table C 2013'!G39</f>
        <v>0</v>
      </c>
      <c r="H44" s="638">
        <v>0</v>
      </c>
      <c r="I44" s="640">
        <f t="shared" ref="I44:I51" si="6">SUM(C44:H44)</f>
        <v>14630</v>
      </c>
      <c r="J44" s="2596"/>
    </row>
    <row r="45" spans="1:12" s="9" customFormat="1" ht="16.5" customHeight="1" x14ac:dyDescent="0.25">
      <c r="A45" s="1150"/>
      <c r="B45" s="615" t="s">
        <v>547</v>
      </c>
      <c r="C45" s="638">
        <v>50210</v>
      </c>
      <c r="D45" s="638">
        <f>+'CNG Table C 2013'!D40</f>
        <v>0</v>
      </c>
      <c r="E45" s="638">
        <f>120000+1464422-1497101</f>
        <v>87321</v>
      </c>
      <c r="F45" s="638">
        <f>+'CNG Table C 2013'!F40</f>
        <v>0</v>
      </c>
      <c r="G45" s="638">
        <f>+'CNG Table C 2013'!G40</f>
        <v>0</v>
      </c>
      <c r="H45" s="638">
        <v>0</v>
      </c>
      <c r="I45" s="640">
        <f t="shared" si="6"/>
        <v>137531</v>
      </c>
      <c r="J45" s="2596"/>
    </row>
    <row r="46" spans="1:12" s="9" customFormat="1" ht="16.5" customHeight="1" x14ac:dyDescent="0.25">
      <c r="A46" s="1150"/>
      <c r="B46" s="615" t="s">
        <v>548</v>
      </c>
      <c r="C46" s="638">
        <v>96583</v>
      </c>
      <c r="D46" s="638">
        <f>+'CNG Table C 2013'!D41</f>
        <v>0</v>
      </c>
      <c r="E46" s="638">
        <v>0</v>
      </c>
      <c r="F46" s="638">
        <f>+'CNG Table C 2013'!F41</f>
        <v>0</v>
      </c>
      <c r="G46" s="638">
        <f>+'CNG Table C 2013'!G41</f>
        <v>0</v>
      </c>
      <c r="H46" s="638">
        <v>0</v>
      </c>
      <c r="I46" s="640">
        <f t="shared" si="6"/>
        <v>96583</v>
      </c>
      <c r="J46" s="2596"/>
    </row>
    <row r="47" spans="1:12" s="1159" customFormat="1" ht="16.5" customHeight="1" x14ac:dyDescent="0.25">
      <c r="A47" s="1145"/>
      <c r="B47" s="615" t="s">
        <v>639</v>
      </c>
      <c r="C47" s="638">
        <v>0</v>
      </c>
      <c r="D47" s="638">
        <f>+'CNG Table C 2013'!D42</f>
        <v>0</v>
      </c>
      <c r="E47" s="638">
        <v>217523</v>
      </c>
      <c r="F47" s="638">
        <f>+'CNG Table C 2013'!F42</f>
        <v>0</v>
      </c>
      <c r="G47" s="638">
        <f>+'CNG Table C 2013'!G42</f>
        <v>0</v>
      </c>
      <c r="H47" s="638">
        <v>0</v>
      </c>
      <c r="I47" s="640">
        <f t="shared" si="6"/>
        <v>217523</v>
      </c>
      <c r="J47" s="2596"/>
      <c r="K47" s="9"/>
      <c r="L47" s="9"/>
    </row>
    <row r="48" spans="1:12" s="9" customFormat="1" ht="16.5" customHeight="1" x14ac:dyDescent="0.25">
      <c r="A48" s="1145"/>
      <c r="B48" s="615" t="s">
        <v>640</v>
      </c>
      <c r="C48" s="638">
        <v>0</v>
      </c>
      <c r="D48" s="638">
        <f>+'CNG Table C 2013'!D42</f>
        <v>0</v>
      </c>
      <c r="E48" s="638">
        <f>17600+1067</f>
        <v>18667</v>
      </c>
      <c r="F48" s="638">
        <f>+'CNG Table C 2013'!F40</f>
        <v>0</v>
      </c>
      <c r="G48" s="638">
        <f>+'CNG Table C 2013'!G42</f>
        <v>0</v>
      </c>
      <c r="H48" s="638">
        <v>0</v>
      </c>
      <c r="I48" s="640">
        <f>SUM(C48:H48)</f>
        <v>18667</v>
      </c>
      <c r="J48" s="2596"/>
    </row>
    <row r="49" spans="1:10" s="9" customFormat="1" ht="16.5" customHeight="1" x14ac:dyDescent="0.25">
      <c r="A49" s="1145"/>
      <c r="B49" s="615" t="s">
        <v>641</v>
      </c>
      <c r="C49" s="638">
        <f>+'CNG Table C 2013'!C43</f>
        <v>0</v>
      </c>
      <c r="D49" s="638">
        <f>+'CNG Table C 2013'!D43</f>
        <v>0</v>
      </c>
      <c r="E49" s="638">
        <v>31893</v>
      </c>
      <c r="F49" s="638">
        <f>+'CNG Table C 2013'!F43</f>
        <v>0</v>
      </c>
      <c r="G49" s="638">
        <f>+'CNG Table C 2013'!G43</f>
        <v>0</v>
      </c>
      <c r="H49" s="638">
        <v>0</v>
      </c>
      <c r="I49" s="640">
        <f t="shared" si="6"/>
        <v>31893</v>
      </c>
      <c r="J49" s="2596"/>
    </row>
    <row r="50" spans="1:10" s="9" customFormat="1" ht="16.5" customHeight="1" x14ac:dyDescent="0.25">
      <c r="A50" s="1145"/>
      <c r="B50" s="615" t="s">
        <v>642</v>
      </c>
      <c r="C50" s="638">
        <f>+'CNG Table C 2013'!C44</f>
        <v>0</v>
      </c>
      <c r="D50" s="638">
        <f>+'CNG Table C 2013'!D44</f>
        <v>0</v>
      </c>
      <c r="E50" s="638">
        <v>10000</v>
      </c>
      <c r="F50" s="638">
        <f>+'CNG Table C 2013'!F44</f>
        <v>0</v>
      </c>
      <c r="G50" s="638">
        <f>+'CNG Table C 2013'!G44</f>
        <v>0</v>
      </c>
      <c r="H50" s="638">
        <v>0</v>
      </c>
      <c r="I50" s="640">
        <f>SUM(C50:H50)</f>
        <v>10000</v>
      </c>
      <c r="J50" s="2596"/>
    </row>
    <row r="51" spans="1:10" s="9" customFormat="1" ht="16.5" customHeight="1" thickBot="1" x14ac:dyDescent="0.3">
      <c r="A51" s="1145"/>
      <c r="B51" s="2432" t="s">
        <v>643</v>
      </c>
      <c r="C51" s="925">
        <f>+'CNG Table C 2013'!C44</f>
        <v>0</v>
      </c>
      <c r="D51" s="925">
        <f>+'CNG Table C 2013'!D44</f>
        <v>0</v>
      </c>
      <c r="E51" s="925">
        <f>+'CNG Table C 2013'!E44</f>
        <v>0</v>
      </c>
      <c r="F51" s="925">
        <f>+'CNG Table C 2013'!F44</f>
        <v>0</v>
      </c>
      <c r="G51" s="925">
        <f>+'CNG Table C 2013'!G44</f>
        <v>0</v>
      </c>
      <c r="H51" s="925">
        <v>697546.20574162679</v>
      </c>
      <c r="I51" s="789">
        <f t="shared" si="6"/>
        <v>697546.20574162679</v>
      </c>
      <c r="J51" s="2596"/>
    </row>
    <row r="52" spans="1:10" s="9" customFormat="1" ht="16.5" customHeight="1" thickBot="1" x14ac:dyDescent="0.3">
      <c r="A52" s="1145"/>
      <c r="B52" s="648" t="s">
        <v>43</v>
      </c>
      <c r="C52" s="2433">
        <f>SUM(C43:C51)</f>
        <v>287928.44</v>
      </c>
      <c r="D52" s="2433">
        <f t="shared" ref="D52:I52" si="7">SUM(D43:D51)</f>
        <v>0</v>
      </c>
      <c r="E52" s="2433">
        <f t="shared" si="7"/>
        <v>389361.97</v>
      </c>
      <c r="F52" s="2433">
        <f t="shared" si="7"/>
        <v>0</v>
      </c>
      <c r="G52" s="2433">
        <f t="shared" si="7"/>
        <v>0</v>
      </c>
      <c r="H52" s="2433">
        <f t="shared" si="7"/>
        <v>697546.20574162679</v>
      </c>
      <c r="I52" s="2433">
        <f t="shared" si="7"/>
        <v>1374836.6157416268</v>
      </c>
      <c r="J52" s="2596"/>
    </row>
    <row r="53" spans="1:10" ht="19.5" customHeight="1" thickBot="1" x14ac:dyDescent="0.35">
      <c r="A53" s="83"/>
      <c r="B53" s="2476" t="s">
        <v>28</v>
      </c>
      <c r="C53" s="2477"/>
      <c r="D53" s="2477"/>
      <c r="E53" s="2477"/>
      <c r="F53" s="2477"/>
      <c r="G53" s="2477"/>
      <c r="H53" s="2477"/>
      <c r="I53" s="2478"/>
    </row>
    <row r="54" spans="1:10" ht="21" customHeight="1" x14ac:dyDescent="0.3">
      <c r="A54" s="83"/>
      <c r="B54" s="1032" t="s">
        <v>7</v>
      </c>
      <c r="C54" s="655">
        <f>C17+C31*'Budget Allocation Table  '!$C$7+C32*'Budget Allocation Table  '!$C$8+C33*'Budget Allocation Table  '!$C$9+C34*'Budget Allocation Table  '!$C$10+C38+C44*'Budget Allocation Table  '!$C$19</f>
        <v>577536.21499999997</v>
      </c>
      <c r="D54" s="655">
        <f>D17+D31*'Budget Allocation Table  '!$C$7+D32*'Budget Allocation Table  '!$C$8+D33*'Budget Allocation Table  '!$C$9+D34*'Budget Allocation Table  '!$C$10+D38+D44*'Budget Allocation Table  '!$C$19</f>
        <v>12907.2</v>
      </c>
      <c r="E54" s="655">
        <f>E17+E31*'Budget Allocation Table  '!$C$7+E32*'Budget Allocation Table  '!$C$8+E33*'Budget Allocation Table  '!$C$9+E34*'Budget Allocation Table  '!$C$10+E38+E44*'Budget Allocation Table  '!$C$19</f>
        <v>807885.86</v>
      </c>
      <c r="F54" s="655">
        <f>F17+F31*'Budget Allocation Table  '!$C$7+F32*'Budget Allocation Table  '!$C$8+F33*'Budget Allocation Table  '!$C$9+F34*'Budget Allocation Table  '!$C$10+F38+F44*'Budget Allocation Table  '!$C$19</f>
        <v>8678366.7173999399</v>
      </c>
      <c r="G54" s="655">
        <f>G17+G31*'Budget Allocation Table  '!$C$7+G32*'Budget Allocation Table  '!$C$8+G33*'Budget Allocation Table  '!$C$9+G34*'Budget Allocation Table  '!$C$10+G38+G44*'Budget Allocation Table  '!$C$19</f>
        <v>195851.1</v>
      </c>
      <c r="H54" s="655">
        <f>H17+H31*'Budget Allocation Table  '!$C$7+H32*'Budget Allocation Table  '!$C$8+H33*'Budget Allocation Table  '!$C$9+H34*'Budget Allocation Table  '!$C$10+H38+H44*'Budget Allocation Table  '!$C$19</f>
        <v>26765.200000000001</v>
      </c>
      <c r="I54" s="1033">
        <f>I17+I31*'Budget Allocation Table  '!$C$7+I32*'Budget Allocation Table  '!$C$8+I33*'Budget Allocation Table  '!$C$9+I34*'Budget Allocation Table  '!$C$10+I38+I44*'Budget Allocation Table  '!$C$19</f>
        <v>10299312.292399941</v>
      </c>
    </row>
    <row r="55" spans="1:10" ht="21" customHeight="1" x14ac:dyDescent="0.3">
      <c r="A55" s="21"/>
      <c r="B55" s="1034" t="s">
        <v>8</v>
      </c>
      <c r="C55" s="657">
        <f>C28+C31*'Budget Allocation Table  '!$D$7+C32*'Budget Allocation Table  '!$D$8+C33*'Budget Allocation Table  '!$D$9+C34*'Budget Allocation Table  '!$D$10+C39+C44*'Budget Allocation Table  '!$D$19</f>
        <v>417879.815</v>
      </c>
      <c r="D55" s="657">
        <f>D28+D31*'Budget Allocation Table  '!$D$7+D32*'Budget Allocation Table  '!$D$8+D33*'Budget Allocation Table  '!$D$9+D34*'Budget Allocation Table  '!$D$10+D39+D44*'Budget Allocation Table  '!$D$19</f>
        <v>23133.8</v>
      </c>
      <c r="E55" s="657">
        <f>E28+E31*'Budget Allocation Table  '!$D$7+E32*'Budget Allocation Table  '!$D$8+E33*'Budget Allocation Table  '!$D$9+E34*'Budget Allocation Table  '!$D$10+E39+E44*'Budget Allocation Table  '!$D$19</f>
        <v>218468.24999999997</v>
      </c>
      <c r="F55" s="657">
        <f>F28+F31*'Budget Allocation Table  '!$D$7+F32*'Budget Allocation Table  '!$D$8+F33*'Budget Allocation Table  '!$D$9+F34*'Budget Allocation Table  '!$D$10+F39+F44*'Budget Allocation Table  '!$D$19</f>
        <v>3368333.5526000615</v>
      </c>
      <c r="G55" s="657">
        <f>G28+G31*'Budget Allocation Table  '!$D$7+G32*'Budget Allocation Table  '!$D$8+G33*'Budget Allocation Table  '!$D$9+G34*'Budget Allocation Table  '!$D$10+G39+G44*'Budget Allocation Table  '!$D$19</f>
        <v>414439.9</v>
      </c>
      <c r="H55" s="657">
        <f>H28+H31*'Budget Allocation Table  '!$D$7+H32*'Budget Allocation Table  '!$D$8+H33*'Budget Allocation Table  '!$D$9+H34*'Budget Allocation Table  '!$D$10+H39+H44*'Budget Allocation Table  '!$D$19</f>
        <v>107358.8</v>
      </c>
      <c r="I55" s="1035">
        <f>I28+I31*'Budget Allocation Table  '!$D$7+I32*'Budget Allocation Table  '!$D$8+I33*'Budget Allocation Table  '!$D$9+I34*'Budget Allocation Table  '!$D$10+I39+I44*'Budget Allocation Table  '!$D$19</f>
        <v>4549614.1176000601</v>
      </c>
    </row>
    <row r="56" spans="1:10" ht="21" customHeight="1" thickBot="1" x14ac:dyDescent="0.35">
      <c r="A56" s="86"/>
      <c r="B56" s="1036" t="s">
        <v>12</v>
      </c>
      <c r="C56" s="659">
        <f>C40+C43+C45+C46+C47+C48+C49+C50+C51</f>
        <v>287928.44</v>
      </c>
      <c r="D56" s="659">
        <f t="shared" ref="D56:I56" si="8">D40+D43+D45+D46+D47+D48+D49+D50+D51</f>
        <v>0</v>
      </c>
      <c r="E56" s="659">
        <f t="shared" si="8"/>
        <v>424731.97</v>
      </c>
      <c r="F56" s="659">
        <f t="shared" si="8"/>
        <v>0</v>
      </c>
      <c r="G56" s="659">
        <f t="shared" si="8"/>
        <v>0</v>
      </c>
      <c r="H56" s="659">
        <f t="shared" si="8"/>
        <v>697546.20574162679</v>
      </c>
      <c r="I56" s="1037">
        <f t="shared" si="8"/>
        <v>1410206.6157416268</v>
      </c>
    </row>
    <row r="57" spans="1:10" ht="21" thickBot="1" x14ac:dyDescent="0.35">
      <c r="A57" s="83"/>
      <c r="B57" s="648" t="s">
        <v>58</v>
      </c>
      <c r="C57" s="649">
        <f t="shared" ref="C57:I57" si="9">C17+C28+C35+C41+C52</f>
        <v>1283344.47</v>
      </c>
      <c r="D57" s="649">
        <f t="shared" si="9"/>
        <v>36041</v>
      </c>
      <c r="E57" s="649">
        <f t="shared" si="9"/>
        <v>1451086.0799999998</v>
      </c>
      <c r="F57" s="649">
        <f t="shared" si="9"/>
        <v>12046700.270000001</v>
      </c>
      <c r="G57" s="649">
        <f t="shared" si="9"/>
        <v>610291</v>
      </c>
      <c r="H57" s="649">
        <f t="shared" si="9"/>
        <v>831670.20574162679</v>
      </c>
      <c r="I57" s="649">
        <f t="shared" si="9"/>
        <v>16259133.025741629</v>
      </c>
    </row>
    <row r="59" spans="1:10" x14ac:dyDescent="0.2">
      <c r="I59" s="2470"/>
    </row>
    <row r="60" spans="1:10" x14ac:dyDescent="0.2">
      <c r="I60" s="2475">
        <v>16259133</v>
      </c>
    </row>
    <row r="61" spans="1:10" x14ac:dyDescent="0.2">
      <c r="I61" s="587">
        <f>+I60-I57</f>
        <v>-2.5741629302501678E-2</v>
      </c>
    </row>
  </sheetData>
  <mergeCells count="2">
    <mergeCell ref="B1:I1"/>
    <mergeCell ref="B2:I2"/>
  </mergeCells>
  <printOptions horizontalCentered="1" verticalCentered="1"/>
  <pageMargins left="0.61" right="0.31" top="0.2" bottom="0.43" header="0.2" footer="0.18"/>
  <pageSetup scale="54" orientation="landscape" r:id="rId1"/>
  <headerFooter alignWithMargins="0">
    <oddFooter>&amp;C&amp;1#&amp;"Calibri"&amp;12&amp;K008000Internal Use</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tabColor indexed="47"/>
    <pageSetUpPr fitToPage="1"/>
  </sheetPr>
  <dimension ref="A1:X75"/>
  <sheetViews>
    <sheetView topLeftCell="A21" zoomScale="75" workbookViewId="0">
      <selection activeCell="H69" sqref="H69"/>
    </sheetView>
  </sheetViews>
  <sheetFormatPr defaultRowHeight="12.75" x14ac:dyDescent="0.2"/>
  <cols>
    <col min="1" max="1" width="7.140625" style="49" customWidth="1"/>
    <col min="2" max="2" width="60.425781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623</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v>4000</v>
      </c>
      <c r="F12" s="633">
        <v>547968</v>
      </c>
      <c r="G12" s="633">
        <v>4000</v>
      </c>
      <c r="H12" s="633">
        <v>2500</v>
      </c>
      <c r="I12" s="634">
        <v>598443</v>
      </c>
      <c r="J12" s="85"/>
      <c r="K12" s="2197"/>
      <c r="L12" s="583"/>
      <c r="M12" s="583"/>
      <c r="N12" s="572"/>
      <c r="O12" s="584"/>
      <c r="P12" s="584"/>
      <c r="Q12" s="584"/>
    </row>
    <row r="13" spans="1:20" ht="20.25" x14ac:dyDescent="0.3">
      <c r="A13" s="83"/>
      <c r="B13" s="614" t="s">
        <v>149</v>
      </c>
      <c r="C13" s="638">
        <v>252240.9</v>
      </c>
      <c r="D13" s="638">
        <v>2000</v>
      </c>
      <c r="E13" s="638">
        <v>296634</v>
      </c>
      <c r="F13" s="638">
        <v>3115319</v>
      </c>
      <c r="G13" s="638">
        <v>50000</v>
      </c>
      <c r="H13" s="638">
        <v>4027</v>
      </c>
      <c r="I13" s="640">
        <v>3720220.9</v>
      </c>
      <c r="J13" s="796"/>
      <c r="K13" s="796"/>
      <c r="L13" s="796"/>
      <c r="M13" s="796"/>
      <c r="N13" s="796"/>
      <c r="O13" s="796"/>
      <c r="P13" s="583"/>
      <c r="Q13" s="583"/>
      <c r="R13" s="586"/>
      <c r="S13" s="587"/>
    </row>
    <row r="14" spans="1:20" ht="20.25" x14ac:dyDescent="0.3">
      <c r="A14" s="83"/>
      <c r="B14" s="614" t="s">
        <v>596</v>
      </c>
      <c r="C14" s="638">
        <v>58566</v>
      </c>
      <c r="D14" s="638">
        <v>6300</v>
      </c>
      <c r="E14" s="638">
        <v>128000</v>
      </c>
      <c r="F14" s="638">
        <v>1490288.9</v>
      </c>
      <c r="G14" s="638">
        <v>20000</v>
      </c>
      <c r="H14" s="638">
        <v>3000</v>
      </c>
      <c r="I14" s="640">
        <v>1706154.9</v>
      </c>
      <c r="J14" s="796"/>
      <c r="K14" s="585"/>
      <c r="L14" s="1178"/>
      <c r="M14" s="583"/>
      <c r="N14" s="583"/>
      <c r="O14" s="583"/>
      <c r="P14" s="583"/>
      <c r="Q14" s="583"/>
      <c r="R14" s="586"/>
      <c r="S14" s="587"/>
    </row>
    <row r="15" spans="1:20" ht="20.25" x14ac:dyDescent="0.3">
      <c r="A15" s="83"/>
      <c r="B15" s="614" t="s">
        <v>342</v>
      </c>
      <c r="C15" s="638">
        <v>234806</v>
      </c>
      <c r="D15" s="638">
        <v>2500</v>
      </c>
      <c r="E15" s="638">
        <v>30000</v>
      </c>
      <c r="F15" s="638">
        <v>3662044</v>
      </c>
      <c r="G15" s="638">
        <v>10000</v>
      </c>
      <c r="H15" s="638">
        <v>2600</v>
      </c>
      <c r="I15" s="2294">
        <v>3941950</v>
      </c>
      <c r="J15" s="749"/>
      <c r="K15" s="585"/>
      <c r="L15" s="1178"/>
      <c r="M15" s="601"/>
      <c r="N15" s="601"/>
      <c r="O15" s="601"/>
      <c r="P15" s="601"/>
      <c r="Q15" s="601"/>
    </row>
    <row r="16" spans="1:20" ht="24.6" customHeight="1" thickBot="1" x14ac:dyDescent="0.35">
      <c r="A16" s="83"/>
      <c r="B16" s="617" t="s">
        <v>529</v>
      </c>
      <c r="C16" s="641">
        <v>0</v>
      </c>
      <c r="D16" s="641">
        <v>0</v>
      </c>
      <c r="E16" s="641">
        <v>241493</v>
      </c>
      <c r="F16" s="641">
        <v>0</v>
      </c>
      <c r="G16" s="641">
        <v>0</v>
      </c>
      <c r="H16" s="641">
        <v>0</v>
      </c>
      <c r="I16" s="643">
        <v>241493</v>
      </c>
      <c r="J16" s="796"/>
      <c r="K16" s="585"/>
      <c r="L16" s="1178"/>
      <c r="M16" s="581"/>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v>0</v>
      </c>
      <c r="J17" s="748"/>
      <c r="K17" s="588"/>
      <c r="L17" s="2047"/>
      <c r="M17" s="2047"/>
      <c r="N17" s="2047"/>
      <c r="O17" s="2047"/>
      <c r="P17" s="602"/>
      <c r="Q17" s="602"/>
    </row>
    <row r="18" spans="1:17" ht="21" thickBot="1" x14ac:dyDescent="0.35">
      <c r="A18" s="84"/>
      <c r="B18" s="232" t="s">
        <v>30</v>
      </c>
      <c r="C18" s="645">
        <v>584587.9</v>
      </c>
      <c r="D18" s="645">
        <v>11800</v>
      </c>
      <c r="E18" s="645">
        <v>700127</v>
      </c>
      <c r="F18" s="645">
        <v>8815619.9000000004</v>
      </c>
      <c r="G18" s="645">
        <v>84000</v>
      </c>
      <c r="H18" s="645">
        <v>12127</v>
      </c>
      <c r="I18" s="645">
        <v>10208261.800000001</v>
      </c>
      <c r="J18" s="748"/>
      <c r="K18" s="520"/>
      <c r="L18" s="520"/>
      <c r="M18" s="52"/>
    </row>
    <row r="19" spans="1:17" s="51" customFormat="1" ht="15" x14ac:dyDescent="0.2">
      <c r="B19" s="663"/>
      <c r="C19" s="664"/>
      <c r="D19" s="622"/>
      <c r="E19" s="622"/>
      <c r="F19" s="665"/>
      <c r="G19" s="665"/>
      <c r="H19" s="665"/>
      <c r="I19" s="666"/>
      <c r="J19" s="52"/>
      <c r="K19" s="52"/>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10251</v>
      </c>
      <c r="E21" s="644">
        <v>86400</v>
      </c>
      <c r="F21" s="644">
        <v>2026783</v>
      </c>
      <c r="G21" s="644">
        <v>41004</v>
      </c>
      <c r="H21" s="644">
        <v>20502</v>
      </c>
      <c r="I21" s="634">
        <v>2519940</v>
      </c>
      <c r="J21" s="85"/>
      <c r="K21" s="519"/>
      <c r="L21" s="625"/>
      <c r="M21" s="625"/>
      <c r="N21" s="625"/>
      <c r="O21" s="625"/>
      <c r="P21" s="625"/>
      <c r="Q21" s="625"/>
    </row>
    <row r="22" spans="1:17" ht="21" thickBot="1" x14ac:dyDescent="0.35">
      <c r="A22" s="84"/>
      <c r="B22" s="26" t="s">
        <v>152</v>
      </c>
      <c r="C22" s="645">
        <v>335000</v>
      </c>
      <c r="D22" s="645">
        <v>10251</v>
      </c>
      <c r="E22" s="645">
        <v>86400</v>
      </c>
      <c r="F22" s="645">
        <v>2026783</v>
      </c>
      <c r="G22" s="645">
        <v>41004</v>
      </c>
      <c r="H22" s="645">
        <v>20502</v>
      </c>
      <c r="I22" s="645">
        <v>2519940</v>
      </c>
      <c r="J22" s="85"/>
      <c r="K22" s="520"/>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5000</v>
      </c>
      <c r="E25" s="633">
        <v>29114</v>
      </c>
      <c r="F25" s="633">
        <v>1137757</v>
      </c>
      <c r="G25" s="633">
        <v>30000</v>
      </c>
      <c r="H25" s="633">
        <v>5000</v>
      </c>
      <c r="I25" s="634">
        <v>1334871</v>
      </c>
      <c r="J25" s="85"/>
      <c r="K25" s="600"/>
      <c r="L25" s="625"/>
      <c r="M25" s="625"/>
      <c r="N25" s="625"/>
      <c r="O25" s="625"/>
      <c r="P25" s="625"/>
      <c r="Q25" s="625"/>
    </row>
    <row r="26" spans="1:17" ht="21" thickBot="1" x14ac:dyDescent="0.35">
      <c r="A26" s="83"/>
      <c r="B26" s="155" t="s">
        <v>581</v>
      </c>
      <c r="C26" s="635">
        <v>65000</v>
      </c>
      <c r="D26" s="635">
        <v>5000</v>
      </c>
      <c r="E26" s="635">
        <v>45000</v>
      </c>
      <c r="F26" s="635">
        <v>613706</v>
      </c>
      <c r="G26" s="635">
        <v>10000</v>
      </c>
      <c r="H26" s="635">
        <v>7500</v>
      </c>
      <c r="I26" s="926">
        <v>746206</v>
      </c>
      <c r="J26" s="85"/>
      <c r="K26" s="600"/>
      <c r="L26" s="625"/>
      <c r="M26" s="625"/>
      <c r="N26" s="625"/>
      <c r="O26" s="625"/>
      <c r="P26" s="625"/>
      <c r="Q26" s="625"/>
    </row>
    <row r="27" spans="1:17" ht="21" thickBot="1" x14ac:dyDescent="0.35">
      <c r="A27" s="84"/>
      <c r="B27" s="26" t="s">
        <v>152</v>
      </c>
      <c r="C27" s="645">
        <v>193000</v>
      </c>
      <c r="D27" s="645">
        <v>10000</v>
      </c>
      <c r="E27" s="645">
        <v>74114</v>
      </c>
      <c r="F27" s="645">
        <v>1751463</v>
      </c>
      <c r="G27" s="645">
        <v>40000</v>
      </c>
      <c r="H27" s="645">
        <v>12500</v>
      </c>
      <c r="I27" s="645">
        <v>2081077</v>
      </c>
      <c r="J27" s="85"/>
      <c r="K27" s="600"/>
      <c r="L27" s="309"/>
      <c r="M27" s="627"/>
      <c r="N27" s="257"/>
      <c r="O27" s="245"/>
      <c r="P27" s="245"/>
      <c r="Q27" s="12"/>
    </row>
    <row r="28" spans="1:17" ht="21" thickBot="1" x14ac:dyDescent="0.35">
      <c r="A28" s="84"/>
      <c r="B28" s="690" t="s">
        <v>245</v>
      </c>
      <c r="C28" s="703">
        <v>28000</v>
      </c>
      <c r="D28" s="703">
        <v>2000</v>
      </c>
      <c r="E28" s="703">
        <v>10000</v>
      </c>
      <c r="F28" s="703">
        <v>204271</v>
      </c>
      <c r="G28" s="703">
        <v>5000</v>
      </c>
      <c r="H28" s="703">
        <v>5000</v>
      </c>
      <c r="I28" s="703">
        <v>254271</v>
      </c>
      <c r="J28" s="85"/>
      <c r="L28" s="624"/>
      <c r="M28" s="623"/>
      <c r="N28" s="623"/>
      <c r="O28" s="741"/>
      <c r="P28" s="741"/>
      <c r="Q28" s="741"/>
    </row>
    <row r="29" spans="1:17" ht="21" thickBot="1" x14ac:dyDescent="0.35">
      <c r="A29" s="84"/>
      <c r="B29" s="26" t="s">
        <v>31</v>
      </c>
      <c r="C29" s="645">
        <v>556000</v>
      </c>
      <c r="D29" s="645">
        <v>22251</v>
      </c>
      <c r="E29" s="645">
        <v>170514</v>
      </c>
      <c r="F29" s="645">
        <v>3982517</v>
      </c>
      <c r="G29" s="645">
        <v>86004</v>
      </c>
      <c r="H29" s="645">
        <v>38002</v>
      </c>
      <c r="I29" s="645">
        <v>4855288</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1854">
        <v>0</v>
      </c>
      <c r="D32" s="669">
        <v>0</v>
      </c>
      <c r="E32" s="669">
        <v>0</v>
      </c>
      <c r="F32" s="669">
        <v>0</v>
      </c>
      <c r="G32" s="669">
        <v>0</v>
      </c>
      <c r="H32" s="669">
        <v>0</v>
      </c>
      <c r="I32" s="668">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v>0</v>
      </c>
      <c r="E61" s="638">
        <v>20675</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272915</v>
      </c>
      <c r="F65" s="638">
        <v>0</v>
      </c>
      <c r="G65" s="638">
        <v>0</v>
      </c>
      <c r="H65" s="638">
        <v>0</v>
      </c>
      <c r="I65" s="640">
        <v>293333</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32267</v>
      </c>
      <c r="F66" s="638">
        <v>0</v>
      </c>
      <c r="G66" s="638">
        <v>0</v>
      </c>
      <c r="H66" s="638">
        <v>0</v>
      </c>
      <c r="I66" s="640">
        <v>32267</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38">
        <v>0</v>
      </c>
      <c r="E69" s="638">
        <v>0</v>
      </c>
      <c r="F69" s="638">
        <v>0</v>
      </c>
      <c r="G69" s="638">
        <v>0</v>
      </c>
      <c r="H69" s="638">
        <v>742687</v>
      </c>
      <c r="I69" s="640">
        <v>742687</v>
      </c>
      <c r="J69" s="1159"/>
      <c r="K69" s="1159"/>
      <c r="L69" s="848"/>
    </row>
    <row r="70" spans="1:24" s="9" customFormat="1" ht="16.5" customHeight="1" thickBot="1" x14ac:dyDescent="0.3">
      <c r="A70" s="1145"/>
      <c r="B70" s="232" t="s">
        <v>43</v>
      </c>
      <c r="C70" s="1177">
        <v>214393</v>
      </c>
      <c r="D70" s="1177">
        <v>0</v>
      </c>
      <c r="E70" s="1177">
        <v>586942</v>
      </c>
      <c r="F70" s="1177">
        <v>0</v>
      </c>
      <c r="G70" s="1177">
        <v>0</v>
      </c>
      <c r="H70" s="1177">
        <v>742687</v>
      </c>
      <c r="I70" s="1177">
        <v>1544022</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613809.08111999999</v>
      </c>
      <c r="D72" s="655">
        <v>13184</v>
      </c>
      <c r="E72" s="655">
        <v>1183204.5999999999</v>
      </c>
      <c r="F72" s="655">
        <v>8815619.9000000004</v>
      </c>
      <c r="G72" s="655">
        <v>88540</v>
      </c>
      <c r="H72" s="655">
        <v>13057</v>
      </c>
      <c r="I72" s="1033">
        <v>10727414.581120001</v>
      </c>
      <c r="L72" s="141"/>
      <c r="M72" s="49"/>
      <c r="N72" s="49"/>
    </row>
    <row r="73" spans="1:24" ht="21" customHeight="1" x14ac:dyDescent="0.3">
      <c r="A73" s="21"/>
      <c r="B73" s="1034" t="s">
        <v>8</v>
      </c>
      <c r="C73" s="657">
        <v>579690.81888000004</v>
      </c>
      <c r="D73" s="657">
        <v>23167</v>
      </c>
      <c r="E73" s="657">
        <v>385338.39999999997</v>
      </c>
      <c r="F73" s="657">
        <v>3982517</v>
      </c>
      <c r="G73" s="657">
        <v>89464</v>
      </c>
      <c r="H73" s="657">
        <v>38572</v>
      </c>
      <c r="I73" s="1035">
        <v>5098749.2188799996</v>
      </c>
      <c r="J73" s="521"/>
      <c r="L73" s="141"/>
      <c r="M73" s="49"/>
      <c r="N73" s="49"/>
    </row>
    <row r="74" spans="1:24" ht="21" customHeight="1" thickBot="1" x14ac:dyDescent="0.35">
      <c r="A74" s="86"/>
      <c r="B74" s="1036" t="s">
        <v>12</v>
      </c>
      <c r="C74" s="659">
        <v>214393</v>
      </c>
      <c r="D74" s="659">
        <v>0</v>
      </c>
      <c r="E74" s="659">
        <v>555884</v>
      </c>
      <c r="F74" s="659">
        <v>0</v>
      </c>
      <c r="G74" s="659">
        <v>0</v>
      </c>
      <c r="H74" s="659">
        <v>742687</v>
      </c>
      <c r="I74" s="1037">
        <v>1512964</v>
      </c>
      <c r="L74" s="141"/>
      <c r="M74" s="49"/>
      <c r="N74" s="49"/>
    </row>
    <row r="75" spans="1:24" ht="21" thickBot="1" x14ac:dyDescent="0.35">
      <c r="A75" s="83"/>
      <c r="B75" s="648" t="s">
        <v>58</v>
      </c>
      <c r="C75" s="649">
        <v>1407892.9</v>
      </c>
      <c r="D75" s="649">
        <v>36351</v>
      </c>
      <c r="E75" s="649">
        <v>2124427</v>
      </c>
      <c r="F75" s="649">
        <v>12798136.9</v>
      </c>
      <c r="G75" s="649">
        <v>178004</v>
      </c>
      <c r="H75" s="649">
        <v>794316</v>
      </c>
      <c r="I75" s="649">
        <v>17339127.800000001</v>
      </c>
      <c r="L75" s="141"/>
      <c r="M75" s="49"/>
      <c r="N75" s="49"/>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61" right="0.31" top="0.2" bottom="0.43" header="0.2" footer="0.18"/>
  <pageSetup scale="60" orientation="landscape" r:id="rId1"/>
  <headerFooter alignWithMargins="0">
    <oddFooter>&amp;R
&amp;C&amp;"Arial"&amp;11&amp;K000000&amp;14
Totals may vary due to rounding&amp;12
_x000D_&amp;1#&amp;"Calibri"&amp;12&amp;K008000Internal Use</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tabColor indexed="47"/>
    <pageSetUpPr fitToPage="1"/>
  </sheetPr>
  <dimension ref="A1:X75"/>
  <sheetViews>
    <sheetView zoomScale="75" workbookViewId="0"/>
  </sheetViews>
  <sheetFormatPr defaultRowHeight="12.75" x14ac:dyDescent="0.2"/>
  <cols>
    <col min="1" max="1" width="7.140625" style="49" customWidth="1"/>
    <col min="2" max="2" width="60.42578125" style="49" customWidth="1"/>
    <col min="3" max="3" width="18.5703125" style="64" customWidth="1"/>
    <col min="4" max="4" width="15.7109375" style="63" customWidth="1"/>
    <col min="5" max="5" width="17.7109375" style="63" customWidth="1"/>
    <col min="6" max="6" width="17.42578125" style="49" customWidth="1"/>
    <col min="7" max="7" width="16.5703125" style="49" customWidth="1"/>
    <col min="8" max="8" width="20.42578125" style="49" customWidth="1"/>
    <col min="9" max="9" width="21.140625" style="49" customWidth="1"/>
    <col min="10" max="10" width="24.28515625" style="50" customWidth="1"/>
    <col min="11" max="11" width="23.42578125" style="50" customWidth="1"/>
    <col min="12" max="12" width="12.28515625" style="50" bestFit="1" customWidth="1"/>
    <col min="13" max="14" width="10.7109375" style="50" customWidth="1"/>
    <col min="15" max="20" width="10.7109375" style="49" customWidth="1"/>
    <col min="21" max="16384" width="9.140625" style="49"/>
  </cols>
  <sheetData>
    <row r="1" spans="1:20" ht="26.25" x14ac:dyDescent="0.4">
      <c r="B1" s="2884" t="s">
        <v>82</v>
      </c>
      <c r="C1" s="2884"/>
      <c r="D1" s="2884"/>
      <c r="E1" s="2884"/>
      <c r="F1" s="2884"/>
      <c r="G1" s="2884"/>
      <c r="H1" s="2884"/>
      <c r="I1" s="2884"/>
    </row>
    <row r="2" spans="1:20" ht="26.25" x14ac:dyDescent="0.4">
      <c r="B2" s="2884" t="s">
        <v>623</v>
      </c>
      <c r="C2" s="2884"/>
      <c r="D2" s="2884"/>
      <c r="E2" s="2884"/>
      <c r="F2" s="2884"/>
      <c r="G2" s="2884"/>
      <c r="H2" s="2884"/>
      <c r="I2" s="2884"/>
    </row>
    <row r="3" spans="1:20" ht="26.25" hidden="1" x14ac:dyDescent="0.4">
      <c r="B3" s="1894"/>
      <c r="C3" s="1894"/>
      <c r="D3" s="1894"/>
      <c r="E3" s="1894"/>
      <c r="F3" s="1894"/>
      <c r="G3" s="1894"/>
      <c r="H3" s="1894"/>
      <c r="I3" s="1894"/>
    </row>
    <row r="4" spans="1:20" ht="26.25" hidden="1" x14ac:dyDescent="0.4">
      <c r="B4" s="1894"/>
      <c r="C4" s="1894"/>
      <c r="D4" s="1894"/>
      <c r="E4" s="1894"/>
      <c r="F4" s="1894"/>
      <c r="G4" s="1894"/>
      <c r="H4" s="1894"/>
      <c r="I4" s="1894"/>
    </row>
    <row r="5" spans="1:20" ht="26.25" hidden="1" x14ac:dyDescent="0.4">
      <c r="B5" s="1894"/>
      <c r="C5" s="1894"/>
      <c r="D5" s="1894"/>
      <c r="E5" s="1894"/>
      <c r="F5" s="1894"/>
      <c r="G5" s="1894"/>
      <c r="H5" s="1894"/>
      <c r="I5" s="1894"/>
    </row>
    <row r="6" spans="1:20" ht="26.25" hidden="1" x14ac:dyDescent="0.4">
      <c r="B6" s="1894"/>
      <c r="C6" s="1894"/>
      <c r="D6" s="1894"/>
      <c r="E6" s="1894"/>
      <c r="F6" s="1894"/>
      <c r="G6" s="1894"/>
      <c r="H6" s="1894"/>
      <c r="I6" s="1894"/>
    </row>
    <row r="7" spans="1:20" ht="26.25" hidden="1" x14ac:dyDescent="0.4">
      <c r="B7" s="1894"/>
      <c r="C7" s="1894"/>
      <c r="D7" s="1894"/>
      <c r="E7" s="1894"/>
      <c r="F7" s="1894"/>
      <c r="G7" s="1894"/>
      <c r="H7" s="1894"/>
      <c r="I7" s="1894"/>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c r="L11" s="52"/>
      <c r="M11" s="52"/>
    </row>
    <row r="12" spans="1:20" ht="20.25" x14ac:dyDescent="0.3">
      <c r="A12" s="83"/>
      <c r="B12" s="156" t="s">
        <v>227</v>
      </c>
      <c r="C12" s="633">
        <v>38975</v>
      </c>
      <c r="D12" s="633">
        <v>1000</v>
      </c>
      <c r="E12" s="633">
        <v>4000</v>
      </c>
      <c r="F12" s="633">
        <v>547968</v>
      </c>
      <c r="G12" s="633">
        <v>4000</v>
      </c>
      <c r="H12" s="633">
        <v>2500</v>
      </c>
      <c r="I12" s="634">
        <v>598443</v>
      </c>
      <c r="J12" s="85"/>
      <c r="K12" s="2197"/>
      <c r="L12" s="583"/>
      <c r="M12" s="583"/>
      <c r="N12" s="572"/>
      <c r="O12" s="584"/>
      <c r="P12" s="584"/>
      <c r="Q12" s="584"/>
    </row>
    <row r="13" spans="1:20" ht="20.25" x14ac:dyDescent="0.3">
      <c r="A13" s="83"/>
      <c r="B13" s="614" t="s">
        <v>149</v>
      </c>
      <c r="C13" s="638">
        <v>252240.9</v>
      </c>
      <c r="D13" s="638">
        <v>2000</v>
      </c>
      <c r="E13" s="638">
        <v>296634</v>
      </c>
      <c r="F13" s="638">
        <v>3115319</v>
      </c>
      <c r="G13" s="638">
        <v>50000</v>
      </c>
      <c r="H13" s="638">
        <v>4027</v>
      </c>
      <c r="I13" s="640">
        <v>3720220.9</v>
      </c>
      <c r="J13" s="796"/>
      <c r="K13" s="796"/>
      <c r="L13" s="796"/>
      <c r="M13" s="796"/>
      <c r="N13" s="796"/>
      <c r="O13" s="796"/>
      <c r="P13" s="583"/>
      <c r="Q13" s="583"/>
      <c r="R13" s="586"/>
      <c r="S13" s="587"/>
    </row>
    <row r="14" spans="1:20" ht="20.25" x14ac:dyDescent="0.3">
      <c r="A14" s="83"/>
      <c r="B14" s="614" t="s">
        <v>596</v>
      </c>
      <c r="C14" s="638">
        <v>58566</v>
      </c>
      <c r="D14" s="638">
        <v>6300</v>
      </c>
      <c r="E14" s="638">
        <v>128000</v>
      </c>
      <c r="F14" s="638">
        <v>1490288.9</v>
      </c>
      <c r="G14" s="638">
        <v>20000</v>
      </c>
      <c r="H14" s="638">
        <v>3000</v>
      </c>
      <c r="I14" s="640">
        <v>1706154.9</v>
      </c>
      <c r="J14" s="796"/>
      <c r="K14" s="585"/>
      <c r="L14" s="1178"/>
      <c r="M14" s="583"/>
      <c r="N14" s="583"/>
      <c r="O14" s="583"/>
      <c r="P14" s="583"/>
      <c r="Q14" s="583"/>
      <c r="R14" s="586"/>
      <c r="S14" s="587"/>
    </row>
    <row r="15" spans="1:20" ht="20.25" x14ac:dyDescent="0.3">
      <c r="A15" s="83"/>
      <c r="B15" s="614" t="s">
        <v>342</v>
      </c>
      <c r="C15" s="638">
        <v>234806</v>
      </c>
      <c r="D15" s="638">
        <v>2500</v>
      </c>
      <c r="E15" s="638">
        <v>30000</v>
      </c>
      <c r="F15" s="638">
        <v>3773510</v>
      </c>
      <c r="G15" s="638">
        <v>10000</v>
      </c>
      <c r="H15" s="638">
        <v>2600</v>
      </c>
      <c r="I15" s="2294">
        <v>4053416</v>
      </c>
      <c r="J15" s="749"/>
      <c r="K15" s="585"/>
      <c r="L15" s="1178"/>
      <c r="M15" s="601"/>
      <c r="N15" s="601"/>
      <c r="O15" s="601"/>
      <c r="P15" s="601"/>
      <c r="Q15" s="601"/>
    </row>
    <row r="16" spans="1:20" ht="24.6" customHeight="1" thickBot="1" x14ac:dyDescent="0.35">
      <c r="A16" s="83"/>
      <c r="B16" s="617" t="s">
        <v>529</v>
      </c>
      <c r="C16" s="641">
        <v>0</v>
      </c>
      <c r="D16" s="641">
        <v>0</v>
      </c>
      <c r="E16" s="641">
        <v>241493</v>
      </c>
      <c r="F16" s="641">
        <v>0</v>
      </c>
      <c r="G16" s="641">
        <v>0</v>
      </c>
      <c r="H16" s="641">
        <v>0</v>
      </c>
      <c r="I16" s="643">
        <v>241493</v>
      </c>
      <c r="J16" s="796"/>
      <c r="K16" s="585"/>
      <c r="L16" s="1178"/>
      <c r="M16" s="581"/>
      <c r="N16" s="581"/>
      <c r="O16" s="581"/>
      <c r="P16" s="581"/>
      <c r="Q16" s="581"/>
      <c r="R16" s="582"/>
      <c r="S16" s="582"/>
      <c r="T16" s="582"/>
    </row>
    <row r="17" spans="1:17" ht="21" hidden="1" thickBot="1" x14ac:dyDescent="0.35">
      <c r="A17" s="84"/>
      <c r="B17" s="2293" t="s">
        <v>150</v>
      </c>
      <c r="C17" s="845">
        <v>0</v>
      </c>
      <c r="D17" s="635">
        <v>0</v>
      </c>
      <c r="E17" s="635">
        <v>0</v>
      </c>
      <c r="F17" s="635">
        <v>0</v>
      </c>
      <c r="G17" s="635">
        <v>0</v>
      </c>
      <c r="H17" s="635">
        <v>0</v>
      </c>
      <c r="I17" s="1025">
        <v>0</v>
      </c>
      <c r="J17" s="748"/>
      <c r="K17" s="588"/>
      <c r="L17" s="2047"/>
      <c r="M17" s="2047"/>
      <c r="N17" s="2047"/>
      <c r="O17" s="2047"/>
      <c r="P17" s="602"/>
      <c r="Q17" s="602"/>
    </row>
    <row r="18" spans="1:17" ht="21" thickBot="1" x14ac:dyDescent="0.35">
      <c r="A18" s="84"/>
      <c r="B18" s="232" t="s">
        <v>30</v>
      </c>
      <c r="C18" s="645">
        <v>584587.9</v>
      </c>
      <c r="D18" s="645">
        <v>11800</v>
      </c>
      <c r="E18" s="645">
        <v>700127</v>
      </c>
      <c r="F18" s="645">
        <v>8927085.9000000004</v>
      </c>
      <c r="G18" s="645">
        <v>84000</v>
      </c>
      <c r="H18" s="645">
        <v>12127</v>
      </c>
      <c r="I18" s="645">
        <v>10319727.800000001</v>
      </c>
      <c r="J18" s="748"/>
      <c r="K18" s="520"/>
      <c r="L18" s="520"/>
      <c r="M18" s="52"/>
    </row>
    <row r="19" spans="1:17" s="51" customFormat="1" ht="15" x14ac:dyDescent="0.2">
      <c r="B19" s="663"/>
      <c r="C19" s="664"/>
      <c r="D19" s="622"/>
      <c r="E19" s="622"/>
      <c r="F19" s="665"/>
      <c r="G19" s="665"/>
      <c r="H19" s="665"/>
      <c r="I19" s="666"/>
      <c r="J19" s="52"/>
      <c r="K19" s="52"/>
      <c r="L19" s="52"/>
      <c r="M19" s="52"/>
      <c r="N19" s="52"/>
    </row>
    <row r="20" spans="1:17" ht="21" thickBot="1" x14ac:dyDescent="0.35">
      <c r="A20" s="84"/>
      <c r="B20" s="2885" t="s">
        <v>151</v>
      </c>
      <c r="C20" s="2886"/>
      <c r="D20" s="2886"/>
      <c r="E20" s="2886"/>
      <c r="F20" s="2886"/>
      <c r="G20" s="2886"/>
      <c r="H20" s="2886"/>
      <c r="I20" s="2887"/>
      <c r="J20" s="142"/>
      <c r="K20" s="166"/>
      <c r="L20" s="141"/>
    </row>
    <row r="21" spans="1:17" ht="21" thickBot="1" x14ac:dyDescent="0.35">
      <c r="A21" s="83"/>
      <c r="B21" s="100" t="s">
        <v>154</v>
      </c>
      <c r="C21" s="644">
        <v>335000</v>
      </c>
      <c r="D21" s="644">
        <v>10251</v>
      </c>
      <c r="E21" s="644">
        <v>86400</v>
      </c>
      <c r="F21" s="644">
        <v>2026783</v>
      </c>
      <c r="G21" s="644">
        <v>41004</v>
      </c>
      <c r="H21" s="644">
        <v>20502</v>
      </c>
      <c r="I21" s="634">
        <v>2519940</v>
      </c>
      <c r="J21" s="85"/>
      <c r="K21" s="519"/>
      <c r="L21" s="625"/>
      <c r="M21" s="625"/>
      <c r="N21" s="625"/>
      <c r="O21" s="625"/>
      <c r="P21" s="625"/>
      <c r="Q21" s="625"/>
    </row>
    <row r="22" spans="1:17" ht="21" thickBot="1" x14ac:dyDescent="0.35">
      <c r="A22" s="84"/>
      <c r="B22" s="26" t="s">
        <v>152</v>
      </c>
      <c r="C22" s="645">
        <v>335000</v>
      </c>
      <c r="D22" s="645">
        <v>10251</v>
      </c>
      <c r="E22" s="645">
        <v>86400</v>
      </c>
      <c r="F22" s="645">
        <v>2026783</v>
      </c>
      <c r="G22" s="645">
        <v>41004</v>
      </c>
      <c r="H22" s="645">
        <v>20502</v>
      </c>
      <c r="I22" s="645">
        <v>2519940</v>
      </c>
      <c r="J22" s="85"/>
      <c r="K22" s="520"/>
      <c r="L22" s="742"/>
      <c r="M22" s="743"/>
      <c r="N22" s="742"/>
      <c r="O22" s="740"/>
      <c r="P22" s="740"/>
      <c r="Q22" s="744"/>
    </row>
    <row r="23" spans="1:17" s="51" customFormat="1" ht="20.25" x14ac:dyDescent="0.3">
      <c r="A23" s="83"/>
      <c r="B23" s="2894"/>
      <c r="C23" s="2895"/>
      <c r="D23" s="2895"/>
      <c r="E23" s="2895"/>
      <c r="F23" s="2895"/>
      <c r="G23" s="2895"/>
      <c r="H23" s="2895"/>
      <c r="I23" s="2896"/>
      <c r="J23" s="142"/>
      <c r="K23" s="166"/>
      <c r="L23" s="628"/>
      <c r="M23" s="518"/>
      <c r="N23" s="258"/>
      <c r="O23" s="244"/>
      <c r="P23" s="244"/>
      <c r="Q23" s="180"/>
    </row>
    <row r="24" spans="1:17" ht="21" thickBot="1" x14ac:dyDescent="0.35">
      <c r="A24" s="84"/>
      <c r="B24" s="2885" t="s">
        <v>153</v>
      </c>
      <c r="C24" s="2886"/>
      <c r="D24" s="2886"/>
      <c r="E24" s="2886"/>
      <c r="F24" s="2886"/>
      <c r="G24" s="2886"/>
      <c r="H24" s="2886"/>
      <c r="I24" s="2887"/>
      <c r="J24" s="142"/>
      <c r="K24" s="166"/>
      <c r="L24" s="628"/>
      <c r="M24" s="626"/>
      <c r="N24" s="257"/>
      <c r="O24" s="245"/>
      <c r="P24" s="245"/>
      <c r="Q24" s="12"/>
    </row>
    <row r="25" spans="1:17" ht="20.25" x14ac:dyDescent="0.3">
      <c r="A25" s="83"/>
      <c r="B25" s="100" t="s">
        <v>155</v>
      </c>
      <c r="C25" s="633">
        <v>128000</v>
      </c>
      <c r="D25" s="633">
        <v>5000</v>
      </c>
      <c r="E25" s="633">
        <v>29114</v>
      </c>
      <c r="F25" s="633">
        <v>1137757</v>
      </c>
      <c r="G25" s="633">
        <v>30000</v>
      </c>
      <c r="H25" s="633">
        <v>5000</v>
      </c>
      <c r="I25" s="634">
        <v>1334871</v>
      </c>
      <c r="J25" s="85"/>
      <c r="K25" s="600"/>
      <c r="L25" s="625"/>
      <c r="M25" s="625"/>
      <c r="N25" s="625"/>
      <c r="O25" s="625"/>
      <c r="P25" s="625"/>
      <c r="Q25" s="625"/>
    </row>
    <row r="26" spans="1:17" ht="21" thickBot="1" x14ac:dyDescent="0.35">
      <c r="A26" s="83"/>
      <c r="B26" s="155" t="s">
        <v>581</v>
      </c>
      <c r="C26" s="635">
        <v>65000</v>
      </c>
      <c r="D26" s="635">
        <v>5000</v>
      </c>
      <c r="E26" s="635">
        <v>45000</v>
      </c>
      <c r="F26" s="635">
        <v>613706</v>
      </c>
      <c r="G26" s="635">
        <v>10000</v>
      </c>
      <c r="H26" s="635">
        <v>7500</v>
      </c>
      <c r="I26" s="926">
        <v>746206</v>
      </c>
      <c r="J26" s="85"/>
      <c r="K26" s="600"/>
      <c r="L26" s="625"/>
      <c r="M26" s="625"/>
      <c r="N26" s="625"/>
      <c r="O26" s="625"/>
      <c r="P26" s="625"/>
      <c r="Q26" s="625"/>
    </row>
    <row r="27" spans="1:17" ht="21" thickBot="1" x14ac:dyDescent="0.35">
      <c r="A27" s="84"/>
      <c r="B27" s="26" t="s">
        <v>152</v>
      </c>
      <c r="C27" s="645">
        <v>193000</v>
      </c>
      <c r="D27" s="645">
        <v>10000</v>
      </c>
      <c r="E27" s="645">
        <v>74114</v>
      </c>
      <c r="F27" s="645">
        <v>1751463</v>
      </c>
      <c r="G27" s="645">
        <v>40000</v>
      </c>
      <c r="H27" s="645">
        <v>12500</v>
      </c>
      <c r="I27" s="645">
        <v>2081077</v>
      </c>
      <c r="J27" s="85"/>
      <c r="K27" s="600"/>
      <c r="L27" s="309"/>
      <c r="M27" s="627"/>
      <c r="N27" s="257"/>
      <c r="O27" s="245"/>
      <c r="P27" s="245"/>
      <c r="Q27" s="12"/>
    </row>
    <row r="28" spans="1:17" ht="21" thickBot="1" x14ac:dyDescent="0.35">
      <c r="A28" s="84"/>
      <c r="B28" s="690" t="s">
        <v>245</v>
      </c>
      <c r="C28" s="703">
        <v>28000</v>
      </c>
      <c r="D28" s="703">
        <v>2000</v>
      </c>
      <c r="E28" s="703">
        <v>10000</v>
      </c>
      <c r="F28" s="703">
        <v>204271</v>
      </c>
      <c r="G28" s="703">
        <v>5000</v>
      </c>
      <c r="H28" s="703">
        <v>5000</v>
      </c>
      <c r="I28" s="703">
        <v>254271</v>
      </c>
      <c r="J28" s="85"/>
      <c r="L28" s="624"/>
      <c r="M28" s="623"/>
      <c r="N28" s="623"/>
      <c r="O28" s="741"/>
      <c r="P28" s="741"/>
      <c r="Q28" s="741"/>
    </row>
    <row r="29" spans="1:17" ht="21" thickBot="1" x14ac:dyDescent="0.35">
      <c r="A29" s="84"/>
      <c r="B29" s="26" t="s">
        <v>31</v>
      </c>
      <c r="C29" s="645">
        <v>556000</v>
      </c>
      <c r="D29" s="645">
        <v>22251</v>
      </c>
      <c r="E29" s="645">
        <v>170514</v>
      </c>
      <c r="F29" s="645">
        <v>3982517</v>
      </c>
      <c r="G29" s="645">
        <v>86004</v>
      </c>
      <c r="H29" s="645">
        <v>38002</v>
      </c>
      <c r="I29" s="645">
        <v>4855288</v>
      </c>
      <c r="J29" s="85"/>
      <c r="K29" s="520"/>
      <c r="L29" s="141"/>
    </row>
    <row r="30" spans="1:17" ht="21" thickBot="1" x14ac:dyDescent="0.35">
      <c r="A30" s="83"/>
      <c r="B30" s="2885" t="s">
        <v>158</v>
      </c>
      <c r="C30" s="2886"/>
      <c r="D30" s="2886"/>
      <c r="E30" s="2886"/>
      <c r="F30" s="2886"/>
      <c r="G30" s="2886"/>
      <c r="H30" s="2886"/>
      <c r="I30" s="2887"/>
      <c r="L30" s="141"/>
      <c r="M30" s="49"/>
      <c r="N30" s="49"/>
    </row>
    <row r="31" spans="1:17" s="9" customFormat="1" ht="16.5" customHeight="1" thickBot="1" x14ac:dyDescent="0.3">
      <c r="A31" s="1145"/>
      <c r="B31" s="2926" t="s">
        <v>393</v>
      </c>
      <c r="C31" s="2927"/>
      <c r="D31" s="2927"/>
      <c r="E31" s="2927"/>
      <c r="F31" s="2927"/>
      <c r="G31" s="2927"/>
      <c r="H31" s="2927"/>
      <c r="I31" s="2928"/>
      <c r="J31" s="517"/>
      <c r="K31" s="1147"/>
      <c r="L31" s="1147"/>
      <c r="M31" s="1148"/>
      <c r="Q31" s="1149"/>
    </row>
    <row r="32" spans="1:17" s="9" customFormat="1" ht="16.5" hidden="1" customHeight="1" x14ac:dyDescent="0.25">
      <c r="A32" s="1150"/>
      <c r="B32" s="953" t="s">
        <v>573</v>
      </c>
      <c r="C32" s="1854">
        <v>0</v>
      </c>
      <c r="D32" s="669">
        <v>0</v>
      </c>
      <c r="E32" s="669">
        <v>0</v>
      </c>
      <c r="F32" s="669">
        <v>0</v>
      </c>
      <c r="G32" s="669">
        <v>0</v>
      </c>
      <c r="H32" s="669">
        <v>0</v>
      </c>
      <c r="I32" s="668">
        <v>0</v>
      </c>
      <c r="J32" s="1152"/>
      <c r="K32" s="2048"/>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2048"/>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2048"/>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2048"/>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2048"/>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41" t="s">
        <v>401</v>
      </c>
      <c r="C60" s="2942"/>
      <c r="D60" s="2942"/>
      <c r="E60" s="2942"/>
      <c r="F60" s="2942"/>
      <c r="G60" s="2942"/>
      <c r="H60" s="2942"/>
      <c r="I60" s="2943"/>
      <c r="J60" s="1175"/>
      <c r="K60" s="1175"/>
      <c r="L60" s="1175"/>
      <c r="M60" s="1175"/>
      <c r="N60" s="1175"/>
      <c r="O60" s="1175"/>
      <c r="Q60" s="1149"/>
    </row>
    <row r="61" spans="1:18" s="9" customFormat="1" ht="16.5" customHeight="1" x14ac:dyDescent="0.25">
      <c r="A61" s="1150"/>
      <c r="B61" s="615" t="s">
        <v>545</v>
      </c>
      <c r="C61" s="638">
        <v>100654</v>
      </c>
      <c r="D61" s="638">
        <v>0</v>
      </c>
      <c r="E61" s="638">
        <v>20675</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179582</v>
      </c>
      <c r="F65" s="638">
        <v>0</v>
      </c>
      <c r="G65" s="638">
        <v>0</v>
      </c>
      <c r="H65" s="638">
        <v>0</v>
      </c>
      <c r="I65" s="640">
        <v>200000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20000</v>
      </c>
      <c r="F66" s="638">
        <v>0</v>
      </c>
      <c r="G66" s="638">
        <v>0</v>
      </c>
      <c r="H66" s="638">
        <v>0</v>
      </c>
      <c r="I66" s="640">
        <v>20000</v>
      </c>
      <c r="J66" s="1146"/>
      <c r="K66" s="1159"/>
      <c r="L66" s="1159"/>
      <c r="M66" s="848"/>
      <c r="P66" s="1176"/>
    </row>
    <row r="67" spans="1:24" s="9" customFormat="1" ht="16.5" customHeight="1" x14ac:dyDescent="0.25">
      <c r="A67" s="1145"/>
      <c r="B67" s="615" t="s">
        <v>641</v>
      </c>
      <c r="C67" s="638">
        <v>0</v>
      </c>
      <c r="D67" s="638">
        <v>0</v>
      </c>
      <c r="E67" s="638">
        <v>43333</v>
      </c>
      <c r="F67" s="638">
        <v>0</v>
      </c>
      <c r="G67" s="638">
        <v>0</v>
      </c>
      <c r="H67" s="638">
        <v>0</v>
      </c>
      <c r="I67" s="640">
        <v>43333</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2432" t="s">
        <v>643</v>
      </c>
      <c r="C69" s="925">
        <v>0</v>
      </c>
      <c r="D69" s="925">
        <v>0</v>
      </c>
      <c r="E69" s="925">
        <v>0</v>
      </c>
      <c r="F69" s="925">
        <v>0</v>
      </c>
      <c r="G69" s="925">
        <v>0</v>
      </c>
      <c r="H69" s="925">
        <v>743503</v>
      </c>
      <c r="I69" s="789">
        <v>743503</v>
      </c>
      <c r="J69" s="1159"/>
      <c r="K69" s="1159"/>
      <c r="L69" s="848"/>
    </row>
    <row r="70" spans="1:24" s="9" customFormat="1" ht="16.5" customHeight="1" thickBot="1" x14ac:dyDescent="0.3">
      <c r="A70" s="1145"/>
      <c r="B70" s="648" t="s">
        <v>43</v>
      </c>
      <c r="C70" s="2433">
        <v>214393</v>
      </c>
      <c r="D70" s="2433">
        <v>0</v>
      </c>
      <c r="E70" s="2433">
        <v>474660</v>
      </c>
      <c r="F70" s="2433">
        <v>0</v>
      </c>
      <c r="G70" s="2433">
        <v>0</v>
      </c>
      <c r="H70" s="2433">
        <v>743503</v>
      </c>
      <c r="I70" s="2433">
        <v>1432556</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v>613809.08111999999</v>
      </c>
      <c r="D72" s="655">
        <v>13184</v>
      </c>
      <c r="E72" s="655">
        <v>1183204.5999999999</v>
      </c>
      <c r="F72" s="655">
        <v>8927085.9000000004</v>
      </c>
      <c r="G72" s="655">
        <v>88540</v>
      </c>
      <c r="H72" s="655">
        <v>13057</v>
      </c>
      <c r="I72" s="1033">
        <v>10838880.581120001</v>
      </c>
      <c r="L72" s="141"/>
      <c r="M72" s="49"/>
      <c r="N72" s="49"/>
    </row>
    <row r="73" spans="1:24" ht="21" hidden="1" customHeight="1" x14ac:dyDescent="0.3">
      <c r="A73" s="21"/>
      <c r="B73" s="1034" t="s">
        <v>8</v>
      </c>
      <c r="C73" s="657">
        <v>579690.81888000004</v>
      </c>
      <c r="D73" s="657">
        <v>23167</v>
      </c>
      <c r="E73" s="657">
        <v>385338.39999999997</v>
      </c>
      <c r="F73" s="657">
        <v>3982517</v>
      </c>
      <c r="G73" s="657">
        <v>89464</v>
      </c>
      <c r="H73" s="657">
        <v>38572</v>
      </c>
      <c r="I73" s="1035">
        <v>5098749.2188799996</v>
      </c>
      <c r="J73" s="521"/>
      <c r="L73" s="141"/>
      <c r="M73" s="49"/>
      <c r="N73" s="49"/>
    </row>
    <row r="74" spans="1:24" ht="21" hidden="1" customHeight="1" thickBot="1" x14ac:dyDescent="0.35">
      <c r="A74" s="86"/>
      <c r="B74" s="1036" t="s">
        <v>12</v>
      </c>
      <c r="C74" s="659">
        <v>214393</v>
      </c>
      <c r="D74" s="659">
        <v>0</v>
      </c>
      <c r="E74" s="659">
        <v>443602</v>
      </c>
      <c r="F74" s="659">
        <v>0</v>
      </c>
      <c r="G74" s="659">
        <v>0</v>
      </c>
      <c r="H74" s="659">
        <v>743503</v>
      </c>
      <c r="I74" s="1037">
        <v>1401498</v>
      </c>
      <c r="L74" s="141"/>
      <c r="M74" s="49"/>
      <c r="N74" s="49"/>
    </row>
    <row r="75" spans="1:24" ht="21" thickBot="1" x14ac:dyDescent="0.35">
      <c r="A75" s="83"/>
      <c r="B75" s="648" t="s">
        <v>58</v>
      </c>
      <c r="C75" s="649">
        <v>1407892.9</v>
      </c>
      <c r="D75" s="649">
        <v>36351</v>
      </c>
      <c r="E75" s="649">
        <v>2012145</v>
      </c>
      <c r="F75" s="649">
        <v>12909602.9</v>
      </c>
      <c r="G75" s="649">
        <v>178004</v>
      </c>
      <c r="H75" s="649">
        <v>795132</v>
      </c>
      <c r="I75" s="649">
        <v>17339127.800000001</v>
      </c>
      <c r="L75" s="141"/>
      <c r="M75" s="49"/>
      <c r="N75" s="49"/>
    </row>
  </sheetData>
  <mergeCells count="13">
    <mergeCell ref="B24:I24"/>
    <mergeCell ref="B71:I71"/>
    <mergeCell ref="B30:I30"/>
    <mergeCell ref="B31:I31"/>
    <mergeCell ref="B42:I42"/>
    <mergeCell ref="B52:I52"/>
    <mergeCell ref="B57:I57"/>
    <mergeCell ref="B60:I60"/>
    <mergeCell ref="B1:I1"/>
    <mergeCell ref="B2:I2"/>
    <mergeCell ref="B11:I11"/>
    <mergeCell ref="B20:I20"/>
    <mergeCell ref="B23:I23"/>
  </mergeCells>
  <printOptions horizontalCentered="1" verticalCentered="1"/>
  <pageMargins left="0.61" right="0.31" top="0.2" bottom="0.43" header="0.2" footer="0.18"/>
  <pageSetup scale="65" orientation="landscape" r:id="rId1"/>
  <headerFooter alignWithMargins="0">
    <oddFooter>&amp;R
&amp;C&amp;"Arial"&amp;11&amp;K000000&amp;14
Totals may vary due to rounding&amp;12
_x000D_&amp;1#&amp;"Calibri"&amp;12&amp;K008000Internal Use</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tabColor indexed="44"/>
    <pageSetUpPr fitToPage="1"/>
  </sheetPr>
  <dimension ref="A1:X79"/>
  <sheetViews>
    <sheetView topLeftCell="B1" zoomScale="75" workbookViewId="0">
      <pane xSplit="1" topLeftCell="C1" activePane="topRight" state="frozen"/>
      <selection activeCell="C9" sqref="C9"/>
      <selection pane="topRight" activeCell="B1" sqref="B1:I1"/>
    </sheetView>
  </sheetViews>
  <sheetFormatPr defaultRowHeight="12.75" x14ac:dyDescent="0.2"/>
  <cols>
    <col min="1" max="1" width="7.140625" style="49" customWidth="1"/>
    <col min="2" max="2" width="60.8554687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624</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f>336535-291773-20000-20000</f>
        <v>4762</v>
      </c>
      <c r="F12" s="633">
        <f>500800+38000+170000</f>
        <v>708800</v>
      </c>
      <c r="G12" s="633">
        <f>7080+15000-18000</f>
        <v>4080</v>
      </c>
      <c r="H12" s="633">
        <v>1500</v>
      </c>
      <c r="I12" s="634">
        <f t="shared" ref="I12:I17" si="0">SUM(C12:H12)</f>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f>76634+50000</f>
        <v>126634</v>
      </c>
      <c r="F13" s="638">
        <f>1234805.1-50000-100000+1779979-1450826+1815062-1779979+1674034-1815062</f>
        <v>1308013.1000000001</v>
      </c>
      <c r="G13" s="638">
        <v>15000</v>
      </c>
      <c r="H13" s="638">
        <v>467</v>
      </c>
      <c r="I13" s="640">
        <f t="shared" si="0"/>
        <v>1674034</v>
      </c>
      <c r="J13" s="796"/>
      <c r="K13" s="796"/>
      <c r="L13" s="796"/>
      <c r="M13" s="796"/>
      <c r="N13" s="796"/>
      <c r="O13" s="796"/>
      <c r="P13" s="581"/>
      <c r="Q13" s="581"/>
      <c r="R13" s="582"/>
      <c r="S13" s="582"/>
      <c r="T13" s="582"/>
    </row>
    <row r="14" spans="1:20" ht="24.6" customHeight="1" x14ac:dyDescent="0.3">
      <c r="A14" s="83"/>
      <c r="B14" s="614" t="s">
        <v>596</v>
      </c>
      <c r="C14" s="638">
        <v>58566</v>
      </c>
      <c r="D14" s="638">
        <f>2300+4000</f>
        <v>6300</v>
      </c>
      <c r="E14" s="638">
        <f>38000+90000</f>
        <v>128000</v>
      </c>
      <c r="F14" s="638">
        <f>1233915.9-86000+445174+1363782-1808956</f>
        <v>1147915.8999999999</v>
      </c>
      <c r="G14" s="638">
        <f>28000-8000</f>
        <v>20000</v>
      </c>
      <c r="H14" s="638">
        <v>3000</v>
      </c>
      <c r="I14" s="640">
        <f t="shared" si="0"/>
        <v>1363781.9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f>50000-40000+10000</f>
        <v>20000</v>
      </c>
      <c r="F15" s="638">
        <f>2422885-10000+2510927-2651955</f>
        <v>2271857</v>
      </c>
      <c r="G15" s="638">
        <f>9500-5000-2500</f>
        <v>2000</v>
      </c>
      <c r="H15" s="638">
        <v>1500</v>
      </c>
      <c r="I15" s="640">
        <f t="shared" si="0"/>
        <v>2510927</v>
      </c>
      <c r="J15" s="749"/>
      <c r="K15" s="585"/>
      <c r="L15" s="2301"/>
      <c r="M15" s="581"/>
      <c r="N15" s="581"/>
      <c r="O15" s="581"/>
      <c r="P15" s="581"/>
      <c r="Q15" s="581"/>
      <c r="R15" s="582"/>
      <c r="S15" s="582"/>
      <c r="T15" s="582"/>
    </row>
    <row r="16" spans="1:20" ht="24.6" customHeight="1" thickBot="1" x14ac:dyDescent="0.35">
      <c r="A16" s="83"/>
      <c r="B16" s="617" t="s">
        <v>529</v>
      </c>
      <c r="C16" s="641">
        <v>0</v>
      </c>
      <c r="D16" s="641">
        <v>0</v>
      </c>
      <c r="E16" s="641">
        <v>106598</v>
      </c>
      <c r="F16" s="641">
        <v>0</v>
      </c>
      <c r="G16" s="641">
        <v>0</v>
      </c>
      <c r="H16" s="641">
        <v>0</v>
      </c>
      <c r="I16" s="643">
        <f t="shared" si="0"/>
        <v>106598</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f t="shared" si="0"/>
        <v>0</v>
      </c>
      <c r="J17" s="85"/>
      <c r="K17" s="517"/>
      <c r="L17" s="2046"/>
      <c r="M17" s="2046"/>
      <c r="N17" s="2046"/>
      <c r="O17" s="2046"/>
      <c r="P17" s="2046"/>
      <c r="Q17" s="581"/>
      <c r="R17" s="582"/>
      <c r="S17" s="582"/>
      <c r="T17" s="582"/>
    </row>
    <row r="18" spans="1:20" ht="24.6" customHeight="1" thickBot="1" x14ac:dyDescent="0.35">
      <c r="A18" s="84"/>
      <c r="B18" s="232" t="s">
        <v>30</v>
      </c>
      <c r="C18" s="662">
        <f>SUM(C12:C17)</f>
        <v>526483.9</v>
      </c>
      <c r="D18" s="662">
        <f t="shared" ref="D18:I18" si="1">SUM(D12:D17)</f>
        <v>9520</v>
      </c>
      <c r="E18" s="662">
        <f t="shared" si="1"/>
        <v>385994</v>
      </c>
      <c r="F18" s="662">
        <f t="shared" si="1"/>
        <v>5436586</v>
      </c>
      <c r="G18" s="662">
        <f t="shared" si="1"/>
        <v>41080</v>
      </c>
      <c r="H18" s="662">
        <f t="shared" si="1"/>
        <v>6467</v>
      </c>
      <c r="I18" s="662">
        <f t="shared" si="1"/>
        <v>6406130.9000000004</v>
      </c>
      <c r="J18" s="85"/>
      <c r="K18" s="2302"/>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52"/>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3555</v>
      </c>
      <c r="E21" s="644">
        <f>164030-44800</f>
        <v>119230</v>
      </c>
      <c r="F21" s="644">
        <f>1102732+1236020-1377048</f>
        <v>961704</v>
      </c>
      <c r="G21" s="644">
        <v>3555</v>
      </c>
      <c r="H21" s="644">
        <v>4976</v>
      </c>
      <c r="I21" s="634">
        <f>SUM(C21:H21)</f>
        <v>1236020</v>
      </c>
      <c r="J21" s="85"/>
      <c r="K21" s="517"/>
      <c r="L21" s="581"/>
      <c r="M21" s="581"/>
      <c r="N21" s="581"/>
      <c r="O21" s="581"/>
      <c r="P21" s="581"/>
      <c r="Q21" s="581"/>
      <c r="R21" s="582"/>
      <c r="S21" s="582"/>
      <c r="T21" s="582"/>
    </row>
    <row r="22" spans="1:20" ht="24.6" customHeight="1" thickBot="1" x14ac:dyDescent="0.35">
      <c r="A22" s="84"/>
      <c r="B22" s="26" t="s">
        <v>152</v>
      </c>
      <c r="C22" s="645">
        <f>SUM(C21)</f>
        <v>143000</v>
      </c>
      <c r="D22" s="645">
        <f t="shared" ref="D22:I22" si="2">SUM(D21)</f>
        <v>3555</v>
      </c>
      <c r="E22" s="645">
        <f t="shared" si="2"/>
        <v>119230</v>
      </c>
      <c r="F22" s="645">
        <f t="shared" si="2"/>
        <v>961704</v>
      </c>
      <c r="G22" s="645">
        <f t="shared" si="2"/>
        <v>3555</v>
      </c>
      <c r="H22" s="645">
        <f t="shared" si="2"/>
        <v>4976</v>
      </c>
      <c r="I22" s="645">
        <f t="shared" si="2"/>
        <v>1236020</v>
      </c>
      <c r="J22" s="85"/>
      <c r="K22" s="241"/>
      <c r="L22" s="745"/>
      <c r="M22" s="745"/>
      <c r="N22" s="581"/>
      <c r="O22" s="582"/>
      <c r="P22" s="582"/>
      <c r="Q22" s="582"/>
    </row>
    <row r="23" spans="1:20" s="51" customFormat="1" ht="24.6" customHeight="1" x14ac:dyDescent="0.3">
      <c r="A23" s="83"/>
      <c r="B23" s="2894"/>
      <c r="C23" s="2895"/>
      <c r="D23" s="2895"/>
      <c r="E23" s="2895"/>
      <c r="F23" s="2895"/>
      <c r="G23" s="2895"/>
      <c r="H23" s="2895"/>
      <c r="I23" s="2896"/>
      <c r="J23" s="142"/>
      <c r="K23" s="856"/>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4370</v>
      </c>
      <c r="E25" s="633">
        <f>85220-23319</f>
        <v>61901</v>
      </c>
      <c r="F25" s="633">
        <f>665430+709652-850681</f>
        <v>524401</v>
      </c>
      <c r="G25" s="633">
        <v>13110</v>
      </c>
      <c r="H25" s="633">
        <v>4370</v>
      </c>
      <c r="I25" s="634">
        <f>SUM(C25:H25)</f>
        <v>709652</v>
      </c>
      <c r="J25" s="85"/>
      <c r="K25" s="142"/>
      <c r="L25" s="746"/>
      <c r="M25" s="746"/>
      <c r="N25" s="746"/>
      <c r="O25" s="746"/>
      <c r="P25" s="746"/>
      <c r="Q25" s="746"/>
    </row>
    <row r="26" spans="1:20" ht="24.6" customHeight="1" thickBot="1" x14ac:dyDescent="0.35">
      <c r="A26" s="83"/>
      <c r="B26" s="1024" t="s">
        <v>581</v>
      </c>
      <c r="C26" s="635">
        <v>16000</v>
      </c>
      <c r="D26" s="635">
        <v>1255</v>
      </c>
      <c r="E26" s="635">
        <v>22270</v>
      </c>
      <c r="F26" s="635">
        <v>205200</v>
      </c>
      <c r="G26" s="635">
        <v>3765</v>
      </c>
      <c r="H26" s="635">
        <v>2510</v>
      </c>
      <c r="I26" s="1025">
        <f>SUM(C26:H26)</f>
        <v>251000</v>
      </c>
      <c r="J26" s="85"/>
      <c r="K26" s="603"/>
      <c r="L26" s="746"/>
      <c r="M26" s="746"/>
      <c r="N26" s="746"/>
      <c r="O26" s="746"/>
      <c r="P26" s="746"/>
      <c r="Q26" s="746"/>
    </row>
    <row r="27" spans="1:20" ht="24.6" customHeight="1" thickBot="1" x14ac:dyDescent="0.35">
      <c r="A27" s="84"/>
      <c r="B27" s="921" t="s">
        <v>152</v>
      </c>
      <c r="C27" s="645">
        <f t="shared" ref="C27:H27" si="3">C25+C26</f>
        <v>117500</v>
      </c>
      <c r="D27" s="645">
        <f t="shared" si="3"/>
        <v>5625</v>
      </c>
      <c r="E27" s="645">
        <f t="shared" si="3"/>
        <v>84171</v>
      </c>
      <c r="F27" s="645">
        <f t="shared" si="3"/>
        <v>729601</v>
      </c>
      <c r="G27" s="645">
        <f t="shared" si="3"/>
        <v>16875</v>
      </c>
      <c r="H27" s="645">
        <f t="shared" si="3"/>
        <v>6880</v>
      </c>
      <c r="I27" s="932">
        <f>SUM(I25:I26)</f>
        <v>960652</v>
      </c>
      <c r="J27" s="85"/>
      <c r="K27" s="603"/>
      <c r="L27" s="581"/>
      <c r="M27" s="581"/>
      <c r="N27" s="581"/>
      <c r="O27" s="582"/>
      <c r="P27" s="582"/>
      <c r="Q27" s="582"/>
    </row>
    <row r="28" spans="1:20" ht="24.6" customHeight="1" thickBot="1" x14ac:dyDescent="0.35">
      <c r="A28" s="84"/>
      <c r="B28" s="930" t="s">
        <v>245</v>
      </c>
      <c r="C28" s="703">
        <v>29000</v>
      </c>
      <c r="D28" s="703">
        <v>1233</v>
      </c>
      <c r="E28" s="703">
        <v>14460</v>
      </c>
      <c r="F28" s="644">
        <v>198119</v>
      </c>
      <c r="G28" s="703">
        <v>2465</v>
      </c>
      <c r="H28" s="703">
        <v>1233</v>
      </c>
      <c r="I28" s="931">
        <f>SUM(C28:H28)</f>
        <v>246510</v>
      </c>
      <c r="J28" s="85"/>
      <c r="L28" s="581"/>
      <c r="M28" s="581"/>
      <c r="N28" s="581"/>
      <c r="O28" s="582"/>
      <c r="P28" s="582"/>
      <c r="Q28" s="582"/>
    </row>
    <row r="29" spans="1:20" ht="24.6" customHeight="1" thickBot="1" x14ac:dyDescent="0.35">
      <c r="A29" s="84"/>
      <c r="B29" s="26" t="s">
        <v>31</v>
      </c>
      <c r="C29" s="645">
        <f>C22+C27+C28</f>
        <v>289500</v>
      </c>
      <c r="D29" s="645">
        <f t="shared" ref="D29:I29" si="4">D22+D27+D28</f>
        <v>10413</v>
      </c>
      <c r="E29" s="645">
        <f t="shared" si="4"/>
        <v>217861</v>
      </c>
      <c r="F29" s="645">
        <f t="shared" si="4"/>
        <v>1889424</v>
      </c>
      <c r="G29" s="645">
        <f t="shared" si="4"/>
        <v>22895</v>
      </c>
      <c r="H29" s="645">
        <f t="shared" si="4"/>
        <v>13089</v>
      </c>
      <c r="I29" s="645">
        <f t="shared" si="4"/>
        <v>2443182</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f t="shared" ref="I32:I39" si="5">SUM(C32:H32)</f>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f>84728+9991+50444</f>
        <v>145163</v>
      </c>
      <c r="F33" s="669">
        <v>0</v>
      </c>
      <c r="G33" s="669">
        <v>5000</v>
      </c>
      <c r="H33" s="669">
        <v>500</v>
      </c>
      <c r="I33" s="1899">
        <f t="shared" si="5"/>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f t="shared" si="5"/>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f>27877+2667</f>
        <v>30544</v>
      </c>
      <c r="F35" s="669">
        <v>0</v>
      </c>
      <c r="G35" s="669">
        <v>1800</v>
      </c>
      <c r="H35" s="669">
        <v>600</v>
      </c>
      <c r="I35" s="1899">
        <f t="shared" si="5"/>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f>15512+14333</f>
        <v>29845</v>
      </c>
      <c r="F36" s="669">
        <v>0</v>
      </c>
      <c r="G36" s="669">
        <v>1200</v>
      </c>
      <c r="H36" s="669">
        <v>400</v>
      </c>
      <c r="I36" s="1899">
        <f t="shared" si="5"/>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f t="shared" si="5"/>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f t="shared" si="5"/>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f t="shared" si="5"/>
        <v>0</v>
      </c>
      <c r="J39" s="1146"/>
      <c r="K39" s="1158"/>
      <c r="M39" s="1147"/>
      <c r="N39" s="1147"/>
      <c r="O39" s="1156"/>
      <c r="P39" s="1156"/>
      <c r="Q39" s="1156"/>
      <c r="R39" s="1156"/>
      <c r="S39" s="1159"/>
    </row>
    <row r="40" spans="1:19" s="9" customFormat="1" ht="16.5" customHeight="1" thickBot="1" x14ac:dyDescent="0.3">
      <c r="A40" s="1150"/>
      <c r="B40" s="1160" t="s">
        <v>395</v>
      </c>
      <c r="C40" s="1161">
        <f>SUM(C32:C39)</f>
        <v>52912</v>
      </c>
      <c r="D40" s="1161">
        <f t="shared" ref="D40:I40" si="6">SUM(D32:D39)</f>
        <v>2300</v>
      </c>
      <c r="E40" s="1161">
        <f t="shared" si="6"/>
        <v>355552</v>
      </c>
      <c r="F40" s="1161">
        <f t="shared" si="6"/>
        <v>0</v>
      </c>
      <c r="G40" s="1161">
        <f t="shared" si="6"/>
        <v>8000</v>
      </c>
      <c r="H40" s="1161">
        <f t="shared" si="6"/>
        <v>1500</v>
      </c>
      <c r="I40" s="2271">
        <f t="shared" si="6"/>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t="e">
        <f>+'SCG Table A'!#REF!-C43</f>
        <v>#REF!</v>
      </c>
      <c r="F43" s="1166">
        <v>0</v>
      </c>
      <c r="G43" s="1166">
        <v>0</v>
      </c>
      <c r="H43" s="1166">
        <v>0</v>
      </c>
      <c r="I43" s="668" t="e">
        <f>SUM(E43:H43)</f>
        <v>#REF!</v>
      </c>
      <c r="J43" s="1146"/>
      <c r="K43" s="852"/>
      <c r="L43" s="1147"/>
      <c r="M43" s="1147"/>
      <c r="N43" s="1147"/>
      <c r="O43" s="1156"/>
      <c r="P43" s="1156"/>
      <c r="R43" s="1149"/>
    </row>
    <row r="44" spans="1:19" s="9" customFormat="1" ht="16.5" customHeight="1" x14ac:dyDescent="0.25">
      <c r="A44" s="1150"/>
      <c r="B44" s="2264" t="s">
        <v>607</v>
      </c>
      <c r="C44" s="1166">
        <v>0</v>
      </c>
      <c r="D44" s="1166">
        <v>0</v>
      </c>
      <c r="E44" s="1901">
        <v>86292</v>
      </c>
      <c r="F44" s="1166">
        <v>0</v>
      </c>
      <c r="G44" s="1166">
        <v>0</v>
      </c>
      <c r="H44" s="1166">
        <v>0</v>
      </c>
      <c r="I44" s="1899">
        <f>SUM(C44:H44)</f>
        <v>86292</v>
      </c>
      <c r="J44" s="1146"/>
      <c r="K44" s="852"/>
      <c r="L44" s="1147"/>
      <c r="M44" s="1147"/>
      <c r="N44" s="1147"/>
      <c r="O44" s="1156"/>
      <c r="P44" s="1156"/>
      <c r="R44" s="1149"/>
    </row>
    <row r="45" spans="1:19" s="9" customFormat="1" ht="16.5" customHeight="1" x14ac:dyDescent="0.25">
      <c r="A45" s="1150"/>
      <c r="B45" s="2264" t="s">
        <v>608</v>
      </c>
      <c r="C45" s="1166">
        <v>0</v>
      </c>
      <c r="D45" s="1166">
        <v>0</v>
      </c>
      <c r="E45" s="1901">
        <v>0</v>
      </c>
      <c r="F45" s="1166">
        <v>0</v>
      </c>
      <c r="G45" s="1166">
        <v>0</v>
      </c>
      <c r="H45" s="1166">
        <v>0</v>
      </c>
      <c r="I45" s="1899">
        <f>SUM(C45:H45)</f>
        <v>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f>SUM(C46:H46)</f>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t="e">
        <f>+'SCG Table A'!#REF!-C47</f>
        <v>#REF!</v>
      </c>
      <c r="F47" s="1166">
        <v>0</v>
      </c>
      <c r="G47" s="1166">
        <v>0</v>
      </c>
      <c r="H47" s="1166">
        <v>0</v>
      </c>
      <c r="I47" s="670" t="e">
        <f>SUM(E47:H47)</f>
        <v>#REF!</v>
      </c>
      <c r="J47" s="1146"/>
      <c r="K47" s="852"/>
      <c r="L47" s="1147"/>
      <c r="M47" s="1147"/>
      <c r="N47" s="1147"/>
      <c r="O47" s="1156"/>
      <c r="P47" s="1156"/>
      <c r="R47" s="1149"/>
    </row>
    <row r="48" spans="1:19" s="9" customFormat="1" ht="16.5" hidden="1" customHeight="1" x14ac:dyDescent="0.25">
      <c r="A48" s="1150"/>
      <c r="B48" s="693" t="s">
        <v>586</v>
      </c>
      <c r="C48" s="1900">
        <v>0</v>
      </c>
      <c r="D48" s="1900">
        <v>0</v>
      </c>
      <c r="E48" s="1901" t="e">
        <f>+'SCG Table A'!#REF!-C48</f>
        <v>#REF!</v>
      </c>
      <c r="F48" s="1900">
        <v>0</v>
      </c>
      <c r="G48" s="1900">
        <v>0</v>
      </c>
      <c r="H48" s="1900">
        <v>0</v>
      </c>
      <c r="I48" s="1899" t="e">
        <f>SUM(E48:H48)</f>
        <v>#REF!</v>
      </c>
      <c r="J48" s="852"/>
      <c r="K48" s="1147"/>
      <c r="L48" s="1147"/>
      <c r="M48" s="1147"/>
      <c r="N48" s="1156"/>
      <c r="O48" s="1156"/>
      <c r="Q48" s="1149"/>
    </row>
    <row r="49" spans="1:18" s="9" customFormat="1" ht="16.5" hidden="1" customHeight="1" x14ac:dyDescent="0.25">
      <c r="A49" s="1150"/>
      <c r="B49" s="693" t="s">
        <v>579</v>
      </c>
      <c r="C49" s="1166">
        <v>0</v>
      </c>
      <c r="D49" s="1166">
        <v>0</v>
      </c>
      <c r="E49" s="669" t="e">
        <f>+'SCG Table A'!#REF!-C49</f>
        <v>#REF!</v>
      </c>
      <c r="F49" s="1166">
        <v>0</v>
      </c>
      <c r="G49" s="1166">
        <v>0</v>
      </c>
      <c r="H49" s="1166">
        <v>0</v>
      </c>
      <c r="I49" s="670" t="e">
        <f>SUM(E49:H49)</f>
        <v>#REF!</v>
      </c>
      <c r="J49" s="852"/>
      <c r="K49" s="1147"/>
      <c r="L49" s="1147"/>
      <c r="M49" s="1147"/>
      <c r="N49" s="1156"/>
      <c r="O49" s="1156"/>
      <c r="Q49" s="1149"/>
    </row>
    <row r="50" spans="1:18" s="9" customFormat="1" ht="16.5" hidden="1" customHeight="1" thickBot="1" x14ac:dyDescent="0.3">
      <c r="A50" s="1150"/>
      <c r="B50" s="694" t="s">
        <v>587</v>
      </c>
      <c r="C50" s="1166">
        <v>0</v>
      </c>
      <c r="D50" s="1166">
        <v>0</v>
      </c>
      <c r="E50" s="913" t="e">
        <f>+'SCG Table A'!#REF!-C50</f>
        <v>#REF!</v>
      </c>
      <c r="F50" s="1166">
        <v>0</v>
      </c>
      <c r="G50" s="1166">
        <v>0</v>
      </c>
      <c r="H50" s="1166">
        <v>0</v>
      </c>
      <c r="I50" s="1157" t="e">
        <f>SUM(C50:H50)</f>
        <v>#REF!</v>
      </c>
      <c r="J50" s="852"/>
      <c r="K50" s="1147"/>
      <c r="L50" s="1147"/>
      <c r="M50" s="1147"/>
      <c r="N50" s="1156"/>
      <c r="O50" s="1156"/>
      <c r="Q50" s="1149"/>
    </row>
    <row r="51" spans="1:18" s="1164" customFormat="1" ht="16.5" customHeight="1" thickBot="1" x14ac:dyDescent="0.3">
      <c r="A51" s="1150"/>
      <c r="B51" s="1168" t="s">
        <v>397</v>
      </c>
      <c r="C51" s="1169">
        <f>SUM(C43:C50)</f>
        <v>0</v>
      </c>
      <c r="D51" s="1169">
        <f t="shared" ref="D51:I51" si="7">SUM(D43:D50)</f>
        <v>0</v>
      </c>
      <c r="E51" s="1169" t="e">
        <f t="shared" si="7"/>
        <v>#REF!</v>
      </c>
      <c r="F51" s="1169">
        <f t="shared" si="7"/>
        <v>0</v>
      </c>
      <c r="G51" s="1169">
        <f t="shared" si="7"/>
        <v>0</v>
      </c>
      <c r="H51" s="1169">
        <f t="shared" si="7"/>
        <v>0</v>
      </c>
      <c r="I51" s="2272" t="e">
        <f t="shared" si="7"/>
        <v>#REF!</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t="e">
        <f>+'SCG Table A'!#REF!-C53</f>
        <v>#REF!</v>
      </c>
      <c r="F53" s="1171">
        <v>0</v>
      </c>
      <c r="G53" s="1171">
        <v>0</v>
      </c>
      <c r="H53" s="1171">
        <v>0</v>
      </c>
      <c r="I53" s="668" t="e">
        <f>SUM(C53:H53)</f>
        <v>#REF!</v>
      </c>
      <c r="J53" s="1172"/>
      <c r="K53" s="1172"/>
      <c r="L53" s="1172"/>
      <c r="M53" s="1172"/>
      <c r="N53" s="1172"/>
      <c r="O53" s="1172"/>
      <c r="P53" s="1172"/>
      <c r="Q53" s="1172"/>
      <c r="R53" s="1172"/>
    </row>
    <row r="54" spans="1:18" s="9" customFormat="1" ht="16.5" hidden="1" customHeight="1" thickBot="1" x14ac:dyDescent="0.3">
      <c r="A54" s="1150"/>
      <c r="B54" s="1173" t="s">
        <v>400</v>
      </c>
      <c r="C54" s="1174">
        <f>SUM(C53)</f>
        <v>0</v>
      </c>
      <c r="D54" s="1174">
        <f t="shared" ref="D54:I54" si="8">SUM(D53)</f>
        <v>0</v>
      </c>
      <c r="E54" s="1174" t="e">
        <f t="shared" si="8"/>
        <v>#REF!</v>
      </c>
      <c r="F54" s="1174">
        <f t="shared" si="8"/>
        <v>0</v>
      </c>
      <c r="G54" s="1174">
        <f t="shared" si="8"/>
        <v>0</v>
      </c>
      <c r="H54" s="1174">
        <f t="shared" si="8"/>
        <v>0</v>
      </c>
      <c r="I54" s="1174" t="e">
        <f t="shared" si="8"/>
        <v>#REF!</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f>SUM(C58:H58)</f>
        <v>0</v>
      </c>
      <c r="J58" s="852"/>
      <c r="K58" s="1147"/>
      <c r="L58" s="1147"/>
      <c r="M58" s="1147"/>
      <c r="N58" s="1156"/>
      <c r="O58" s="1156"/>
      <c r="Q58" s="1149"/>
    </row>
    <row r="59" spans="1:18" s="9" customFormat="1" ht="16.5" hidden="1" customHeight="1" thickBot="1" x14ac:dyDescent="0.3">
      <c r="A59" s="1150"/>
      <c r="B59" s="1168" t="s">
        <v>632</v>
      </c>
      <c r="C59" s="1169">
        <f>SUM(C58)</f>
        <v>0</v>
      </c>
      <c r="D59" s="1169">
        <f t="shared" ref="D59:I59" si="9">SUM(D58)</f>
        <v>0</v>
      </c>
      <c r="E59" s="1169">
        <f t="shared" si="9"/>
        <v>0</v>
      </c>
      <c r="F59" s="1169">
        <f t="shared" si="9"/>
        <v>0</v>
      </c>
      <c r="G59" s="1169">
        <f t="shared" si="9"/>
        <v>0</v>
      </c>
      <c r="H59" s="1169">
        <f t="shared" si="9"/>
        <v>0</v>
      </c>
      <c r="I59" s="2272">
        <f t="shared" si="9"/>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t="e">
        <f>+'SCG Table A'!#REF!-C61</f>
        <v>#REF!</v>
      </c>
      <c r="F61" s="638">
        <v>0</v>
      </c>
      <c r="G61" s="638">
        <v>0</v>
      </c>
      <c r="H61" s="638">
        <v>0</v>
      </c>
      <c r="I61" s="640" t="e">
        <f>SUM(C61:H61)</f>
        <v>#REF!</v>
      </c>
      <c r="J61" s="582"/>
      <c r="K61" s="582"/>
      <c r="L61" s="582"/>
      <c r="M61" s="582"/>
      <c r="N61" s="582"/>
      <c r="O61" s="584"/>
      <c r="P61" s="1156"/>
      <c r="Q61" s="1149"/>
    </row>
    <row r="62" spans="1:18" s="9" customFormat="1" ht="16.5" customHeight="1" x14ac:dyDescent="0.25">
      <c r="A62" s="1150"/>
      <c r="B62" s="615" t="s">
        <v>546</v>
      </c>
      <c r="C62" s="638">
        <v>0</v>
      </c>
      <c r="D62" s="638">
        <v>0</v>
      </c>
      <c r="E62" s="638" t="e">
        <f>+'SCG Table A'!#REF!-C62</f>
        <v>#REF!</v>
      </c>
      <c r="F62" s="638">
        <v>0</v>
      </c>
      <c r="G62" s="638">
        <v>0</v>
      </c>
      <c r="H62" s="638">
        <v>0</v>
      </c>
      <c r="I62" s="640" t="e">
        <f t="shared" ref="I62:I69" si="10">SUM(C62:H62)</f>
        <v>#REF!</v>
      </c>
      <c r="J62" s="582"/>
      <c r="K62" s="582"/>
      <c r="L62" s="582"/>
      <c r="M62" s="582"/>
      <c r="N62" s="582"/>
      <c r="O62" s="584"/>
      <c r="P62" s="1156"/>
      <c r="Q62" s="1149"/>
    </row>
    <row r="63" spans="1:18" s="9" customFormat="1" ht="16.5" customHeight="1" x14ac:dyDescent="0.25">
      <c r="A63" s="1150"/>
      <c r="B63" s="615" t="s">
        <v>547</v>
      </c>
      <c r="C63" s="638">
        <v>13321</v>
      </c>
      <c r="D63" s="638">
        <v>0</v>
      </c>
      <c r="E63" s="638" t="e">
        <f>+'SCG Table A'!#REF!-C63</f>
        <v>#REF!</v>
      </c>
      <c r="F63" s="638">
        <v>0</v>
      </c>
      <c r="G63" s="638">
        <v>0</v>
      </c>
      <c r="H63" s="638">
        <v>0</v>
      </c>
      <c r="I63" s="640" t="e">
        <f t="shared" si="10"/>
        <v>#REF!</v>
      </c>
      <c r="J63" s="582"/>
      <c r="K63" s="582"/>
      <c r="L63" s="582"/>
      <c r="M63" s="582"/>
      <c r="N63" s="582"/>
      <c r="O63" s="584"/>
      <c r="P63" s="1156"/>
    </row>
    <row r="64" spans="1:18" s="9" customFormat="1" ht="16.5" customHeight="1" x14ac:dyDescent="0.25">
      <c r="A64" s="1150"/>
      <c r="B64" s="615" t="s">
        <v>548</v>
      </c>
      <c r="C64" s="638">
        <v>80000</v>
      </c>
      <c r="D64" s="638">
        <v>0</v>
      </c>
      <c r="E64" s="638" t="e">
        <f>+'SCG Table A'!#REF!-C64</f>
        <v>#REF!</v>
      </c>
      <c r="F64" s="638">
        <v>0</v>
      </c>
      <c r="G64" s="638">
        <v>0</v>
      </c>
      <c r="H64" s="638">
        <v>0</v>
      </c>
      <c r="I64" s="640" t="e">
        <f t="shared" si="10"/>
        <v>#REF!</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t="e">
        <f>+'SCG Table A'!#REF!-C65</f>
        <v>#REF!</v>
      </c>
      <c r="F65" s="638">
        <v>0</v>
      </c>
      <c r="G65" s="638">
        <v>0</v>
      </c>
      <c r="H65" s="638">
        <v>0</v>
      </c>
      <c r="I65" s="640" t="e">
        <f t="shared" si="10"/>
        <v>#REF!</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t="e">
        <f>+'SCG Table A'!#REF!-C66</f>
        <v>#REF!</v>
      </c>
      <c r="F66" s="638">
        <v>0</v>
      </c>
      <c r="G66" s="638">
        <v>0</v>
      </c>
      <c r="H66" s="638">
        <v>0</v>
      </c>
      <c r="I66" s="640" t="e">
        <f>SUM(C66:H66)</f>
        <v>#REF!</v>
      </c>
      <c r="J66" s="1146"/>
      <c r="K66" s="1159"/>
      <c r="L66" s="1159"/>
      <c r="M66" s="848"/>
      <c r="P66" s="1176"/>
    </row>
    <row r="67" spans="1:24" s="9" customFormat="1" ht="16.5" customHeight="1" x14ac:dyDescent="0.25">
      <c r="A67" s="1145"/>
      <c r="B67" s="615" t="s">
        <v>641</v>
      </c>
      <c r="C67" s="638">
        <v>0</v>
      </c>
      <c r="D67" s="638">
        <v>0</v>
      </c>
      <c r="E67" s="638" t="e">
        <f>+'SCG Table A'!#REF!-C67</f>
        <v>#REF!</v>
      </c>
      <c r="F67" s="638">
        <v>0</v>
      </c>
      <c r="G67" s="638">
        <v>0</v>
      </c>
      <c r="H67" s="638">
        <v>0</v>
      </c>
      <c r="I67" s="640" t="e">
        <f t="shared" si="10"/>
        <v>#REF!</v>
      </c>
      <c r="J67" s="1159"/>
      <c r="K67" s="1159"/>
      <c r="L67" s="848"/>
      <c r="O67" s="1176"/>
    </row>
    <row r="68" spans="1:24" s="9" customFormat="1" ht="16.5" customHeight="1" x14ac:dyDescent="0.25">
      <c r="A68" s="1145"/>
      <c r="B68" s="615" t="s">
        <v>642</v>
      </c>
      <c r="C68" s="638">
        <v>0</v>
      </c>
      <c r="D68" s="638">
        <v>0</v>
      </c>
      <c r="E68" s="638" t="e">
        <f>+'SCG Table A'!#REF!-C68</f>
        <v>#REF!</v>
      </c>
      <c r="F68" s="638">
        <v>0</v>
      </c>
      <c r="G68" s="638">
        <v>0</v>
      </c>
      <c r="H68" s="638">
        <v>0</v>
      </c>
      <c r="I68" s="640" t="e">
        <f>SUM(C68:H68)</f>
        <v>#REF!</v>
      </c>
      <c r="J68" s="1159"/>
      <c r="K68" s="1159"/>
      <c r="L68" s="848"/>
      <c r="O68" s="1176"/>
    </row>
    <row r="69" spans="1:24" s="9" customFormat="1" ht="16.5" customHeight="1" thickBot="1" x14ac:dyDescent="0.3">
      <c r="A69" s="1145"/>
      <c r="B69" s="2432" t="s">
        <v>643</v>
      </c>
      <c r="C69" s="925">
        <v>0</v>
      </c>
      <c r="D69" s="925">
        <v>0</v>
      </c>
      <c r="E69" s="925">
        <v>0</v>
      </c>
      <c r="F69" s="925">
        <v>0</v>
      </c>
      <c r="G69" s="925">
        <v>0</v>
      </c>
      <c r="H69" s="925" t="e">
        <f>+'SCG Table A'!#REF!</f>
        <v>#REF!</v>
      </c>
      <c r="I69" s="789" t="e">
        <f t="shared" si="10"/>
        <v>#REF!</v>
      </c>
      <c r="J69" s="1159"/>
      <c r="K69" s="1159"/>
      <c r="L69" s="848"/>
    </row>
    <row r="70" spans="1:24" s="9" customFormat="1" ht="16.5" customHeight="1" thickBot="1" x14ac:dyDescent="0.3">
      <c r="A70" s="1145"/>
      <c r="B70" s="648" t="s">
        <v>43</v>
      </c>
      <c r="C70" s="2433">
        <f t="shared" ref="C70:I70" si="11">SUM(C61:C69)</f>
        <v>212235</v>
      </c>
      <c r="D70" s="2433">
        <f t="shared" si="11"/>
        <v>0</v>
      </c>
      <c r="E70" s="2433" t="e">
        <f t="shared" si="11"/>
        <v>#REF!</v>
      </c>
      <c r="F70" s="2433">
        <f t="shared" si="11"/>
        <v>0</v>
      </c>
      <c r="G70" s="2433">
        <f t="shared" si="11"/>
        <v>0</v>
      </c>
      <c r="H70" s="2433" t="e">
        <f t="shared" si="11"/>
        <v>#REF!</v>
      </c>
      <c r="I70" s="2433" t="e">
        <f t="shared" si="11"/>
        <v>#REF!</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f>C18+C32*0.8+C33*0.5+C34*0.8+C35*0.8+C36*0.5+C37*0.8+C38+C39*0.8+C44+C48+C62*0.8</f>
        <v>555705.08111999999</v>
      </c>
      <c r="D72" s="655">
        <f t="shared" ref="D72:I72" si="12">D18+D32*0.8+D33*0.5+D34*0.8+D35*0.8+D36*0.5+D37*0.8+D38+D39*0.8+D44+D48+D62*0.8</f>
        <v>10904</v>
      </c>
      <c r="E72" s="655" t="e">
        <f t="shared" si="12"/>
        <v>#REF!</v>
      </c>
      <c r="F72" s="655">
        <f t="shared" si="12"/>
        <v>5436586</v>
      </c>
      <c r="G72" s="655">
        <f t="shared" si="12"/>
        <v>45620</v>
      </c>
      <c r="H72" s="655">
        <f t="shared" si="12"/>
        <v>7397</v>
      </c>
      <c r="I72" s="1033" t="e">
        <f t="shared" si="12"/>
        <v>#REF!</v>
      </c>
      <c r="L72" s="141"/>
      <c r="M72" s="49"/>
      <c r="N72" s="49"/>
    </row>
    <row r="73" spans="1:24" ht="21" hidden="1" customHeight="1" x14ac:dyDescent="0.3">
      <c r="A73" s="21"/>
      <c r="B73" s="1034" t="s">
        <v>8</v>
      </c>
      <c r="C73" s="657">
        <f>C29+C32*0.2+C33*0.5+C34*0.2+C35*0.2+C36*0.5+C37*0.2+C39*0.2+C45+C47+C49+C50+C58+C62*0.2</f>
        <v>313190.81887999998</v>
      </c>
      <c r="D73" s="657">
        <f t="shared" ref="D73:I73" si="13">D29+D32*0.2+D33*0.5+D34*0.2+D35*0.2+D36*0.5+D37*0.2+D39*0.2+D45+D47+D49+D50+D58+D62*0.2</f>
        <v>11329</v>
      </c>
      <c r="E73" s="657" t="e">
        <f t="shared" si="13"/>
        <v>#REF!</v>
      </c>
      <c r="F73" s="657">
        <f t="shared" si="13"/>
        <v>1889424</v>
      </c>
      <c r="G73" s="657">
        <f t="shared" si="13"/>
        <v>26355</v>
      </c>
      <c r="H73" s="657">
        <f t="shared" si="13"/>
        <v>13659</v>
      </c>
      <c r="I73" s="1035" t="e">
        <f t="shared" si="13"/>
        <v>#REF!</v>
      </c>
      <c r="J73" s="521"/>
      <c r="L73" s="141"/>
      <c r="M73" s="49"/>
      <c r="N73" s="49"/>
    </row>
    <row r="74" spans="1:24" ht="21" hidden="1" customHeight="1" thickBot="1" x14ac:dyDescent="0.35">
      <c r="A74" s="86"/>
      <c r="B74" s="1036" t="s">
        <v>12</v>
      </c>
      <c r="C74" s="659">
        <f>C43+C46+C53+C61+C63+C64+C65+C66+C67+C68+C69</f>
        <v>212235</v>
      </c>
      <c r="D74" s="659">
        <f t="shared" ref="D74:I74" si="14">D43+D46+D53+D61+D63+D64+D65+D66+D67+D68+D69</f>
        <v>0</v>
      </c>
      <c r="E74" s="659" t="e">
        <f t="shared" si="14"/>
        <v>#REF!</v>
      </c>
      <c r="F74" s="659">
        <f t="shared" si="14"/>
        <v>0</v>
      </c>
      <c r="G74" s="659">
        <f t="shared" si="14"/>
        <v>0</v>
      </c>
      <c r="H74" s="659" t="e">
        <f t="shared" si="14"/>
        <v>#REF!</v>
      </c>
      <c r="I74" s="1037" t="e">
        <f t="shared" si="14"/>
        <v>#REF!</v>
      </c>
      <c r="L74" s="141"/>
      <c r="M74" s="49"/>
      <c r="N74" s="49"/>
    </row>
    <row r="75" spans="1:24" ht="21" thickBot="1" x14ac:dyDescent="0.35">
      <c r="A75" s="83"/>
      <c r="B75" s="648" t="s">
        <v>58</v>
      </c>
      <c r="C75" s="649">
        <f>C18+C29+C40+C51+C70</f>
        <v>1081130.8999999999</v>
      </c>
      <c r="D75" s="649">
        <f t="shared" ref="D75:I75" si="15">D18+D29+D40+D51+D70</f>
        <v>22233</v>
      </c>
      <c r="E75" s="649" t="e">
        <f t="shared" si="15"/>
        <v>#REF!</v>
      </c>
      <c r="F75" s="649">
        <f t="shared" si="15"/>
        <v>7326010</v>
      </c>
      <c r="G75" s="649">
        <f t="shared" si="15"/>
        <v>71975</v>
      </c>
      <c r="H75" s="649" t="e">
        <f t="shared" si="15"/>
        <v>#REF!</v>
      </c>
      <c r="I75" s="649" t="e">
        <f t="shared" si="15"/>
        <v>#REF!</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71:I71"/>
    <mergeCell ref="B30:I30"/>
    <mergeCell ref="B57:I57"/>
    <mergeCell ref="B24:I24"/>
    <mergeCell ref="B31:I31"/>
    <mergeCell ref="B42:I42"/>
    <mergeCell ref="B52:I52"/>
    <mergeCell ref="B60:I60"/>
    <mergeCell ref="B1:I1"/>
    <mergeCell ref="B2:I2"/>
    <mergeCell ref="B11:I11"/>
    <mergeCell ref="B20:I20"/>
    <mergeCell ref="B23:I23"/>
  </mergeCells>
  <printOptions horizontalCentered="1" verticalCentered="1"/>
  <pageMargins left="0.5" right="0.06" top="0.2" bottom="0.18" header="0.2" footer="0.25"/>
  <pageSetup scale="53" orientation="landscape" r:id="rId1"/>
  <headerFooter alignWithMargins="0">
    <oddFooter>&amp;C&amp;"Arial"&amp;11&amp;K000000&amp;14
Totals may vary due to rounding&amp;12
_x000D_&amp;1#&amp;"Calibri"&amp;12&amp;K008000Internal Use</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tabColor indexed="44"/>
    <pageSetUpPr fitToPage="1"/>
  </sheetPr>
  <dimension ref="A1:X79"/>
  <sheetViews>
    <sheetView topLeftCell="B2" zoomScale="75" workbookViewId="0">
      <pane xSplit="1" topLeftCell="C1" activePane="topRight" state="frozen"/>
      <selection activeCell="C9" sqref="C9"/>
      <selection pane="topRight" activeCell="K82" sqref="K82"/>
    </sheetView>
  </sheetViews>
  <sheetFormatPr defaultRowHeight="12.75" x14ac:dyDescent="0.2"/>
  <cols>
    <col min="1" max="1" width="7.140625" style="49" customWidth="1"/>
    <col min="2" max="2" width="60.8554687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624</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v>4762</v>
      </c>
      <c r="F12" s="633">
        <v>708800</v>
      </c>
      <c r="G12" s="633">
        <v>4080</v>
      </c>
      <c r="H12" s="633">
        <v>1500</v>
      </c>
      <c r="I12" s="634">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v>126634</v>
      </c>
      <c r="F13" s="638">
        <v>1449041.1</v>
      </c>
      <c r="G13" s="638">
        <v>15000</v>
      </c>
      <c r="H13" s="638">
        <v>467</v>
      </c>
      <c r="I13" s="640">
        <v>1815062</v>
      </c>
      <c r="J13" s="796"/>
      <c r="K13" s="796"/>
      <c r="L13" s="796"/>
      <c r="M13" s="796"/>
      <c r="N13" s="796"/>
      <c r="O13" s="796"/>
      <c r="P13" s="581"/>
      <c r="Q13" s="581"/>
      <c r="R13" s="582"/>
      <c r="S13" s="582"/>
      <c r="T13" s="582"/>
    </row>
    <row r="14" spans="1:20" ht="24.6" customHeight="1" x14ac:dyDescent="0.3">
      <c r="A14" s="83"/>
      <c r="B14" s="614" t="s">
        <v>596</v>
      </c>
      <c r="C14" s="638">
        <v>58566</v>
      </c>
      <c r="D14" s="638">
        <v>6300</v>
      </c>
      <c r="E14" s="638">
        <v>128000</v>
      </c>
      <c r="F14" s="638">
        <v>1147915.8999999999</v>
      </c>
      <c r="G14" s="638">
        <v>20000</v>
      </c>
      <c r="H14" s="638">
        <v>3000</v>
      </c>
      <c r="I14" s="640">
        <v>1363781.9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v>20000</v>
      </c>
      <c r="F15" s="638">
        <v>2412885</v>
      </c>
      <c r="G15" s="638">
        <v>2000</v>
      </c>
      <c r="H15" s="638">
        <v>1500</v>
      </c>
      <c r="I15" s="640">
        <v>2651955</v>
      </c>
      <c r="J15" s="749"/>
      <c r="K15" s="585"/>
      <c r="L15" s="2301"/>
      <c r="M15" s="581"/>
      <c r="N15" s="581"/>
      <c r="O15" s="581"/>
      <c r="P15" s="581"/>
      <c r="Q15" s="581"/>
      <c r="R15" s="582"/>
      <c r="S15" s="582"/>
      <c r="T15" s="582"/>
    </row>
    <row r="16" spans="1:20" ht="24.6" customHeight="1" thickBot="1" x14ac:dyDescent="0.35">
      <c r="A16" s="83"/>
      <c r="B16" s="617" t="s">
        <v>529</v>
      </c>
      <c r="C16" s="641">
        <v>0</v>
      </c>
      <c r="D16" s="641">
        <v>0</v>
      </c>
      <c r="E16" s="641">
        <v>106598</v>
      </c>
      <c r="F16" s="641">
        <v>0</v>
      </c>
      <c r="G16" s="641">
        <v>0</v>
      </c>
      <c r="H16" s="641">
        <v>0</v>
      </c>
      <c r="I16" s="643">
        <v>106598</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v>0</v>
      </c>
      <c r="J17" s="85"/>
      <c r="K17" s="517"/>
      <c r="L17" s="2046"/>
      <c r="M17" s="2046"/>
      <c r="N17" s="2046"/>
      <c r="O17" s="2046"/>
      <c r="P17" s="2046"/>
      <c r="Q17" s="581"/>
      <c r="R17" s="582"/>
      <c r="S17" s="582"/>
      <c r="T17" s="582"/>
    </row>
    <row r="18" spans="1:20" ht="24.6" customHeight="1" thickBot="1" x14ac:dyDescent="0.35">
      <c r="A18" s="84"/>
      <c r="B18" s="232" t="s">
        <v>30</v>
      </c>
      <c r="C18" s="662">
        <v>526483.9</v>
      </c>
      <c r="D18" s="662">
        <v>9520</v>
      </c>
      <c r="E18" s="662">
        <v>385994</v>
      </c>
      <c r="F18" s="662">
        <v>5718642</v>
      </c>
      <c r="G18" s="662">
        <v>41080</v>
      </c>
      <c r="H18" s="662">
        <v>6467</v>
      </c>
      <c r="I18" s="662">
        <v>6688186.9000000004</v>
      </c>
      <c r="J18" s="85"/>
      <c r="K18" s="2302"/>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52"/>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3555</v>
      </c>
      <c r="E21" s="644">
        <v>119230</v>
      </c>
      <c r="F21" s="644">
        <v>1102732</v>
      </c>
      <c r="G21" s="644">
        <v>3555</v>
      </c>
      <c r="H21" s="644">
        <v>4976</v>
      </c>
      <c r="I21" s="634">
        <v>1377048</v>
      </c>
      <c r="J21" s="85"/>
      <c r="K21" s="517"/>
      <c r="L21" s="581"/>
      <c r="M21" s="581"/>
      <c r="N21" s="581"/>
      <c r="O21" s="581"/>
      <c r="P21" s="581"/>
      <c r="Q21" s="581"/>
      <c r="R21" s="582"/>
      <c r="S21" s="582"/>
      <c r="T21" s="582"/>
    </row>
    <row r="22" spans="1:20" ht="24.6" customHeight="1" thickBot="1" x14ac:dyDescent="0.35">
      <c r="A22" s="84"/>
      <c r="B22" s="26" t="s">
        <v>152</v>
      </c>
      <c r="C22" s="645">
        <v>143000</v>
      </c>
      <c r="D22" s="645">
        <v>3555</v>
      </c>
      <c r="E22" s="645">
        <v>119230</v>
      </c>
      <c r="F22" s="645">
        <v>1102732</v>
      </c>
      <c r="G22" s="645">
        <v>3555</v>
      </c>
      <c r="H22" s="645">
        <v>4976</v>
      </c>
      <c r="I22" s="645">
        <v>1377048</v>
      </c>
      <c r="J22" s="85"/>
      <c r="K22" s="241"/>
      <c r="L22" s="745"/>
      <c r="M22" s="745"/>
      <c r="N22" s="581"/>
      <c r="O22" s="582"/>
      <c r="P22" s="582"/>
      <c r="Q22" s="582"/>
    </row>
    <row r="23" spans="1:20" s="51" customFormat="1" ht="24.6" customHeight="1" x14ac:dyDescent="0.3">
      <c r="A23" s="83"/>
      <c r="B23" s="2894"/>
      <c r="C23" s="2895"/>
      <c r="D23" s="2895"/>
      <c r="E23" s="2895"/>
      <c r="F23" s="2895"/>
      <c r="G23" s="2895"/>
      <c r="H23" s="2895"/>
      <c r="I23" s="2896"/>
      <c r="J23" s="142"/>
      <c r="K23" s="856"/>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4370</v>
      </c>
      <c r="E25" s="633">
        <v>61901</v>
      </c>
      <c r="F25" s="633">
        <v>665430</v>
      </c>
      <c r="G25" s="633">
        <v>13110</v>
      </c>
      <c r="H25" s="633">
        <v>4370</v>
      </c>
      <c r="I25" s="634">
        <v>850681</v>
      </c>
      <c r="J25" s="85"/>
      <c r="K25" s="142"/>
      <c r="L25" s="746"/>
      <c r="M25" s="746"/>
      <c r="N25" s="746"/>
      <c r="O25" s="746"/>
      <c r="P25" s="746"/>
      <c r="Q25" s="746"/>
    </row>
    <row r="26" spans="1:20" ht="24.6" customHeight="1" thickBot="1" x14ac:dyDescent="0.35">
      <c r="A26" s="83"/>
      <c r="B26" s="1024" t="s">
        <v>581</v>
      </c>
      <c r="C26" s="635">
        <v>16000</v>
      </c>
      <c r="D26" s="635">
        <v>1255</v>
      </c>
      <c r="E26" s="635">
        <v>22270</v>
      </c>
      <c r="F26" s="635">
        <v>205200</v>
      </c>
      <c r="G26" s="635">
        <v>3765</v>
      </c>
      <c r="H26" s="635">
        <v>2510</v>
      </c>
      <c r="I26" s="1025">
        <v>251000</v>
      </c>
      <c r="J26" s="85"/>
      <c r="K26" s="603"/>
      <c r="L26" s="746"/>
      <c r="M26" s="746"/>
      <c r="N26" s="746"/>
      <c r="O26" s="746"/>
      <c r="P26" s="746"/>
      <c r="Q26" s="746"/>
    </row>
    <row r="27" spans="1:20" ht="24.6" customHeight="1" thickBot="1" x14ac:dyDescent="0.35">
      <c r="A27" s="84"/>
      <c r="B27" s="921" t="s">
        <v>152</v>
      </c>
      <c r="C27" s="645">
        <v>117500</v>
      </c>
      <c r="D27" s="645">
        <v>5625</v>
      </c>
      <c r="E27" s="645">
        <v>84171</v>
      </c>
      <c r="F27" s="645">
        <v>870630</v>
      </c>
      <c r="G27" s="645">
        <v>16875</v>
      </c>
      <c r="H27" s="645">
        <v>6880</v>
      </c>
      <c r="I27" s="932">
        <v>1101681</v>
      </c>
      <c r="J27" s="85"/>
      <c r="K27" s="603"/>
      <c r="L27" s="581"/>
      <c r="M27" s="581"/>
      <c r="N27" s="581"/>
      <c r="O27" s="582"/>
      <c r="P27" s="582"/>
      <c r="Q27" s="582"/>
    </row>
    <row r="28" spans="1:20" ht="24.6" customHeight="1" thickBot="1" x14ac:dyDescent="0.35">
      <c r="A28" s="84"/>
      <c r="B28" s="930" t="s">
        <v>245</v>
      </c>
      <c r="C28" s="703">
        <v>29000</v>
      </c>
      <c r="D28" s="703">
        <v>1233</v>
      </c>
      <c r="E28" s="703">
        <v>14460</v>
      </c>
      <c r="F28" s="644">
        <v>198119</v>
      </c>
      <c r="G28" s="703">
        <v>2465</v>
      </c>
      <c r="H28" s="703">
        <v>1233</v>
      </c>
      <c r="I28" s="931">
        <v>246510</v>
      </c>
      <c r="J28" s="85"/>
      <c r="L28" s="581"/>
      <c r="M28" s="581"/>
      <c r="N28" s="581"/>
      <c r="O28" s="582"/>
      <c r="P28" s="582"/>
      <c r="Q28" s="582"/>
    </row>
    <row r="29" spans="1:20" ht="24.6" customHeight="1" thickBot="1" x14ac:dyDescent="0.35">
      <c r="A29" s="84"/>
      <c r="B29" s="26" t="s">
        <v>31</v>
      </c>
      <c r="C29" s="645">
        <v>289500</v>
      </c>
      <c r="D29" s="645">
        <v>10413</v>
      </c>
      <c r="E29" s="645">
        <v>217861</v>
      </c>
      <c r="F29" s="645">
        <v>2171481</v>
      </c>
      <c r="G29" s="645">
        <v>22895</v>
      </c>
      <c r="H29" s="645">
        <v>13089</v>
      </c>
      <c r="I29" s="645">
        <v>2725239</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v>22833</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246249</v>
      </c>
      <c r="F65" s="638">
        <v>0</v>
      </c>
      <c r="G65" s="638">
        <v>0</v>
      </c>
      <c r="H65" s="638">
        <v>0</v>
      </c>
      <c r="I65" s="640">
        <v>266667</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29333</v>
      </c>
      <c r="F66" s="638">
        <v>0</v>
      </c>
      <c r="G66" s="638">
        <v>0</v>
      </c>
      <c r="H66" s="638">
        <v>0</v>
      </c>
      <c r="I66" s="640">
        <v>29333</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41">
        <v>0</v>
      </c>
      <c r="E69" s="641">
        <v>0</v>
      </c>
      <c r="F69" s="641">
        <v>0</v>
      </c>
      <c r="G69" s="641">
        <v>0</v>
      </c>
      <c r="H69" s="641">
        <v>487232</v>
      </c>
      <c r="I69" s="643">
        <v>487232</v>
      </c>
      <c r="J69" s="1159"/>
      <c r="K69" s="1159"/>
      <c r="L69" s="848"/>
    </row>
    <row r="70" spans="1:24" s="9" customFormat="1" ht="16.5" customHeight="1" thickBot="1" x14ac:dyDescent="0.3">
      <c r="A70" s="1145"/>
      <c r="B70" s="232" t="s">
        <v>43</v>
      </c>
      <c r="C70" s="1177">
        <v>212235</v>
      </c>
      <c r="D70" s="1177">
        <v>0</v>
      </c>
      <c r="E70" s="1177">
        <v>559500</v>
      </c>
      <c r="F70" s="1177">
        <v>0</v>
      </c>
      <c r="G70" s="1177">
        <v>0</v>
      </c>
      <c r="H70" s="1177">
        <v>487232</v>
      </c>
      <c r="I70" s="1177">
        <v>1258967</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555705.08111999999</v>
      </c>
      <c r="D72" s="655">
        <v>10904</v>
      </c>
      <c r="E72" s="655">
        <v>869071.6</v>
      </c>
      <c r="F72" s="655">
        <v>5718642</v>
      </c>
      <c r="G72" s="655">
        <v>45620</v>
      </c>
      <c r="H72" s="655">
        <v>7397</v>
      </c>
      <c r="I72" s="1033">
        <v>7207339.6811200008</v>
      </c>
      <c r="L72" s="141"/>
      <c r="M72" s="49"/>
      <c r="N72" s="49"/>
    </row>
    <row r="73" spans="1:24" ht="21" customHeight="1" x14ac:dyDescent="0.3">
      <c r="A73" s="21"/>
      <c r="B73" s="1034" t="s">
        <v>8</v>
      </c>
      <c r="C73" s="657">
        <v>313190.81887999998</v>
      </c>
      <c r="D73" s="657">
        <v>11329</v>
      </c>
      <c r="E73" s="657">
        <v>432685.39999999997</v>
      </c>
      <c r="F73" s="657">
        <v>2171481</v>
      </c>
      <c r="G73" s="657">
        <v>26355</v>
      </c>
      <c r="H73" s="657">
        <v>13659</v>
      </c>
      <c r="I73" s="1035">
        <v>2968700.2188800001</v>
      </c>
      <c r="J73" s="521"/>
      <c r="L73" s="141"/>
      <c r="M73" s="49"/>
      <c r="N73" s="49"/>
    </row>
    <row r="74" spans="1:24" ht="21" customHeight="1" thickBot="1" x14ac:dyDescent="0.35">
      <c r="A74" s="86"/>
      <c r="B74" s="1036" t="s">
        <v>12</v>
      </c>
      <c r="C74" s="659">
        <v>212235</v>
      </c>
      <c r="D74" s="659">
        <v>0</v>
      </c>
      <c r="E74" s="659">
        <v>528442</v>
      </c>
      <c r="F74" s="659">
        <v>0</v>
      </c>
      <c r="G74" s="659">
        <v>0</v>
      </c>
      <c r="H74" s="659">
        <v>487232</v>
      </c>
      <c r="I74" s="1037">
        <v>1227909</v>
      </c>
      <c r="L74" s="141"/>
      <c r="M74" s="49"/>
      <c r="N74" s="49"/>
    </row>
    <row r="75" spans="1:24" ht="21" thickBot="1" x14ac:dyDescent="0.35">
      <c r="A75" s="83"/>
      <c r="B75" s="648" t="s">
        <v>58</v>
      </c>
      <c r="C75" s="649">
        <v>1081130.8999999999</v>
      </c>
      <c r="D75" s="649">
        <v>22233</v>
      </c>
      <c r="E75" s="649">
        <v>1830199</v>
      </c>
      <c r="F75" s="649">
        <v>7890123</v>
      </c>
      <c r="G75" s="649">
        <v>71975</v>
      </c>
      <c r="H75" s="649">
        <v>508288</v>
      </c>
      <c r="I75" s="649">
        <v>11403948.9</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5" right="0.06" top="0.2" bottom="0.18" header="0.2" footer="0.25"/>
  <pageSetup scale="53" orientation="landscape" r:id="rId1"/>
  <headerFooter alignWithMargins="0">
    <oddFooter>&amp;C&amp;"Arial"&amp;11&amp;K000000&amp;14
Totals may vary due to rounding&amp;12
_x000D_&amp;1#&amp;"Calibri"&amp;12&amp;K008000Internal Use</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tabColor indexed="44"/>
  </sheetPr>
  <dimension ref="A1:F43"/>
  <sheetViews>
    <sheetView topLeftCell="A13" workbookViewId="0">
      <selection activeCell="A3" sqref="A3:E3"/>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627</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'SCG Table C 2016'!C75</f>
        <v>1081130.8999999999</v>
      </c>
      <c r="C34" s="841"/>
      <c r="D34" s="236" t="e">
        <f t="shared" ref="D34:D39" si="0">SUM(B34/$B$41)</f>
        <v>#REF!</v>
      </c>
    </row>
    <row r="35" spans="1:4" x14ac:dyDescent="0.2">
      <c r="A35" t="s">
        <v>19</v>
      </c>
      <c r="B35" s="14">
        <f>'SCG Table C 2016'!D75</f>
        <v>22233</v>
      </c>
      <c r="D35" s="236" t="e">
        <f t="shared" si="0"/>
        <v>#REF!</v>
      </c>
    </row>
    <row r="36" spans="1:4" x14ac:dyDescent="0.2">
      <c r="A36" t="s">
        <v>4</v>
      </c>
      <c r="B36" s="14" t="e">
        <f>'SCG Table C 2016'!E75</f>
        <v>#REF!</v>
      </c>
      <c r="D36" s="236" t="e">
        <f t="shared" si="0"/>
        <v>#REF!</v>
      </c>
    </row>
    <row r="37" spans="1:4" x14ac:dyDescent="0.2">
      <c r="A37" t="s">
        <v>2</v>
      </c>
      <c r="B37" s="14">
        <f>'SCG Table C 2016'!F75</f>
        <v>7326010</v>
      </c>
      <c r="D37" s="236" t="e">
        <f t="shared" si="0"/>
        <v>#REF!</v>
      </c>
    </row>
    <row r="38" spans="1:4" x14ac:dyDescent="0.2">
      <c r="A38" t="s">
        <v>14</v>
      </c>
      <c r="B38" s="14">
        <f>'SCG Table C 2016'!G75</f>
        <v>71975</v>
      </c>
      <c r="D38" s="236" t="e">
        <f t="shared" si="0"/>
        <v>#REF!</v>
      </c>
    </row>
    <row r="39" spans="1:4" x14ac:dyDescent="0.2">
      <c r="A39" t="s">
        <v>15</v>
      </c>
      <c r="B39" s="933" t="e">
        <f>'SCG Table C 2016'!H75</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pageSetUpPr fitToPage="1"/>
  </sheetPr>
  <dimension ref="A1:R58"/>
  <sheetViews>
    <sheetView topLeftCell="C1" zoomScale="75" workbookViewId="0">
      <selection activeCell="C2" sqref="C2:M57"/>
    </sheetView>
  </sheetViews>
  <sheetFormatPr defaultRowHeight="12.75" x14ac:dyDescent="0.2"/>
  <cols>
    <col min="1" max="1" width="6.28515625" customWidth="1"/>
    <col min="2" max="2" width="12.7109375" customWidth="1"/>
    <col min="3" max="3" width="60.7109375" customWidth="1"/>
    <col min="4" max="16" width="11.7109375" customWidth="1"/>
    <col min="17" max="17" width="11.7109375" style="3" customWidth="1"/>
    <col min="18" max="18" width="11.7109375" customWidth="1"/>
  </cols>
  <sheetData>
    <row r="1" spans="1:18" ht="23.25" x14ac:dyDescent="0.35">
      <c r="C1" s="501"/>
    </row>
    <row r="2" spans="1:18" ht="21" customHeight="1" x14ac:dyDescent="0.3">
      <c r="A2" s="3"/>
      <c r="B2" s="3"/>
      <c r="C2" s="2848" t="s">
        <v>345</v>
      </c>
      <c r="D2" s="2848"/>
      <c r="E2" s="2848"/>
      <c r="F2" s="2848"/>
      <c r="G2" s="2848"/>
      <c r="H2" s="2848"/>
      <c r="I2" s="2848"/>
      <c r="J2" s="2848"/>
      <c r="K2" s="2848"/>
      <c r="L2" s="2848"/>
      <c r="M2" s="2848"/>
      <c r="N2" s="949"/>
      <c r="O2" s="949"/>
      <c r="P2" s="949"/>
      <c r="Q2" s="949"/>
      <c r="R2" s="949"/>
    </row>
    <row r="3" spans="1:18" ht="24" customHeight="1" x14ac:dyDescent="0.3">
      <c r="A3" s="3"/>
      <c r="B3" s="243"/>
      <c r="C3" s="2945" t="s">
        <v>355</v>
      </c>
      <c r="D3" s="2945"/>
      <c r="E3" s="2945"/>
      <c r="F3" s="2945"/>
      <c r="G3" s="2945"/>
      <c r="H3" s="2945"/>
      <c r="I3" s="2945"/>
      <c r="J3" s="2945"/>
      <c r="K3" s="2945"/>
      <c r="L3" s="2945"/>
      <c r="M3" s="2945"/>
      <c r="N3" s="980"/>
      <c r="O3" s="980"/>
      <c r="P3" s="980"/>
      <c r="Q3" s="980"/>
      <c r="R3" s="980"/>
    </row>
    <row r="4" spans="1:18" ht="24" customHeight="1" thickBot="1" x14ac:dyDescent="0.35">
      <c r="A4" s="3"/>
      <c r="B4" s="243"/>
      <c r="C4" s="213"/>
      <c r="D4" s="212"/>
      <c r="E4" s="33"/>
      <c r="F4" s="33"/>
      <c r="G4" s="33"/>
      <c r="H4" s="33"/>
      <c r="I4" s="33"/>
      <c r="J4" s="33"/>
      <c r="K4" s="33"/>
      <c r="L4" s="33"/>
      <c r="M4" s="33"/>
      <c r="N4" s="33"/>
      <c r="O4" s="33"/>
      <c r="P4" s="33"/>
      <c r="Q4" s="1023"/>
      <c r="R4" s="33"/>
    </row>
    <row r="5" spans="1:18" ht="24" customHeight="1" thickBot="1" x14ac:dyDescent="0.35">
      <c r="A5" s="3"/>
      <c r="B5" s="243"/>
      <c r="C5" s="2850" t="s">
        <v>346</v>
      </c>
      <c r="D5" s="2851"/>
      <c r="E5" s="2851"/>
      <c r="F5" s="2851"/>
      <c r="G5" s="2851"/>
      <c r="H5" s="2851"/>
      <c r="I5" s="2851"/>
      <c r="J5" s="2851"/>
      <c r="K5" s="2851"/>
      <c r="L5" s="2851"/>
      <c r="M5" s="2852"/>
      <c r="N5" s="213"/>
      <c r="O5" s="213"/>
      <c r="P5" s="213"/>
      <c r="Q5" s="213"/>
      <c r="R5" s="213"/>
    </row>
    <row r="6" spans="1:18" ht="14.25" customHeight="1" x14ac:dyDescent="0.3">
      <c r="A6" s="3"/>
      <c r="B6" s="243"/>
      <c r="C6" s="949"/>
      <c r="D6" s="981">
        <v>2006</v>
      </c>
      <c r="E6" s="981">
        <v>2007</v>
      </c>
      <c r="F6" s="981">
        <v>2008</v>
      </c>
      <c r="G6" s="981">
        <v>2009</v>
      </c>
      <c r="H6" s="981">
        <v>2010</v>
      </c>
      <c r="I6" s="981">
        <v>2011</v>
      </c>
      <c r="J6" s="981">
        <v>2012</v>
      </c>
      <c r="K6" s="981">
        <v>2013</v>
      </c>
      <c r="L6" s="981">
        <v>2014</v>
      </c>
      <c r="M6" s="981">
        <v>2015</v>
      </c>
      <c r="Q6"/>
    </row>
    <row r="7" spans="1:18" ht="14.25" customHeight="1" thickBot="1" x14ac:dyDescent="0.35">
      <c r="A7" s="15"/>
      <c r="B7" s="15"/>
      <c r="C7" s="213"/>
      <c r="D7" s="195" t="s">
        <v>186</v>
      </c>
      <c r="E7" s="195" t="s">
        <v>186</v>
      </c>
      <c r="F7" s="195" t="s">
        <v>186</v>
      </c>
      <c r="G7" s="195" t="s">
        <v>186</v>
      </c>
      <c r="H7" s="195" t="s">
        <v>186</v>
      </c>
      <c r="I7" s="195" t="s">
        <v>186</v>
      </c>
      <c r="J7" s="195" t="s">
        <v>188</v>
      </c>
      <c r="K7" s="195" t="s">
        <v>188</v>
      </c>
      <c r="L7" s="195" t="s">
        <v>188</v>
      </c>
      <c r="M7" s="195" t="s">
        <v>188</v>
      </c>
      <c r="Q7"/>
    </row>
    <row r="8" spans="1:18" ht="17.25" customHeight="1" thickBot="1" x14ac:dyDescent="0.3">
      <c r="A8" s="982"/>
      <c r="B8" s="982"/>
      <c r="C8" s="222" t="s">
        <v>115</v>
      </c>
      <c r="D8" s="984"/>
      <c r="E8" s="984"/>
      <c r="F8" s="984"/>
      <c r="G8" s="984"/>
      <c r="H8" s="984"/>
      <c r="I8" s="984"/>
      <c r="J8" s="984"/>
      <c r="K8" s="983"/>
      <c r="L8" s="983"/>
      <c r="M8" s="983"/>
      <c r="Q8"/>
    </row>
    <row r="9" spans="1:18" ht="17.25" customHeight="1" x14ac:dyDescent="0.2">
      <c r="A9" s="985" t="s">
        <v>347</v>
      </c>
      <c r="B9" s="982"/>
      <c r="C9" s="100" t="s">
        <v>222</v>
      </c>
      <c r="D9" s="1004" t="e">
        <f>+#REF!/1000</f>
        <v>#REF!</v>
      </c>
      <c r="E9" s="1004" t="e">
        <f>+#REF!/1000</f>
        <v>#REF!</v>
      </c>
      <c r="F9" s="1004" t="e">
        <f>+#REF!/1000</f>
        <v>#REF!</v>
      </c>
      <c r="G9" s="1004" t="e">
        <f>+#REF!/1000</f>
        <v>#REF!</v>
      </c>
      <c r="H9" s="1004" t="e">
        <f>+#REF!/1000</f>
        <v>#REF!</v>
      </c>
      <c r="I9" s="1004" t="e">
        <f>+#REF!/1000</f>
        <v>#REF!</v>
      </c>
      <c r="J9" s="1004" t="e">
        <f>+#REF!/1000</f>
        <v>#REF!</v>
      </c>
      <c r="K9" s="1004" t="e">
        <f>+#REF!/1000</f>
        <v>#REF!</v>
      </c>
      <c r="L9" s="1004" t="e">
        <f>+#REF!/1000</f>
        <v>#REF!</v>
      </c>
      <c r="M9" s="1004" t="e">
        <f>+#REF!/1000</f>
        <v>#REF!</v>
      </c>
      <c r="Q9"/>
    </row>
    <row r="10" spans="1:18" ht="17.25" customHeight="1" x14ac:dyDescent="0.2">
      <c r="A10" s="985" t="s">
        <v>347</v>
      </c>
      <c r="B10" s="982"/>
      <c r="C10" s="155" t="s">
        <v>149</v>
      </c>
      <c r="D10" s="986" t="e">
        <f>+#REF!/1000</f>
        <v>#REF!</v>
      </c>
      <c r="E10" s="986" t="e">
        <f>+#REF!/1000</f>
        <v>#REF!</v>
      </c>
      <c r="F10" s="986" t="e">
        <f>+#REF!/1000</f>
        <v>#REF!</v>
      </c>
      <c r="G10" s="986" t="e">
        <f>+#REF!/1000</f>
        <v>#REF!</v>
      </c>
      <c r="H10" s="986" t="e">
        <f>+#REF!/1000</f>
        <v>#REF!</v>
      </c>
      <c r="I10" s="986" t="e">
        <f>+#REF!/1000</f>
        <v>#REF!</v>
      </c>
      <c r="J10" s="1016" t="e">
        <f>+#REF!/1000</f>
        <v>#REF!</v>
      </c>
      <c r="K10" s="1020" t="e">
        <f>+#REF!/1000</f>
        <v>#REF!</v>
      </c>
      <c r="L10" s="1021" t="e">
        <f>+#REF!/1000</f>
        <v>#REF!</v>
      </c>
      <c r="M10" s="1022" t="e">
        <f>+#REF!/1000</f>
        <v>#REF!</v>
      </c>
      <c r="Q10"/>
    </row>
    <row r="11" spans="1:18" ht="17.25" customHeight="1" x14ac:dyDescent="0.2">
      <c r="A11" s="981"/>
      <c r="B11" s="981"/>
      <c r="C11" s="871" t="s">
        <v>227</v>
      </c>
      <c r="D11" s="989" t="e">
        <f>+#REF!/1000</f>
        <v>#REF!</v>
      </c>
      <c r="E11" s="989" t="e">
        <f>+#REF!/1000</f>
        <v>#REF!</v>
      </c>
      <c r="F11" s="989" t="e">
        <f>+#REF!/1000</f>
        <v>#REF!</v>
      </c>
      <c r="G11" s="989" t="e">
        <f>+#REF!/1000</f>
        <v>#REF!</v>
      </c>
      <c r="H11" s="989" t="e">
        <f>+#REF!/1000</f>
        <v>#REF!</v>
      </c>
      <c r="I11" s="989" t="e">
        <f>+#REF!/1000</f>
        <v>#REF!</v>
      </c>
      <c r="J11" s="990" t="e">
        <f>+#REF!/1000</f>
        <v>#REF!</v>
      </c>
      <c r="K11" s="991" t="e">
        <f>+#REF!/1000</f>
        <v>#REF!</v>
      </c>
      <c r="L11" s="992" t="e">
        <f>+#REF!/1000</f>
        <v>#REF!</v>
      </c>
      <c r="M11" s="993" t="e">
        <f>+#REF!/1000</f>
        <v>#REF!</v>
      </c>
      <c r="Q11"/>
    </row>
    <row r="12" spans="1:18" ht="17.25" customHeight="1" thickBot="1" x14ac:dyDescent="0.25">
      <c r="A12" s="985" t="s">
        <v>347</v>
      </c>
      <c r="B12" s="982"/>
      <c r="C12" s="969" t="s">
        <v>110</v>
      </c>
      <c r="D12" s="995">
        <f>+'YGS Water Heating'!B15/1000</f>
        <v>0</v>
      </c>
      <c r="E12" s="995">
        <f>+'YGS Water Heating'!C15/1000</f>
        <v>0</v>
      </c>
      <c r="F12" s="995">
        <f>+'YGS Water Heating'!D15/1000</f>
        <v>62.859000000000002</v>
      </c>
      <c r="G12" s="995">
        <f>+'YGS Water Heating'!E15/1000</f>
        <v>104.09</v>
      </c>
      <c r="H12" s="995">
        <f>+'YGS Water Heating'!F15/1000</f>
        <v>60.84657</v>
      </c>
      <c r="I12" s="995">
        <f>+'YGS Water Heating'!G15/1000</f>
        <v>0</v>
      </c>
      <c r="J12" s="996">
        <f>+'YGS Water Heating'!H15/1000</f>
        <v>70</v>
      </c>
      <c r="K12" s="997" t="e">
        <f>+'YGS Water Heating'!K15/1000</f>
        <v>#REF!</v>
      </c>
      <c r="L12" s="998" t="e">
        <f>+'YGS Water Heating'!L15/1000</f>
        <v>#REF!</v>
      </c>
      <c r="M12" s="999" t="e">
        <f>+'YGS Water Heating'!M15/1000</f>
        <v>#REF!</v>
      </c>
      <c r="Q12"/>
    </row>
    <row r="13" spans="1:18" ht="17.25" customHeight="1" thickBot="1" x14ac:dyDescent="0.3">
      <c r="A13" s="985" t="s">
        <v>347</v>
      </c>
      <c r="B13" s="982"/>
      <c r="C13" s="233" t="s">
        <v>30</v>
      </c>
      <c r="D13" s="1000" t="e">
        <f t="shared" ref="D13:M13" si="0">SUM(D9:D12)</f>
        <v>#REF!</v>
      </c>
      <c r="E13" s="1000" t="e">
        <f t="shared" si="0"/>
        <v>#REF!</v>
      </c>
      <c r="F13" s="1000" t="e">
        <f t="shared" si="0"/>
        <v>#REF!</v>
      </c>
      <c r="G13" s="1000" t="e">
        <f t="shared" si="0"/>
        <v>#REF!</v>
      </c>
      <c r="H13" s="1000" t="e">
        <f t="shared" si="0"/>
        <v>#REF!</v>
      </c>
      <c r="I13" s="1000" t="e">
        <f t="shared" si="0"/>
        <v>#REF!</v>
      </c>
      <c r="J13" s="1000" t="e">
        <f t="shared" si="0"/>
        <v>#REF!</v>
      </c>
      <c r="K13" s="1000" t="e">
        <f t="shared" si="0"/>
        <v>#REF!</v>
      </c>
      <c r="L13" s="1000" t="e">
        <f t="shared" si="0"/>
        <v>#REF!</v>
      </c>
      <c r="M13" s="1000" t="e">
        <f t="shared" si="0"/>
        <v>#REF!</v>
      </c>
      <c r="Q13"/>
    </row>
    <row r="14" spans="1:18" ht="17.25" customHeight="1" thickBot="1" x14ac:dyDescent="0.3">
      <c r="A14" s="994" t="s">
        <v>347</v>
      </c>
      <c r="B14" s="981"/>
      <c r="C14" s="164"/>
      <c r="D14" s="1002"/>
      <c r="E14" s="1002"/>
      <c r="F14" s="1002"/>
      <c r="G14" s="1002"/>
      <c r="H14" s="1002"/>
      <c r="I14" s="1002"/>
      <c r="J14" s="1002"/>
      <c r="K14" s="1002"/>
      <c r="L14" s="1002"/>
      <c r="M14" s="1002"/>
      <c r="Q14"/>
    </row>
    <row r="15" spans="1:18" ht="17.25" customHeight="1" thickBot="1" x14ac:dyDescent="0.3">
      <c r="A15" s="981"/>
      <c r="B15" s="981"/>
      <c r="C15" s="791" t="s">
        <v>6</v>
      </c>
      <c r="D15" s="1030"/>
      <c r="E15" s="1030"/>
      <c r="F15" s="1030"/>
      <c r="G15" s="1030"/>
      <c r="H15" s="1030"/>
      <c r="I15" s="1030"/>
      <c r="J15" s="1030"/>
      <c r="K15" s="1030"/>
      <c r="L15" s="1030"/>
      <c r="M15" s="1031"/>
      <c r="Q15"/>
    </row>
    <row r="16" spans="1:18" ht="17.25" customHeight="1" thickBot="1" x14ac:dyDescent="0.25">
      <c r="A16" s="28"/>
      <c r="B16" s="981"/>
      <c r="C16" s="179" t="s">
        <v>112</v>
      </c>
      <c r="D16" s="988" t="e">
        <f>+#REF!/1000</f>
        <v>#REF!</v>
      </c>
      <c r="E16" s="988" t="e">
        <f>+#REF!/1000</f>
        <v>#REF!</v>
      </c>
      <c r="F16" s="988" t="e">
        <f>+#REF!/1000</f>
        <v>#REF!</v>
      </c>
      <c r="G16" s="988" t="e">
        <f>+#REF!/1000</f>
        <v>#REF!</v>
      </c>
      <c r="H16" s="988" t="e">
        <f>+#REF!/1000</f>
        <v>#REF!</v>
      </c>
      <c r="I16" s="988" t="e">
        <f>+#REF!/1000</f>
        <v>#REF!</v>
      </c>
      <c r="J16" s="988" t="e">
        <f>+#REF!/1000</f>
        <v>#REF!</v>
      </c>
      <c r="K16" s="988" t="e">
        <f>+#REF!/1000</f>
        <v>#REF!</v>
      </c>
      <c r="L16" s="988" t="e">
        <f>+#REF!/1000</f>
        <v>#REF!</v>
      </c>
      <c r="M16" s="988" t="e">
        <f>+#REF!/1000</f>
        <v>#REF!</v>
      </c>
      <c r="Q16"/>
    </row>
    <row r="17" spans="1:17" ht="17.25" customHeight="1" thickBot="1" x14ac:dyDescent="0.3">
      <c r="A17" s="1003" t="s">
        <v>348</v>
      </c>
      <c r="B17" s="981"/>
      <c r="C17" s="227" t="s">
        <v>113</v>
      </c>
      <c r="D17" s="987" t="e">
        <f t="shared" ref="D17:K17" si="1">SUM(D16)</f>
        <v>#REF!</v>
      </c>
      <c r="E17" s="987" t="e">
        <f t="shared" si="1"/>
        <v>#REF!</v>
      </c>
      <c r="F17" s="987" t="e">
        <f t="shared" si="1"/>
        <v>#REF!</v>
      </c>
      <c r="G17" s="987" t="e">
        <f t="shared" si="1"/>
        <v>#REF!</v>
      </c>
      <c r="H17" s="987" t="e">
        <f t="shared" si="1"/>
        <v>#REF!</v>
      </c>
      <c r="I17" s="987" t="e">
        <f>SUM(I16)</f>
        <v>#REF!</v>
      </c>
      <c r="J17" s="987" t="e">
        <f t="shared" si="1"/>
        <v>#REF!</v>
      </c>
      <c r="K17" s="987" t="e">
        <f t="shared" si="1"/>
        <v>#REF!</v>
      </c>
      <c r="L17" s="987" t="e">
        <f>SUM(L16)</f>
        <v>#REF!</v>
      </c>
      <c r="M17" s="987" t="e">
        <f>SUM(M16)</f>
        <v>#REF!</v>
      </c>
      <c r="Q17"/>
    </row>
    <row r="18" spans="1:17" ht="17.25" customHeight="1" thickBot="1" x14ac:dyDescent="0.3">
      <c r="A18" s="1003"/>
      <c r="B18" s="981"/>
      <c r="C18" s="27" t="s">
        <v>114</v>
      </c>
      <c r="D18" s="1001"/>
      <c r="E18" s="1001"/>
      <c r="F18" s="1001"/>
      <c r="G18" s="1001"/>
      <c r="H18" s="1001"/>
      <c r="I18" s="1001"/>
      <c r="J18" s="1001"/>
      <c r="K18" s="1001"/>
      <c r="L18" s="1001"/>
      <c r="M18" s="1001"/>
      <c r="Q18"/>
    </row>
    <row r="19" spans="1:17" ht="17.25" customHeight="1" x14ac:dyDescent="0.2">
      <c r="A19" s="1003"/>
      <c r="B19" s="981"/>
      <c r="C19" s="100" t="s">
        <v>116</v>
      </c>
      <c r="D19" s="988">
        <f>+'YGS ENOPP'!B15/1000</f>
        <v>0</v>
      </c>
      <c r="E19" s="988">
        <f>+'YGS ENOPP'!C15/1000</f>
        <v>0</v>
      </c>
      <c r="F19" s="988">
        <f>+'YGS ENOPP'!D15/1000</f>
        <v>49.283000000000001</v>
      </c>
      <c r="G19" s="988">
        <f>+'YGS ENOPP'!E15/1000</f>
        <v>1045.28637</v>
      </c>
      <c r="H19" s="988">
        <f>+'YGS ENOPP'!F15/1000</f>
        <v>491.89861999999999</v>
      </c>
      <c r="I19" s="988">
        <f>+'YGS ENOPP'!G15/1000</f>
        <v>0</v>
      </c>
      <c r="J19" s="988">
        <f>+'YGS ENOPP'!H15/1000</f>
        <v>2474.8339999999998</v>
      </c>
      <c r="K19" s="988" t="e">
        <f>+'YGS ENOPP'!K15/1000</f>
        <v>#REF!</v>
      </c>
      <c r="L19" s="988" t="e">
        <f>+'YGS ENOPP'!L15/1000</f>
        <v>#REF!</v>
      </c>
      <c r="M19" s="988" t="e">
        <f>+'YGS ENOPP'!M15/1000</f>
        <v>#REF!</v>
      </c>
      <c r="Q19"/>
    </row>
    <row r="20" spans="1:17" ht="17.25" customHeight="1" thickBot="1" x14ac:dyDescent="0.25">
      <c r="A20" s="1003" t="s">
        <v>348</v>
      </c>
      <c r="B20" s="981"/>
      <c r="C20" s="969" t="s">
        <v>117</v>
      </c>
      <c r="D20" s="1004">
        <f>+'YGS O&amp;M'!B15/1000</f>
        <v>0</v>
      </c>
      <c r="E20" s="1004">
        <f>+'YGS O&amp;M'!C15/1000</f>
        <v>0</v>
      </c>
      <c r="F20" s="1004">
        <f>+'YGS O&amp;M'!D15/1000</f>
        <v>8.2490000000000006</v>
      </c>
      <c r="G20" s="1004">
        <f>+'YGS O&amp;M'!E15/1000</f>
        <v>17.885380000000001</v>
      </c>
      <c r="H20" s="1004">
        <f>+'YGS O&amp;M'!F15/1000</f>
        <v>123.33760999999998</v>
      </c>
      <c r="I20" s="1004">
        <f>+'YGS O&amp;M'!G15/1000</f>
        <v>0</v>
      </c>
      <c r="J20" s="1004">
        <f>+'YGS O&amp;M'!H15/1000</f>
        <v>324.548</v>
      </c>
      <c r="K20" s="1004" t="e">
        <f>+'YGS O&amp;M'!K15/1000</f>
        <v>#REF!</v>
      </c>
      <c r="L20" s="1004" t="e">
        <f>+'YGS O&amp;M'!L15/1000</f>
        <v>#REF!</v>
      </c>
      <c r="M20" s="1004" t="e">
        <f>+'YGS O&amp;M'!M15/1000</f>
        <v>#REF!</v>
      </c>
      <c r="Q20"/>
    </row>
    <row r="21" spans="1:17" ht="17.25" customHeight="1" thickBot="1" x14ac:dyDescent="0.3">
      <c r="A21" s="1003" t="s">
        <v>348</v>
      </c>
      <c r="B21" s="981"/>
      <c r="C21" s="228" t="s">
        <v>118</v>
      </c>
      <c r="D21" s="987">
        <f t="shared" ref="D21:M21" si="2">SUM(D19:D20)</f>
        <v>0</v>
      </c>
      <c r="E21" s="987">
        <f t="shared" si="2"/>
        <v>0</v>
      </c>
      <c r="F21" s="987">
        <f t="shared" si="2"/>
        <v>57.532000000000004</v>
      </c>
      <c r="G21" s="987">
        <f t="shared" si="2"/>
        <v>1063.17175</v>
      </c>
      <c r="H21" s="987">
        <f t="shared" si="2"/>
        <v>615.23622999999998</v>
      </c>
      <c r="I21" s="987">
        <f t="shared" si="2"/>
        <v>0</v>
      </c>
      <c r="J21" s="987">
        <f t="shared" si="2"/>
        <v>2799.3819999999996</v>
      </c>
      <c r="K21" s="987" t="e">
        <f t="shared" si="2"/>
        <v>#REF!</v>
      </c>
      <c r="L21" s="987" t="e">
        <f t="shared" si="2"/>
        <v>#REF!</v>
      </c>
      <c r="M21" s="987" t="e">
        <f t="shared" si="2"/>
        <v>#REF!</v>
      </c>
      <c r="Q21"/>
    </row>
    <row r="22" spans="1:17" ht="17.25" customHeight="1" thickBot="1" x14ac:dyDescent="0.25">
      <c r="A22" s="1003" t="s">
        <v>348</v>
      </c>
      <c r="B22" s="981"/>
      <c r="C22" s="690" t="s">
        <v>245</v>
      </c>
      <c r="D22" s="1005" t="e">
        <f>+#REF!/1000</f>
        <v>#REF!</v>
      </c>
      <c r="E22" s="1005" t="e">
        <f>+#REF!/1000</f>
        <v>#REF!</v>
      </c>
      <c r="F22" s="1005" t="e">
        <f>+#REF!/1000</f>
        <v>#REF!</v>
      </c>
      <c r="G22" s="1005" t="e">
        <f>+#REF!/1000</f>
        <v>#REF!</v>
      </c>
      <c r="H22" s="1005" t="e">
        <f>+#REF!/1000</f>
        <v>#REF!</v>
      </c>
      <c r="I22" s="1005" t="e">
        <f>+#REF!/1000</f>
        <v>#REF!</v>
      </c>
      <c r="J22" s="1005" t="e">
        <f>+#REF!/1000</f>
        <v>#REF!</v>
      </c>
      <c r="K22" s="1005" t="e">
        <f>+#REF!/1000</f>
        <v>#REF!</v>
      </c>
      <c r="L22" s="1005" t="e">
        <f>+#REF!/1000</f>
        <v>#REF!</v>
      </c>
      <c r="M22" s="1005" t="e">
        <f>+#REF!/1000</f>
        <v>#REF!</v>
      </c>
      <c r="Q22"/>
    </row>
    <row r="23" spans="1:17" ht="17.25" customHeight="1" thickBot="1" x14ac:dyDescent="0.3">
      <c r="A23" s="1003" t="s">
        <v>348</v>
      </c>
      <c r="B23" s="981"/>
      <c r="C23" s="26" t="s">
        <v>206</v>
      </c>
      <c r="D23" s="1006" t="e">
        <f t="shared" ref="D23:M23" si="3">D17+D21+D22</f>
        <v>#REF!</v>
      </c>
      <c r="E23" s="1006" t="e">
        <f t="shared" si="3"/>
        <v>#REF!</v>
      </c>
      <c r="F23" s="1006" t="e">
        <f t="shared" si="3"/>
        <v>#REF!</v>
      </c>
      <c r="G23" s="1006" t="e">
        <f t="shared" si="3"/>
        <v>#REF!</v>
      </c>
      <c r="H23" s="1006" t="e">
        <f t="shared" si="3"/>
        <v>#REF!</v>
      </c>
      <c r="I23" s="1006" t="e">
        <f t="shared" si="3"/>
        <v>#REF!</v>
      </c>
      <c r="J23" s="1006" t="e">
        <f t="shared" si="3"/>
        <v>#REF!</v>
      </c>
      <c r="K23" s="1006" t="e">
        <f t="shared" si="3"/>
        <v>#REF!</v>
      </c>
      <c r="L23" s="1006" t="e">
        <f t="shared" si="3"/>
        <v>#REF!</v>
      </c>
      <c r="M23" s="1006" t="e">
        <f t="shared" si="3"/>
        <v>#REF!</v>
      </c>
      <c r="Q23"/>
    </row>
    <row r="24" spans="1:17" s="3" customFormat="1" ht="17.25" customHeight="1" thickBot="1" x14ac:dyDescent="0.3">
      <c r="A24" s="981"/>
      <c r="B24" s="981"/>
      <c r="C24" s="1017"/>
      <c r="D24" s="1018"/>
      <c r="E24" s="1018"/>
      <c r="F24" s="1018"/>
      <c r="G24" s="1018"/>
      <c r="H24" s="1018"/>
      <c r="I24" s="1018"/>
      <c r="J24" s="1018"/>
      <c r="K24" s="1018"/>
      <c r="L24" s="1018"/>
      <c r="M24" s="1018"/>
    </row>
    <row r="25" spans="1:17" ht="17.25" customHeight="1" x14ac:dyDescent="0.2">
      <c r="A25" s="28"/>
      <c r="B25" s="981"/>
      <c r="C25" s="1007" t="s">
        <v>349</v>
      </c>
      <c r="D25" s="1008"/>
      <c r="E25" s="1008"/>
      <c r="F25" s="1008"/>
      <c r="G25" s="1008"/>
      <c r="H25" s="1008"/>
      <c r="I25" s="1008"/>
      <c r="J25" s="1008"/>
      <c r="K25" s="1008"/>
      <c r="L25" s="1008"/>
      <c r="M25" s="1008"/>
      <c r="Q25"/>
    </row>
    <row r="26" spans="1:17" ht="17.25" customHeight="1" x14ac:dyDescent="0.2">
      <c r="A26" s="1009"/>
      <c r="B26" s="1010"/>
      <c r="C26" s="1011" t="s">
        <v>7</v>
      </c>
      <c r="D26" s="1012" t="e">
        <f t="shared" ref="D26:M26" si="4">D13</f>
        <v>#REF!</v>
      </c>
      <c r="E26" s="1012" t="e">
        <f t="shared" si="4"/>
        <v>#REF!</v>
      </c>
      <c r="F26" s="1012" t="e">
        <f t="shared" si="4"/>
        <v>#REF!</v>
      </c>
      <c r="G26" s="1012" t="e">
        <f t="shared" si="4"/>
        <v>#REF!</v>
      </c>
      <c r="H26" s="1012" t="e">
        <f t="shared" si="4"/>
        <v>#REF!</v>
      </c>
      <c r="I26" s="1012" t="e">
        <f t="shared" si="4"/>
        <v>#REF!</v>
      </c>
      <c r="J26" s="1012" t="e">
        <f t="shared" si="4"/>
        <v>#REF!</v>
      </c>
      <c r="K26" s="1012" t="e">
        <f t="shared" si="4"/>
        <v>#REF!</v>
      </c>
      <c r="L26" s="1012" t="e">
        <f t="shared" si="4"/>
        <v>#REF!</v>
      </c>
      <c r="M26" s="1012" t="e">
        <f t="shared" si="4"/>
        <v>#REF!</v>
      </c>
      <c r="Q26"/>
    </row>
    <row r="27" spans="1:17" ht="17.25" customHeight="1" x14ac:dyDescent="0.2">
      <c r="A27" s="1009"/>
      <c r="B27" s="1010"/>
      <c r="C27" s="1011" t="s">
        <v>8</v>
      </c>
      <c r="D27" s="1012" t="e">
        <f t="shared" ref="D27:M27" si="5">D23</f>
        <v>#REF!</v>
      </c>
      <c r="E27" s="1012" t="e">
        <f t="shared" si="5"/>
        <v>#REF!</v>
      </c>
      <c r="F27" s="1012" t="e">
        <f t="shared" si="5"/>
        <v>#REF!</v>
      </c>
      <c r="G27" s="1012" t="e">
        <f t="shared" si="5"/>
        <v>#REF!</v>
      </c>
      <c r="H27" s="1012" t="e">
        <f t="shared" si="5"/>
        <v>#REF!</v>
      </c>
      <c r="I27" s="1012" t="e">
        <f t="shared" si="5"/>
        <v>#REF!</v>
      </c>
      <c r="J27" s="1012" t="e">
        <f t="shared" si="5"/>
        <v>#REF!</v>
      </c>
      <c r="K27" s="1012" t="e">
        <f t="shared" si="5"/>
        <v>#REF!</v>
      </c>
      <c r="L27" s="1012" t="e">
        <f t="shared" si="5"/>
        <v>#REF!</v>
      </c>
      <c r="M27" s="1012" t="e">
        <f t="shared" si="5"/>
        <v>#REF!</v>
      </c>
      <c r="Q27"/>
    </row>
    <row r="28" spans="1:17" ht="17.25" customHeight="1" thickBot="1" x14ac:dyDescent="0.25">
      <c r="A28" s="28"/>
      <c r="B28" s="981"/>
      <c r="C28" s="1013" t="s">
        <v>350</v>
      </c>
      <c r="D28" s="1014" t="e">
        <f t="shared" ref="D28:K28" si="6">SUM(D26:D27)</f>
        <v>#REF!</v>
      </c>
      <c r="E28" s="1014" t="e">
        <f t="shared" si="6"/>
        <v>#REF!</v>
      </c>
      <c r="F28" s="1014" t="e">
        <f t="shared" si="6"/>
        <v>#REF!</v>
      </c>
      <c r="G28" s="1014" t="e">
        <f t="shared" si="6"/>
        <v>#REF!</v>
      </c>
      <c r="H28" s="1014" t="e">
        <f t="shared" si="6"/>
        <v>#REF!</v>
      </c>
      <c r="I28" s="1014" t="e">
        <f>SUM(I26:I27)</f>
        <v>#REF!</v>
      </c>
      <c r="J28" s="1014" t="e">
        <f t="shared" si="6"/>
        <v>#REF!</v>
      </c>
      <c r="K28" s="1014" t="e">
        <f t="shared" si="6"/>
        <v>#REF!</v>
      </c>
      <c r="L28" s="1014" t="e">
        <f>SUM(L26:L27)</f>
        <v>#REF!</v>
      </c>
      <c r="M28" s="1014" t="e">
        <f>SUM(M26:M27)</f>
        <v>#REF!</v>
      </c>
      <c r="Q28"/>
    </row>
    <row r="29" spans="1:17" ht="14.25" customHeight="1" x14ac:dyDescent="0.25">
      <c r="A29" s="981"/>
      <c r="B29" s="981"/>
      <c r="C29" s="27"/>
      <c r="D29" s="1015"/>
      <c r="E29" s="1015"/>
      <c r="F29" s="1015"/>
      <c r="G29" s="1015"/>
      <c r="H29" s="1015"/>
      <c r="I29" s="1015"/>
      <c r="J29" s="1015"/>
      <c r="K29" s="1015"/>
      <c r="L29" s="1015"/>
      <c r="M29" s="1015"/>
      <c r="N29" s="1015"/>
      <c r="O29" s="1015"/>
      <c r="P29" s="1015"/>
    </row>
    <row r="30" spans="1:17" ht="14.25" customHeight="1" x14ac:dyDescent="0.25">
      <c r="A30" s="28"/>
      <c r="B30" s="981"/>
      <c r="C30" s="27"/>
      <c r="D30" s="212"/>
    </row>
    <row r="31" spans="1:17" ht="14.25" customHeight="1" x14ac:dyDescent="0.2">
      <c r="A31" s="1009"/>
      <c r="B31" s="1010"/>
      <c r="C31" s="1019"/>
      <c r="D31" s="212"/>
    </row>
    <row r="32" spans="1:17" ht="14.25" customHeight="1" x14ac:dyDescent="0.2">
      <c r="A32" s="1009"/>
      <c r="B32" s="1010"/>
      <c r="C32" s="957"/>
      <c r="D32" s="212"/>
    </row>
    <row r="33" spans="1:18" ht="14.25" customHeight="1" thickBot="1" x14ac:dyDescent="0.25">
      <c r="A33" s="28"/>
      <c r="B33" s="981"/>
      <c r="C33" s="1019"/>
      <c r="D33" s="212"/>
    </row>
    <row r="34" spans="1:18" ht="21" customHeight="1" thickBot="1" x14ac:dyDescent="0.35">
      <c r="A34" s="3"/>
      <c r="B34" s="243"/>
      <c r="C34" s="2850" t="s">
        <v>242</v>
      </c>
      <c r="D34" s="2851"/>
      <c r="E34" s="2851"/>
      <c r="F34" s="2851"/>
      <c r="G34" s="2851"/>
      <c r="H34" s="2851"/>
      <c r="I34" s="2851"/>
      <c r="J34" s="2851"/>
      <c r="K34" s="2851"/>
      <c r="L34" s="2851"/>
      <c r="M34" s="2852"/>
      <c r="N34" s="213"/>
      <c r="O34" s="213"/>
      <c r="P34" s="213"/>
      <c r="Q34" s="213"/>
      <c r="R34" s="213"/>
    </row>
    <row r="35" spans="1:18" ht="14.25" customHeight="1" x14ac:dyDescent="0.3">
      <c r="A35" s="3"/>
      <c r="B35" s="243"/>
      <c r="C35" s="949"/>
      <c r="D35" s="981">
        <v>2006</v>
      </c>
      <c r="E35" s="981">
        <v>2007</v>
      </c>
      <c r="F35" s="981">
        <v>2008</v>
      </c>
      <c r="G35" s="981">
        <v>2009</v>
      </c>
      <c r="H35" s="981">
        <v>2010</v>
      </c>
      <c r="I35" s="981">
        <v>2011</v>
      </c>
      <c r="J35" s="981">
        <v>2012</v>
      </c>
      <c r="K35" s="981">
        <v>2013</v>
      </c>
      <c r="L35" s="981">
        <v>2014</v>
      </c>
      <c r="M35" s="981">
        <v>2015</v>
      </c>
      <c r="Q35"/>
    </row>
    <row r="36" spans="1:18" ht="14.25" customHeight="1" thickBot="1" x14ac:dyDescent="0.35">
      <c r="A36" s="15"/>
      <c r="B36" s="15"/>
      <c r="C36" s="213"/>
      <c r="D36" s="195" t="s">
        <v>186</v>
      </c>
      <c r="E36" s="195" t="s">
        <v>186</v>
      </c>
      <c r="F36" s="195" t="s">
        <v>186</v>
      </c>
      <c r="G36" s="195" t="s">
        <v>186</v>
      </c>
      <c r="H36" s="195" t="s">
        <v>186</v>
      </c>
      <c r="I36" s="195" t="s">
        <v>186</v>
      </c>
      <c r="J36" s="195" t="s">
        <v>188</v>
      </c>
      <c r="K36" s="195" t="s">
        <v>188</v>
      </c>
      <c r="L36" s="195" t="s">
        <v>188</v>
      </c>
      <c r="M36" s="195" t="s">
        <v>188</v>
      </c>
      <c r="Q36"/>
    </row>
    <row r="37" spans="1:18" ht="17.25" customHeight="1" thickBot="1" x14ac:dyDescent="0.3">
      <c r="A37" s="982"/>
      <c r="B37" s="982"/>
      <c r="C37" s="222" t="s">
        <v>115</v>
      </c>
      <c r="D37" s="984"/>
      <c r="E37" s="984"/>
      <c r="F37" s="984"/>
      <c r="G37" s="984"/>
      <c r="H37" s="984"/>
      <c r="I37" s="984"/>
      <c r="J37" s="984"/>
      <c r="K37" s="983"/>
      <c r="L37" s="983"/>
      <c r="M37" s="983"/>
      <c r="Q37"/>
    </row>
    <row r="38" spans="1:18" ht="17.25" customHeight="1" x14ac:dyDescent="0.2">
      <c r="A38" s="985" t="s">
        <v>347</v>
      </c>
      <c r="B38" s="982"/>
      <c r="C38" s="100" t="s">
        <v>222</v>
      </c>
      <c r="D38" s="1004" t="e">
        <f>+#REF!</f>
        <v>#REF!</v>
      </c>
      <c r="E38" s="1004" t="e">
        <f>+#REF!</f>
        <v>#REF!</v>
      </c>
      <c r="F38" s="1004" t="e">
        <f>+#REF!</f>
        <v>#REF!</v>
      </c>
      <c r="G38" s="1004" t="e">
        <f>+#REF!</f>
        <v>#REF!</v>
      </c>
      <c r="H38" s="1004" t="e">
        <f>+#REF!</f>
        <v>#REF!</v>
      </c>
      <c r="I38" s="1004" t="e">
        <f>+#REF!</f>
        <v>#REF!</v>
      </c>
      <c r="J38" s="1004" t="e">
        <f>+#REF!</f>
        <v>#REF!</v>
      </c>
      <c r="K38" s="1004" t="e">
        <f>+#REF!</f>
        <v>#REF!</v>
      </c>
      <c r="L38" s="1004" t="e">
        <f>+#REF!</f>
        <v>#REF!</v>
      </c>
      <c r="M38" s="1004" t="e">
        <f>+#REF!</f>
        <v>#REF!</v>
      </c>
      <c r="Q38"/>
    </row>
    <row r="39" spans="1:18" ht="17.25" customHeight="1" x14ac:dyDescent="0.2">
      <c r="A39" s="985" t="s">
        <v>347</v>
      </c>
      <c r="B39" s="982"/>
      <c r="C39" s="155" t="s">
        <v>149</v>
      </c>
      <c r="D39" s="986" t="e">
        <f>+#REF!</f>
        <v>#REF!</v>
      </c>
      <c r="E39" s="986" t="e">
        <f>+#REF!</f>
        <v>#REF!</v>
      </c>
      <c r="F39" s="986" t="e">
        <f>+#REF!</f>
        <v>#REF!</v>
      </c>
      <c r="G39" s="986" t="e">
        <f>+#REF!</f>
        <v>#REF!</v>
      </c>
      <c r="H39" s="986" t="e">
        <f>+#REF!</f>
        <v>#REF!</v>
      </c>
      <c r="I39" s="986" t="e">
        <f>+#REF!</f>
        <v>#REF!</v>
      </c>
      <c r="J39" s="1016" t="e">
        <f>+#REF!</f>
        <v>#REF!</v>
      </c>
      <c r="K39" s="1020" t="e">
        <f>+#REF!</f>
        <v>#REF!</v>
      </c>
      <c r="L39" s="1021" t="e">
        <f>+#REF!</f>
        <v>#REF!</v>
      </c>
      <c r="M39" s="1022" t="e">
        <f>+#REF!</f>
        <v>#REF!</v>
      </c>
      <c r="Q39"/>
    </row>
    <row r="40" spans="1:18" ht="17.25" customHeight="1" x14ac:dyDescent="0.2">
      <c r="A40" s="981"/>
      <c r="B40" s="981"/>
      <c r="C40" s="871" t="s">
        <v>227</v>
      </c>
      <c r="D40" s="989">
        <v>0</v>
      </c>
      <c r="E40" s="989">
        <v>0</v>
      </c>
      <c r="F40" s="989">
        <v>0</v>
      </c>
      <c r="G40" s="989" t="e">
        <f>+#REF!</f>
        <v>#REF!</v>
      </c>
      <c r="H40" s="989" t="e">
        <f>+#REF!</f>
        <v>#REF!</v>
      </c>
      <c r="I40" s="989" t="e">
        <f>+#REF!</f>
        <v>#REF!</v>
      </c>
      <c r="J40" s="990" t="e">
        <f>+#REF!</f>
        <v>#REF!</v>
      </c>
      <c r="K40" s="991" t="e">
        <f>+#REF!</f>
        <v>#REF!</v>
      </c>
      <c r="L40" s="992" t="e">
        <f>+#REF!</f>
        <v>#REF!</v>
      </c>
      <c r="M40" s="993" t="e">
        <f>+#REF!</f>
        <v>#REF!</v>
      </c>
      <c r="Q40"/>
    </row>
    <row r="41" spans="1:18" ht="17.25" customHeight="1" thickBot="1" x14ac:dyDescent="0.25">
      <c r="A41" s="985" t="s">
        <v>347</v>
      </c>
      <c r="B41" s="982"/>
      <c r="C41" s="969" t="s">
        <v>110</v>
      </c>
      <c r="D41" s="995">
        <v>0</v>
      </c>
      <c r="E41" s="995">
        <v>0</v>
      </c>
      <c r="F41" s="995">
        <f>+'YGS Water Heating'!D28</f>
        <v>160</v>
      </c>
      <c r="G41" s="995">
        <f>+'YGS Water Heating'!E28</f>
        <v>303</v>
      </c>
      <c r="H41" s="995">
        <f>+'YGS Water Heating'!F28</f>
        <v>179</v>
      </c>
      <c r="I41" s="995">
        <f>+'YGS Water Heating'!G28</f>
        <v>0</v>
      </c>
      <c r="J41" s="996">
        <f>+'YGS Water Heating'!H28</f>
        <v>569</v>
      </c>
      <c r="K41" s="997">
        <f>+'YGS Water Heating'!K28</f>
        <v>119</v>
      </c>
      <c r="L41" s="998">
        <f>+'YGS Water Heating'!L28</f>
        <v>119</v>
      </c>
      <c r="M41" s="999">
        <f>+'YGS Water Heating'!M28</f>
        <v>119</v>
      </c>
      <c r="Q41"/>
    </row>
    <row r="42" spans="1:18" ht="17.25" customHeight="1" thickBot="1" x14ac:dyDescent="0.3">
      <c r="A42" s="985" t="s">
        <v>347</v>
      </c>
      <c r="B42" s="982"/>
      <c r="C42" s="233" t="s">
        <v>30</v>
      </c>
      <c r="D42" s="1000" t="e">
        <f t="shared" ref="D42:M42" si="7">SUM(D38:D41)</f>
        <v>#REF!</v>
      </c>
      <c r="E42" s="1000" t="e">
        <f t="shared" si="7"/>
        <v>#REF!</v>
      </c>
      <c r="F42" s="1000" t="e">
        <f t="shared" si="7"/>
        <v>#REF!</v>
      </c>
      <c r="G42" s="1000" t="e">
        <f t="shared" si="7"/>
        <v>#REF!</v>
      </c>
      <c r="H42" s="1000" t="e">
        <f t="shared" si="7"/>
        <v>#REF!</v>
      </c>
      <c r="I42" s="1000" t="e">
        <f t="shared" si="7"/>
        <v>#REF!</v>
      </c>
      <c r="J42" s="1000" t="e">
        <f t="shared" si="7"/>
        <v>#REF!</v>
      </c>
      <c r="K42" s="1000" t="e">
        <f t="shared" si="7"/>
        <v>#REF!</v>
      </c>
      <c r="L42" s="1000" t="e">
        <f t="shared" si="7"/>
        <v>#REF!</v>
      </c>
      <c r="M42" s="1000" t="e">
        <f t="shared" si="7"/>
        <v>#REF!</v>
      </c>
      <c r="Q42"/>
    </row>
    <row r="43" spans="1:18" ht="17.25" customHeight="1" thickBot="1" x14ac:dyDescent="0.3">
      <c r="A43" s="994" t="s">
        <v>347</v>
      </c>
      <c r="B43" s="981"/>
      <c r="C43" s="164"/>
      <c r="D43" s="1002"/>
      <c r="E43" s="1002"/>
      <c r="F43" s="1002"/>
      <c r="G43" s="1002"/>
      <c r="H43" s="1002"/>
      <c r="I43" s="1002"/>
      <c r="J43" s="1002"/>
      <c r="K43" s="1002"/>
      <c r="L43" s="1002"/>
      <c r="M43" s="1002"/>
      <c r="Q43"/>
    </row>
    <row r="44" spans="1:18" ht="17.25" customHeight="1" thickBot="1" x14ac:dyDescent="0.3">
      <c r="A44" s="981"/>
      <c r="B44" s="981"/>
      <c r="C44" s="1027" t="s">
        <v>6</v>
      </c>
      <c r="D44" s="1028"/>
      <c r="E44" s="1028"/>
      <c r="F44" s="1028"/>
      <c r="G44" s="1028"/>
      <c r="H44" s="1028"/>
      <c r="I44" s="1028"/>
      <c r="J44" s="1028"/>
      <c r="K44" s="1028"/>
      <c r="L44" s="1028"/>
      <c r="M44" s="1029"/>
      <c r="Q44"/>
    </row>
    <row r="45" spans="1:18" ht="17.25" customHeight="1" thickBot="1" x14ac:dyDescent="0.25">
      <c r="A45" s="28"/>
      <c r="B45" s="981"/>
      <c r="C45" s="179" t="s">
        <v>112</v>
      </c>
      <c r="D45" s="988">
        <v>0</v>
      </c>
      <c r="E45" s="988">
        <v>0</v>
      </c>
      <c r="F45" s="988" t="e">
        <f>+#REF!</f>
        <v>#REF!</v>
      </c>
      <c r="G45" s="988" t="e">
        <f>+#REF!</f>
        <v>#REF!</v>
      </c>
      <c r="H45" s="988" t="e">
        <f>+#REF!</f>
        <v>#REF!</v>
      </c>
      <c r="I45" s="988" t="e">
        <f>+#REF!</f>
        <v>#REF!</v>
      </c>
      <c r="J45" s="988" t="e">
        <f>+#REF!</f>
        <v>#REF!</v>
      </c>
      <c r="K45" s="988" t="e">
        <f>+#REF!</f>
        <v>#REF!</v>
      </c>
      <c r="L45" s="988" t="e">
        <f>+#REF!</f>
        <v>#REF!</v>
      </c>
      <c r="M45" s="988" t="e">
        <f>+#REF!</f>
        <v>#REF!</v>
      </c>
      <c r="Q45"/>
    </row>
    <row r="46" spans="1:18" ht="17.25" customHeight="1" thickBot="1" x14ac:dyDescent="0.3">
      <c r="A46" s="1003" t="s">
        <v>348</v>
      </c>
      <c r="B46" s="981"/>
      <c r="C46" s="227" t="s">
        <v>113</v>
      </c>
      <c r="D46" s="987">
        <f t="shared" ref="D46:M46" si="8">SUM(D45)</f>
        <v>0</v>
      </c>
      <c r="E46" s="987">
        <f t="shared" si="8"/>
        <v>0</v>
      </c>
      <c r="F46" s="987" t="e">
        <f t="shared" si="8"/>
        <v>#REF!</v>
      </c>
      <c r="G46" s="987" t="e">
        <f t="shared" si="8"/>
        <v>#REF!</v>
      </c>
      <c r="H46" s="987" t="e">
        <f t="shared" si="8"/>
        <v>#REF!</v>
      </c>
      <c r="I46" s="987" t="e">
        <f t="shared" si="8"/>
        <v>#REF!</v>
      </c>
      <c r="J46" s="987" t="e">
        <f t="shared" si="8"/>
        <v>#REF!</v>
      </c>
      <c r="K46" s="987" t="e">
        <f t="shared" si="8"/>
        <v>#REF!</v>
      </c>
      <c r="L46" s="987" t="e">
        <f t="shared" si="8"/>
        <v>#REF!</v>
      </c>
      <c r="M46" s="987" t="e">
        <f t="shared" si="8"/>
        <v>#REF!</v>
      </c>
      <c r="Q46"/>
    </row>
    <row r="47" spans="1:18" ht="17.25" customHeight="1" thickBot="1" x14ac:dyDescent="0.3">
      <c r="A47" s="1003"/>
      <c r="B47" s="981"/>
      <c r="C47" s="27" t="s">
        <v>114</v>
      </c>
      <c r="D47" s="1001"/>
      <c r="E47" s="1001"/>
      <c r="F47" s="1001"/>
      <c r="G47" s="1001"/>
      <c r="H47" s="1001"/>
      <c r="I47" s="1001"/>
      <c r="J47" s="1001"/>
      <c r="K47" s="1001"/>
      <c r="L47" s="1001"/>
      <c r="M47" s="1001"/>
      <c r="Q47"/>
    </row>
    <row r="48" spans="1:18" ht="17.25" customHeight="1" x14ac:dyDescent="0.2">
      <c r="A48" s="1003"/>
      <c r="B48" s="981"/>
      <c r="C48" s="100" t="s">
        <v>116</v>
      </c>
      <c r="D48" s="988">
        <v>0</v>
      </c>
      <c r="E48" s="988">
        <v>0</v>
      </c>
      <c r="F48" s="988">
        <f>+'YGS ENOPP'!D28</f>
        <v>2</v>
      </c>
      <c r="G48" s="988">
        <f>+'YGS ENOPP'!E28</f>
        <v>18</v>
      </c>
      <c r="H48" s="988">
        <f>+'YGS ENOPP'!F28</f>
        <v>28</v>
      </c>
      <c r="I48" s="988">
        <f>+'YGS ENOPP'!G28</f>
        <v>0</v>
      </c>
      <c r="J48" s="988">
        <f>+'YGS ENOPP'!H28</f>
        <v>154</v>
      </c>
      <c r="K48" s="988">
        <f>+'YGS ENOPP'!K28</f>
        <v>22</v>
      </c>
      <c r="L48" s="988">
        <f>+'YGS ENOPP'!L28</f>
        <v>22</v>
      </c>
      <c r="M48" s="988">
        <f>+'YGS ENOPP'!M28</f>
        <v>22</v>
      </c>
      <c r="Q48"/>
    </row>
    <row r="49" spans="1:17" ht="17.25" customHeight="1" thickBot="1" x14ac:dyDescent="0.25">
      <c r="A49" s="1003" t="s">
        <v>348</v>
      </c>
      <c r="B49" s="981"/>
      <c r="C49" s="969" t="s">
        <v>117</v>
      </c>
      <c r="D49" s="1004">
        <v>0</v>
      </c>
      <c r="E49" s="1004">
        <v>0</v>
      </c>
      <c r="F49" s="1004">
        <v>0</v>
      </c>
      <c r="G49" s="1004">
        <v>0</v>
      </c>
      <c r="H49" s="1004">
        <f>+'YGS O&amp;M'!F28</f>
        <v>3</v>
      </c>
      <c r="I49" s="1004">
        <f>+'YGS O&amp;M'!G28</f>
        <v>0</v>
      </c>
      <c r="J49" s="1004">
        <f>+'YGS O&amp;M'!H28</f>
        <v>9</v>
      </c>
      <c r="K49" s="1004">
        <f>+'YGS O&amp;M'!K28</f>
        <v>3</v>
      </c>
      <c r="L49" s="1004">
        <f>+'YGS O&amp;M'!L28</f>
        <v>3</v>
      </c>
      <c r="M49" s="1004">
        <f>+'YGS O&amp;M'!M28</f>
        <v>3</v>
      </c>
      <c r="Q49"/>
    </row>
    <row r="50" spans="1:17" ht="17.25" customHeight="1" thickBot="1" x14ac:dyDescent="0.3">
      <c r="A50" s="1003" t="s">
        <v>348</v>
      </c>
      <c r="B50" s="981"/>
      <c r="C50" s="228" t="s">
        <v>118</v>
      </c>
      <c r="D50" s="987">
        <f t="shared" ref="D50:M50" si="9">SUM(D48:D49)</f>
        <v>0</v>
      </c>
      <c r="E50" s="987">
        <f t="shared" si="9"/>
        <v>0</v>
      </c>
      <c r="F50" s="987">
        <f t="shared" si="9"/>
        <v>2</v>
      </c>
      <c r="G50" s="987">
        <f t="shared" si="9"/>
        <v>18</v>
      </c>
      <c r="H50" s="987">
        <f t="shared" si="9"/>
        <v>31</v>
      </c>
      <c r="I50" s="987">
        <f t="shared" si="9"/>
        <v>0</v>
      </c>
      <c r="J50" s="987">
        <f t="shared" si="9"/>
        <v>163</v>
      </c>
      <c r="K50" s="987">
        <f t="shared" si="9"/>
        <v>25</v>
      </c>
      <c r="L50" s="987">
        <f t="shared" si="9"/>
        <v>25</v>
      </c>
      <c r="M50" s="987">
        <f t="shared" si="9"/>
        <v>25</v>
      </c>
      <c r="Q50"/>
    </row>
    <row r="51" spans="1:17" ht="17.25" customHeight="1" thickBot="1" x14ac:dyDescent="0.25">
      <c r="A51" s="1003" t="s">
        <v>348</v>
      </c>
      <c r="B51" s="981"/>
      <c r="C51" s="690" t="s">
        <v>245</v>
      </c>
      <c r="D51" s="1005">
        <v>0</v>
      </c>
      <c r="E51" s="1005">
        <v>0</v>
      </c>
      <c r="F51" s="1005">
        <v>0</v>
      </c>
      <c r="G51" s="1005">
        <v>0</v>
      </c>
      <c r="H51" s="1005">
        <v>0</v>
      </c>
      <c r="I51" s="1005">
        <v>0</v>
      </c>
      <c r="J51" s="1005" t="e">
        <f>+#REF!</f>
        <v>#REF!</v>
      </c>
      <c r="K51" s="1005" t="e">
        <f>+#REF!</f>
        <v>#REF!</v>
      </c>
      <c r="L51" s="1005" t="e">
        <f>+#REF!</f>
        <v>#REF!</v>
      </c>
      <c r="M51" s="1005" t="e">
        <f>+#REF!</f>
        <v>#REF!</v>
      </c>
      <c r="Q51"/>
    </row>
    <row r="52" spans="1:17" ht="17.25" customHeight="1" thickBot="1" x14ac:dyDescent="0.3">
      <c r="A52" s="1003" t="s">
        <v>348</v>
      </c>
      <c r="B52" s="981"/>
      <c r="C52" s="26" t="s">
        <v>206</v>
      </c>
      <c r="D52" s="1006">
        <f t="shared" ref="D52:M52" si="10">D46+D50+D51</f>
        <v>0</v>
      </c>
      <c r="E52" s="1006">
        <f t="shared" si="10"/>
        <v>0</v>
      </c>
      <c r="F52" s="1006" t="e">
        <f t="shared" si="10"/>
        <v>#REF!</v>
      </c>
      <c r="G52" s="1006" t="e">
        <f t="shared" si="10"/>
        <v>#REF!</v>
      </c>
      <c r="H52" s="1006" t="e">
        <f t="shared" si="10"/>
        <v>#REF!</v>
      </c>
      <c r="I52" s="1006" t="e">
        <f t="shared" si="10"/>
        <v>#REF!</v>
      </c>
      <c r="J52" s="1006" t="e">
        <f t="shared" si="10"/>
        <v>#REF!</v>
      </c>
      <c r="K52" s="1006" t="e">
        <f t="shared" si="10"/>
        <v>#REF!</v>
      </c>
      <c r="L52" s="1006" t="e">
        <f t="shared" si="10"/>
        <v>#REF!</v>
      </c>
      <c r="M52" s="1006" t="e">
        <f t="shared" si="10"/>
        <v>#REF!</v>
      </c>
      <c r="Q52"/>
    </row>
    <row r="53" spans="1:17" s="3" customFormat="1" ht="17.25" customHeight="1" thickBot="1" x14ac:dyDescent="0.3">
      <c r="A53" s="981"/>
      <c r="B53" s="981"/>
      <c r="C53" s="1017"/>
      <c r="D53" s="1018"/>
      <c r="E53" s="1018"/>
      <c r="F53" s="1018"/>
      <c r="G53" s="1018"/>
      <c r="H53" s="1018"/>
      <c r="I53" s="1018"/>
      <c r="J53" s="1018"/>
      <c r="K53" s="1018"/>
      <c r="L53" s="1018"/>
      <c r="M53" s="1018"/>
    </row>
    <row r="54" spans="1:17" ht="17.25" customHeight="1" x14ac:dyDescent="0.2">
      <c r="A54" s="28"/>
      <c r="B54" s="981"/>
      <c r="C54" s="1007" t="s">
        <v>349</v>
      </c>
      <c r="D54" s="1008"/>
      <c r="E54" s="1008"/>
      <c r="F54" s="1008"/>
      <c r="G54" s="1008"/>
      <c r="H54" s="1008"/>
      <c r="I54" s="1008"/>
      <c r="J54" s="1008"/>
      <c r="K54" s="1008"/>
      <c r="L54" s="1008"/>
      <c r="M54" s="1008"/>
      <c r="Q54"/>
    </row>
    <row r="55" spans="1:17" ht="17.25" customHeight="1" x14ac:dyDescent="0.2">
      <c r="A55" s="1009"/>
      <c r="B55" s="1010"/>
      <c r="C55" s="1011" t="s">
        <v>7</v>
      </c>
      <c r="D55" s="1012" t="e">
        <f t="shared" ref="D55:M55" si="11">D42</f>
        <v>#REF!</v>
      </c>
      <c r="E55" s="1012" t="e">
        <f t="shared" si="11"/>
        <v>#REF!</v>
      </c>
      <c r="F55" s="1012" t="e">
        <f t="shared" si="11"/>
        <v>#REF!</v>
      </c>
      <c r="G55" s="1012" t="e">
        <f t="shared" si="11"/>
        <v>#REF!</v>
      </c>
      <c r="H55" s="1012" t="e">
        <f t="shared" si="11"/>
        <v>#REF!</v>
      </c>
      <c r="I55" s="1012" t="e">
        <f t="shared" si="11"/>
        <v>#REF!</v>
      </c>
      <c r="J55" s="1012" t="e">
        <f t="shared" si="11"/>
        <v>#REF!</v>
      </c>
      <c r="K55" s="1012" t="e">
        <f t="shared" si="11"/>
        <v>#REF!</v>
      </c>
      <c r="L55" s="1012" t="e">
        <f t="shared" si="11"/>
        <v>#REF!</v>
      </c>
      <c r="M55" s="1012" t="e">
        <f t="shared" si="11"/>
        <v>#REF!</v>
      </c>
      <c r="Q55"/>
    </row>
    <row r="56" spans="1:17" ht="17.25" customHeight="1" x14ac:dyDescent="0.2">
      <c r="A56" s="1009"/>
      <c r="B56" s="1010"/>
      <c r="C56" s="1011" t="s">
        <v>8</v>
      </c>
      <c r="D56" s="1012">
        <f t="shared" ref="D56:M56" si="12">D52</f>
        <v>0</v>
      </c>
      <c r="E56" s="1012">
        <f t="shared" si="12"/>
        <v>0</v>
      </c>
      <c r="F56" s="1012" t="e">
        <f t="shared" si="12"/>
        <v>#REF!</v>
      </c>
      <c r="G56" s="1012" t="e">
        <f t="shared" si="12"/>
        <v>#REF!</v>
      </c>
      <c r="H56" s="1012" t="e">
        <f t="shared" si="12"/>
        <v>#REF!</v>
      </c>
      <c r="I56" s="1012" t="e">
        <f t="shared" si="12"/>
        <v>#REF!</v>
      </c>
      <c r="J56" s="1012" t="e">
        <f t="shared" si="12"/>
        <v>#REF!</v>
      </c>
      <c r="K56" s="1012" t="e">
        <f t="shared" si="12"/>
        <v>#REF!</v>
      </c>
      <c r="L56" s="1012" t="e">
        <f t="shared" si="12"/>
        <v>#REF!</v>
      </c>
      <c r="M56" s="1012" t="e">
        <f t="shared" si="12"/>
        <v>#REF!</v>
      </c>
      <c r="Q56"/>
    </row>
    <row r="57" spans="1:17" ht="17.25" customHeight="1" thickBot="1" x14ac:dyDescent="0.25">
      <c r="A57" s="28"/>
      <c r="B57" s="981"/>
      <c r="C57" s="1013" t="s">
        <v>350</v>
      </c>
      <c r="D57" s="1014" t="e">
        <f t="shared" ref="D57:M57" si="13">SUM(D55:D56)</f>
        <v>#REF!</v>
      </c>
      <c r="E57" s="1014" t="e">
        <f t="shared" si="13"/>
        <v>#REF!</v>
      </c>
      <c r="F57" s="1014" t="e">
        <f t="shared" si="13"/>
        <v>#REF!</v>
      </c>
      <c r="G57" s="1014" t="e">
        <f t="shared" si="13"/>
        <v>#REF!</v>
      </c>
      <c r="H57" s="1014" t="e">
        <f t="shared" si="13"/>
        <v>#REF!</v>
      </c>
      <c r="I57" s="1014" t="e">
        <f t="shared" si="13"/>
        <v>#REF!</v>
      </c>
      <c r="J57" s="1014" t="e">
        <f t="shared" si="13"/>
        <v>#REF!</v>
      </c>
      <c r="K57" s="1014" t="e">
        <f t="shared" si="13"/>
        <v>#REF!</v>
      </c>
      <c r="L57" s="1014" t="e">
        <f t="shared" si="13"/>
        <v>#REF!</v>
      </c>
      <c r="M57" s="1014" t="e">
        <f t="shared" si="13"/>
        <v>#REF!</v>
      </c>
      <c r="Q57"/>
    </row>
    <row r="58" spans="1:17" x14ac:dyDescent="0.2">
      <c r="L58" s="3"/>
      <c r="Q58"/>
    </row>
  </sheetData>
  <mergeCells count="4">
    <mergeCell ref="C2:M2"/>
    <mergeCell ref="C3:M3"/>
    <mergeCell ref="C5:M5"/>
    <mergeCell ref="C34:M34"/>
  </mergeCells>
  <printOptions horizontalCentered="1"/>
  <pageMargins left="0.5" right="0.5" top="0.75" bottom="0.75" header="0.5" footer="0.25"/>
  <pageSetup scale="55" orientation="landscape" r:id="rId1"/>
  <headerFooter alignWithMargins="0">
    <oddFooter>&amp;C&amp;1#&amp;"Calibri"&amp;12&amp;K008000Internal Use</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tabColor indexed="11"/>
  </sheetPr>
  <dimension ref="A1:P94"/>
  <sheetViews>
    <sheetView zoomScale="75" workbookViewId="0">
      <pane xSplit="2" ySplit="10" topLeftCell="G44" activePane="bottomRight" state="frozen"/>
      <selection activeCell="J67" sqref="J67"/>
      <selection pane="topRight" activeCell="J67" sqref="J67"/>
      <selection pane="bottomLeft" activeCell="J67" sqref="J67"/>
      <selection pane="bottomRight" activeCell="J67" sqref="J67"/>
    </sheetView>
  </sheetViews>
  <sheetFormatPr defaultRowHeight="12.75" x14ac:dyDescent="0.2"/>
  <cols>
    <col min="1" max="1" width="4.5703125" style="1039" customWidth="1"/>
    <col min="2" max="2" width="60.7109375" style="1039" customWidth="1"/>
    <col min="3" max="3" width="23.85546875" style="1188" customWidth="1"/>
    <col min="4" max="4" width="21.140625" style="1188" customWidth="1"/>
    <col min="5" max="5" width="21.140625" style="1039" customWidth="1"/>
    <col min="6" max="6" width="20.42578125" style="1039" customWidth="1"/>
    <col min="7" max="7" width="21" style="1039" customWidth="1"/>
    <col min="8" max="8" width="20.85546875" style="1039" customWidth="1"/>
    <col min="9" max="9" width="20.7109375" style="1039" customWidth="1"/>
    <col min="10" max="10" width="23.85546875" style="1039" bestFit="1" customWidth="1"/>
    <col min="11" max="11" width="20.85546875" style="1039" customWidth="1"/>
    <col min="12" max="12" width="20.7109375" style="1039" customWidth="1"/>
    <col min="13" max="13" width="9.140625" style="1039"/>
    <col min="14" max="14" width="23.140625" style="1039" customWidth="1"/>
    <col min="15" max="15" width="9.140625" style="1039"/>
    <col min="16" max="16" width="12.5703125" style="1039" customWidth="1"/>
    <col min="17" max="16384" width="9.140625" style="1039"/>
  </cols>
  <sheetData>
    <row r="1" spans="1:14" ht="23.25" x14ac:dyDescent="0.35">
      <c r="B1" s="1279"/>
      <c r="C1" s="1413"/>
      <c r="D1" s="1413"/>
      <c r="E1" s="1279"/>
      <c r="F1" s="1279"/>
      <c r="G1" s="1279"/>
      <c r="H1" s="1279"/>
    </row>
    <row r="2" spans="1:14" ht="20.25" customHeight="1" x14ac:dyDescent="0.3">
      <c r="B2" s="2946" t="s">
        <v>425</v>
      </c>
      <c r="C2" s="2946"/>
      <c r="D2" s="2946"/>
      <c r="E2" s="2946"/>
      <c r="F2" s="2946"/>
      <c r="G2" s="2946"/>
      <c r="H2" s="2946"/>
      <c r="I2" s="2946"/>
      <c r="J2" s="2946"/>
      <c r="K2" s="2946"/>
      <c r="L2" s="2946"/>
    </row>
    <row r="3" spans="1:14" ht="20.25" customHeight="1" x14ac:dyDescent="0.3">
      <c r="A3" s="1188"/>
      <c r="B3" s="2946" t="s">
        <v>426</v>
      </c>
      <c r="C3" s="2946"/>
      <c r="D3" s="2946"/>
      <c r="E3" s="2946"/>
      <c r="F3" s="2946"/>
      <c r="G3" s="2946"/>
      <c r="H3" s="2946"/>
      <c r="I3" s="2946"/>
      <c r="J3" s="2946"/>
      <c r="K3" s="2946"/>
      <c r="L3" s="2946"/>
    </row>
    <row r="4" spans="1:14" ht="20.25" customHeight="1" x14ac:dyDescent="0.3">
      <c r="A4" s="1188"/>
      <c r="B4" s="2946" t="s">
        <v>427</v>
      </c>
      <c r="C4" s="2946"/>
      <c r="D4" s="2946"/>
      <c r="E4" s="2946"/>
      <c r="F4" s="2946"/>
      <c r="G4" s="2946"/>
      <c r="H4" s="2946"/>
      <c r="I4" s="2946"/>
      <c r="J4" s="2946"/>
      <c r="K4" s="2946"/>
      <c r="L4" s="2946"/>
    </row>
    <row r="5" spans="1:14" ht="20.25" customHeight="1" thickBot="1" x14ac:dyDescent="0.35">
      <c r="A5" s="1188"/>
      <c r="B5" s="1280"/>
      <c r="C5" s="1414"/>
      <c r="D5" s="1414"/>
      <c r="E5" s="1280"/>
      <c r="F5" s="1280"/>
      <c r="G5" s="1280"/>
      <c r="H5" s="1280"/>
      <c r="I5" s="1415"/>
      <c r="J5" s="1415"/>
      <c r="K5" s="1415"/>
      <c r="L5" s="1415"/>
    </row>
    <row r="6" spans="1:14" s="1417" customFormat="1" ht="17.25" customHeight="1" x14ac:dyDescent="0.25">
      <c r="A6" s="1192"/>
      <c r="B6" s="1281"/>
      <c r="C6" s="1416">
        <v>2006</v>
      </c>
      <c r="D6" s="1416">
        <v>2007</v>
      </c>
      <c r="E6" s="1416">
        <v>2008</v>
      </c>
      <c r="F6" s="1416">
        <v>2009</v>
      </c>
      <c r="G6" s="1416">
        <v>2010</v>
      </c>
      <c r="H6" s="1416">
        <v>2011</v>
      </c>
      <c r="I6" s="1416">
        <v>2012</v>
      </c>
      <c r="J6" s="1416">
        <v>2013</v>
      </c>
      <c r="K6" s="1416">
        <v>2014</v>
      </c>
      <c r="L6" s="1416">
        <v>2015</v>
      </c>
    </row>
    <row r="7" spans="1:14" ht="17.25" customHeight="1" x14ac:dyDescent="0.25">
      <c r="A7" s="1192"/>
      <c r="B7" s="1282"/>
      <c r="C7" s="1418" t="s">
        <v>186</v>
      </c>
      <c r="D7" s="1418" t="s">
        <v>186</v>
      </c>
      <c r="E7" s="1418" t="s">
        <v>186</v>
      </c>
      <c r="F7" s="1418" t="s">
        <v>186</v>
      </c>
      <c r="G7" s="1418" t="s">
        <v>186</v>
      </c>
      <c r="H7" s="1419" t="s">
        <v>186</v>
      </c>
      <c r="I7" s="1419" t="s">
        <v>331</v>
      </c>
      <c r="J7" s="1419" t="s">
        <v>287</v>
      </c>
      <c r="K7" s="1419" t="s">
        <v>287</v>
      </c>
      <c r="L7" s="1419" t="s">
        <v>287</v>
      </c>
    </row>
    <row r="8" spans="1:14" ht="16.5" customHeight="1" x14ac:dyDescent="0.25">
      <c r="A8" s="1192"/>
      <c r="B8" s="1283" t="s">
        <v>428</v>
      </c>
      <c r="C8" s="1419"/>
      <c r="D8" s="1419"/>
      <c r="E8" s="1419"/>
      <c r="F8" s="1419"/>
      <c r="G8" s="1419"/>
      <c r="H8" s="1419"/>
      <c r="I8" s="1419"/>
      <c r="J8" s="1419"/>
      <c r="K8" s="1419"/>
      <c r="L8" s="1419"/>
    </row>
    <row r="9" spans="1:14" ht="39" customHeight="1" thickBot="1" x14ac:dyDescent="0.3">
      <c r="A9" s="1192"/>
      <c r="B9" s="1284"/>
      <c r="C9" s="1420"/>
      <c r="D9" s="1421"/>
      <c r="E9" s="1421"/>
      <c r="F9" s="1421"/>
      <c r="G9" s="1421"/>
      <c r="H9" s="1422"/>
      <c r="I9" s="1422" t="s">
        <v>408</v>
      </c>
      <c r="J9" s="1422" t="s">
        <v>408</v>
      </c>
      <c r="K9" s="1422" t="s">
        <v>408</v>
      </c>
      <c r="L9" s="1422" t="s">
        <v>408</v>
      </c>
    </row>
    <row r="10" spans="1:14" s="1199" customFormat="1" ht="17.25" customHeight="1" thickBot="1" x14ac:dyDescent="0.3">
      <c r="A10" s="1192"/>
      <c r="B10" s="697" t="s">
        <v>115</v>
      </c>
      <c r="C10" s="697"/>
      <c r="D10" s="697"/>
      <c r="E10" s="697"/>
      <c r="F10" s="697"/>
      <c r="G10" s="697"/>
      <c r="H10" s="698"/>
      <c r="I10" s="1188"/>
      <c r="J10" s="1188"/>
      <c r="K10" s="1188"/>
      <c r="L10" s="1188"/>
    </row>
    <row r="11" spans="1:14" s="1192" customFormat="1" ht="15" x14ac:dyDescent="0.2">
      <c r="A11" s="1285" t="s">
        <v>3</v>
      </c>
      <c r="B11" s="1293" t="s">
        <v>222</v>
      </c>
      <c r="C11" s="1423">
        <v>408975</v>
      </c>
      <c r="D11" s="1423">
        <v>498521</v>
      </c>
      <c r="E11" s="1423">
        <v>712801</v>
      </c>
      <c r="F11" s="1423">
        <v>951741</v>
      </c>
      <c r="G11" s="1423">
        <v>1054952</v>
      </c>
      <c r="H11" s="770">
        <v>1894261</v>
      </c>
      <c r="I11" s="770">
        <v>2216500</v>
      </c>
      <c r="J11" s="770">
        <v>2429000</v>
      </c>
      <c r="K11" s="770">
        <v>2545500</v>
      </c>
      <c r="L11" s="771">
        <v>2662000</v>
      </c>
      <c r="N11" s="1424"/>
    </row>
    <row r="12" spans="1:14" s="1188" customFormat="1" ht="15" x14ac:dyDescent="0.2">
      <c r="A12" s="1285" t="s">
        <v>9</v>
      </c>
      <c r="B12" s="1288" t="s">
        <v>149</v>
      </c>
      <c r="C12" s="1425">
        <v>94816</v>
      </c>
      <c r="D12" s="1425">
        <v>510401</v>
      </c>
      <c r="E12" s="1425">
        <v>796046</v>
      </c>
      <c r="F12" s="1425">
        <v>515716</v>
      </c>
      <c r="G12" s="1425">
        <v>1311466</v>
      </c>
      <c r="H12" s="760">
        <v>1197146</v>
      </c>
      <c r="I12" s="760">
        <v>3101859</v>
      </c>
      <c r="J12" s="760">
        <v>3635000</v>
      </c>
      <c r="K12" s="760">
        <v>4062000</v>
      </c>
      <c r="L12" s="772">
        <v>4592000</v>
      </c>
      <c r="N12" s="1426"/>
    </row>
    <row r="13" spans="1:14" s="1188" customFormat="1" ht="15" x14ac:dyDescent="0.2">
      <c r="A13" s="1285" t="s">
        <v>9</v>
      </c>
      <c r="B13" s="1288" t="s">
        <v>227</v>
      </c>
      <c r="C13" s="1427"/>
      <c r="D13" s="1427"/>
      <c r="E13" s="1427"/>
      <c r="F13" s="1427">
        <v>314517</v>
      </c>
      <c r="G13" s="1427">
        <v>439898</v>
      </c>
      <c r="H13" s="760">
        <v>769583</v>
      </c>
      <c r="I13" s="760">
        <v>600000</v>
      </c>
      <c r="J13" s="760">
        <v>650000</v>
      </c>
      <c r="K13" s="760">
        <v>770000</v>
      </c>
      <c r="L13" s="772">
        <v>939000</v>
      </c>
      <c r="M13" s="1428"/>
      <c r="N13" s="1426"/>
    </row>
    <row r="14" spans="1:14" s="1188" customFormat="1" ht="15.75" thickBot="1" x14ac:dyDescent="0.25">
      <c r="A14" s="1285" t="s">
        <v>9</v>
      </c>
      <c r="B14" s="1327" t="s">
        <v>110</v>
      </c>
      <c r="C14" s="1429"/>
      <c r="D14" s="1429"/>
      <c r="E14" s="1429">
        <v>62859</v>
      </c>
      <c r="F14" s="1429">
        <v>104091</v>
      </c>
      <c r="G14" s="1429">
        <v>60847</v>
      </c>
      <c r="H14" s="773">
        <v>49946</v>
      </c>
      <c r="I14" s="773">
        <v>70000</v>
      </c>
      <c r="J14" s="773">
        <v>70000</v>
      </c>
      <c r="K14" s="773">
        <v>83000</v>
      </c>
      <c r="L14" s="774">
        <v>102000</v>
      </c>
      <c r="N14" s="1426"/>
    </row>
    <row r="15" spans="1:14" ht="16.5" thickBot="1" x14ac:dyDescent="0.3">
      <c r="A15" s="1192"/>
      <c r="B15" s="1430" t="s">
        <v>30</v>
      </c>
      <c r="C15" s="1431">
        <f>SUM(C11:C14)</f>
        <v>503791</v>
      </c>
      <c r="D15" s="1431">
        <f t="shared" ref="D15:I15" si="0">SUM(D11:D14)</f>
        <v>1008922</v>
      </c>
      <c r="E15" s="1431">
        <f t="shared" si="0"/>
        <v>1571706</v>
      </c>
      <c r="F15" s="1431">
        <f t="shared" si="0"/>
        <v>1886065</v>
      </c>
      <c r="G15" s="1431">
        <f t="shared" si="0"/>
        <v>2867163</v>
      </c>
      <c r="H15" s="1431">
        <f t="shared" si="0"/>
        <v>3910936</v>
      </c>
      <c r="I15" s="1431">
        <f t="shared" si="0"/>
        <v>5988359</v>
      </c>
      <c r="J15" s="1431">
        <f>SUM(J11:J14)</f>
        <v>6784000</v>
      </c>
      <c r="K15" s="1431">
        <f>SUM(K11:K14)</f>
        <v>7460500</v>
      </c>
      <c r="L15" s="1432">
        <f>SUM(L11:L14)</f>
        <v>8295000</v>
      </c>
      <c r="M15" s="1433"/>
      <c r="N15" s="1426"/>
    </row>
    <row r="16" spans="1:14" s="1188" customFormat="1" ht="15.75" x14ac:dyDescent="0.25">
      <c r="A16" s="1192"/>
      <c r="B16" s="1434"/>
      <c r="C16" s="1434"/>
      <c r="D16" s="1434"/>
      <c r="E16" s="1434"/>
      <c r="F16" s="1434"/>
      <c r="G16" s="1434"/>
      <c r="H16" s="161"/>
      <c r="I16" s="161"/>
      <c r="J16" s="1435"/>
      <c r="K16" s="1435"/>
      <c r="L16" s="161"/>
      <c r="N16" s="1426"/>
    </row>
    <row r="17" spans="1:14" s="1188" customFormat="1" ht="15.75" x14ac:dyDescent="0.25">
      <c r="A17" s="1199"/>
      <c r="B17" s="1434" t="s">
        <v>6</v>
      </c>
      <c r="C17" s="1434"/>
      <c r="D17" s="1434"/>
      <c r="E17" s="1434"/>
      <c r="F17" s="1434"/>
      <c r="G17" s="1434"/>
      <c r="H17" s="161"/>
      <c r="N17" s="1426"/>
    </row>
    <row r="18" spans="1:14" ht="17.25" customHeight="1" thickBot="1" x14ac:dyDescent="0.3">
      <c r="A18" s="1199"/>
      <c r="B18" s="2853" t="s">
        <v>111</v>
      </c>
      <c r="C18" s="2853"/>
      <c r="D18" s="2853"/>
      <c r="E18" s="2853"/>
      <c r="F18" s="2853"/>
      <c r="G18" s="2853"/>
      <c r="H18" s="2853"/>
      <c r="N18" s="1426"/>
    </row>
    <row r="19" spans="1:14" ht="15.75" thickBot="1" x14ac:dyDescent="0.25">
      <c r="A19" s="1290" t="s">
        <v>10</v>
      </c>
      <c r="B19" s="1436" t="s">
        <v>112</v>
      </c>
      <c r="C19" s="1437"/>
      <c r="D19" s="1437"/>
      <c r="E19" s="1437">
        <v>390328</v>
      </c>
      <c r="F19" s="1437">
        <v>804505</v>
      </c>
      <c r="G19" s="1437">
        <v>1001519</v>
      </c>
      <c r="H19" s="214">
        <v>2014498</v>
      </c>
      <c r="I19" s="214">
        <v>3136612</v>
      </c>
      <c r="J19" s="214">
        <v>2009000</v>
      </c>
      <c r="K19" s="214">
        <v>2402000</v>
      </c>
      <c r="L19" s="214">
        <v>2944000</v>
      </c>
      <c r="N19" s="1426"/>
    </row>
    <row r="20" spans="1:14" s="1292" customFormat="1" ht="16.5" thickBot="1" x14ac:dyDescent="0.3">
      <c r="A20" s="1192"/>
      <c r="B20" s="1438" t="s">
        <v>113</v>
      </c>
      <c r="C20" s="215">
        <f t="shared" ref="C20:L20" si="1">SUM(C19)</f>
        <v>0</v>
      </c>
      <c r="D20" s="215">
        <f t="shared" si="1"/>
        <v>0</v>
      </c>
      <c r="E20" s="215">
        <f t="shared" si="1"/>
        <v>390328</v>
      </c>
      <c r="F20" s="215">
        <f t="shared" si="1"/>
        <v>804505</v>
      </c>
      <c r="G20" s="215">
        <f t="shared" si="1"/>
        <v>1001519</v>
      </c>
      <c r="H20" s="215">
        <f t="shared" si="1"/>
        <v>2014498</v>
      </c>
      <c r="I20" s="215">
        <f t="shared" si="1"/>
        <v>3136612</v>
      </c>
      <c r="J20" s="215">
        <f t="shared" si="1"/>
        <v>2009000</v>
      </c>
      <c r="K20" s="215">
        <f t="shared" si="1"/>
        <v>2402000</v>
      </c>
      <c r="L20" s="215">
        <f t="shared" si="1"/>
        <v>2944000</v>
      </c>
      <c r="N20" s="1426"/>
    </row>
    <row r="21" spans="1:14" s="1292" customFormat="1" ht="16.5" thickBot="1" x14ac:dyDescent="0.3">
      <c r="A21" s="1192"/>
      <c r="B21" s="1439" t="s">
        <v>114</v>
      </c>
      <c r="C21" s="1439"/>
      <c r="D21" s="1439"/>
      <c r="E21" s="1439"/>
      <c r="F21" s="1439"/>
      <c r="G21" s="1439"/>
      <c r="J21" s="1440"/>
      <c r="L21" s="1441"/>
      <c r="N21" s="1426"/>
    </row>
    <row r="22" spans="1:14" ht="17.25" customHeight="1" x14ac:dyDescent="0.2">
      <c r="A22" s="1290" t="s">
        <v>10</v>
      </c>
      <c r="B22" s="1293" t="s">
        <v>116</v>
      </c>
      <c r="C22" s="1442"/>
      <c r="D22" s="1442"/>
      <c r="E22" s="1442">
        <v>49283</v>
      </c>
      <c r="F22" s="1442">
        <v>1045286</v>
      </c>
      <c r="G22" s="1442">
        <v>491898</v>
      </c>
      <c r="H22" s="770">
        <v>1599794</v>
      </c>
      <c r="I22" s="770">
        <v>2474834</v>
      </c>
      <c r="J22" s="770">
        <v>1375000</v>
      </c>
      <c r="K22" s="770">
        <v>1691000</v>
      </c>
      <c r="L22" s="771">
        <v>2105000</v>
      </c>
      <c r="N22" s="1426"/>
    </row>
    <row r="23" spans="1:14" ht="17.25" customHeight="1" thickBot="1" x14ac:dyDescent="0.25">
      <c r="A23" s="1290" t="s">
        <v>10</v>
      </c>
      <c r="B23" s="1327" t="s">
        <v>117</v>
      </c>
      <c r="C23" s="1429"/>
      <c r="D23" s="1429"/>
      <c r="E23" s="1429">
        <v>69129</v>
      </c>
      <c r="F23" s="1429">
        <v>17886</v>
      </c>
      <c r="G23" s="1429">
        <v>123338</v>
      </c>
      <c r="H23" s="773">
        <v>25478</v>
      </c>
      <c r="I23" s="773">
        <v>324548</v>
      </c>
      <c r="J23" s="773">
        <v>360000</v>
      </c>
      <c r="K23" s="773">
        <v>399000</v>
      </c>
      <c r="L23" s="774">
        <v>454000</v>
      </c>
      <c r="N23" s="1426"/>
    </row>
    <row r="24" spans="1:14" ht="16.5" thickBot="1" x14ac:dyDescent="0.3">
      <c r="A24" s="1192"/>
      <c r="B24" s="1443" t="s">
        <v>118</v>
      </c>
      <c r="C24" s="1444">
        <f t="shared" ref="C24:L24" si="2">SUM(C22:C23)</f>
        <v>0</v>
      </c>
      <c r="D24" s="1444">
        <f t="shared" si="2"/>
        <v>0</v>
      </c>
      <c r="E24" s="1444">
        <f t="shared" si="2"/>
        <v>118412</v>
      </c>
      <c r="F24" s="1445">
        <f t="shared" si="2"/>
        <v>1063172</v>
      </c>
      <c r="G24" s="1444">
        <f t="shared" si="2"/>
        <v>615236</v>
      </c>
      <c r="H24" s="1444">
        <f t="shared" si="2"/>
        <v>1625272</v>
      </c>
      <c r="I24" s="1444">
        <f t="shared" si="2"/>
        <v>2799382</v>
      </c>
      <c r="J24" s="1444">
        <f t="shared" si="2"/>
        <v>1735000</v>
      </c>
      <c r="K24" s="1444">
        <f t="shared" si="2"/>
        <v>2090000</v>
      </c>
      <c r="L24" s="1444">
        <f t="shared" si="2"/>
        <v>2559000</v>
      </c>
      <c r="N24" s="1426"/>
    </row>
    <row r="25" spans="1:14" ht="15.75" thickBot="1" x14ac:dyDescent="0.25">
      <c r="A25" s="1290" t="s">
        <v>10</v>
      </c>
      <c r="B25" s="1346" t="s">
        <v>245</v>
      </c>
      <c r="C25" s="1446"/>
      <c r="D25" s="1446"/>
      <c r="E25" s="1446"/>
      <c r="F25" s="1446"/>
      <c r="G25" s="1446"/>
      <c r="H25" s="699"/>
      <c r="I25" s="699">
        <v>246081</v>
      </c>
      <c r="J25" s="214">
        <v>147000</v>
      </c>
      <c r="K25" s="214">
        <v>175000</v>
      </c>
      <c r="L25" s="214">
        <v>223000</v>
      </c>
      <c r="N25" s="1426"/>
    </row>
    <row r="26" spans="1:14" s="1040" customFormat="1" ht="16.5" thickBot="1" x14ac:dyDescent="0.3">
      <c r="A26" s="1297"/>
      <c r="B26" s="1307" t="s">
        <v>206</v>
      </c>
      <c r="C26" s="1447">
        <f t="shared" ref="C26:L26" si="3">SUM(C20+C24+C25)</f>
        <v>0</v>
      </c>
      <c r="D26" s="1447">
        <f t="shared" si="3"/>
        <v>0</v>
      </c>
      <c r="E26" s="101">
        <f t="shared" si="3"/>
        <v>508740</v>
      </c>
      <c r="F26" s="101">
        <f t="shared" si="3"/>
        <v>1867677</v>
      </c>
      <c r="G26" s="101">
        <f t="shared" si="3"/>
        <v>1616755</v>
      </c>
      <c r="H26" s="101">
        <f t="shared" si="3"/>
        <v>3639770</v>
      </c>
      <c r="I26" s="101">
        <f t="shared" si="3"/>
        <v>6182075</v>
      </c>
      <c r="J26" s="101">
        <f t="shared" si="3"/>
        <v>3891000</v>
      </c>
      <c r="K26" s="101">
        <f t="shared" si="3"/>
        <v>4667000</v>
      </c>
      <c r="L26" s="101">
        <f t="shared" si="3"/>
        <v>5726000</v>
      </c>
      <c r="N26" s="1426"/>
    </row>
    <row r="27" spans="1:14" s="1040" customFormat="1" ht="16.5" thickBot="1" x14ac:dyDescent="0.3">
      <c r="A27" s="1297"/>
      <c r="B27" s="1439"/>
      <c r="C27" s="1439"/>
      <c r="D27" s="1439"/>
      <c r="E27" s="1439"/>
      <c r="F27" s="1439"/>
      <c r="G27" s="1439"/>
      <c r="H27" s="161"/>
      <c r="I27" s="1448"/>
      <c r="J27" s="1448"/>
      <c r="K27" s="1448"/>
      <c r="L27" s="1448"/>
      <c r="N27" s="1426"/>
    </row>
    <row r="28" spans="1:14" s="1040" customFormat="1" ht="16.5" thickBot="1" x14ac:dyDescent="0.3">
      <c r="A28" s="1297"/>
      <c r="B28" s="1449" t="s">
        <v>335</v>
      </c>
      <c r="C28" s="1450"/>
      <c r="D28" s="1450"/>
      <c r="E28" s="1451"/>
      <c r="F28" s="1452"/>
      <c r="G28" s="1452"/>
      <c r="H28" s="1453"/>
      <c r="I28" s="1454"/>
      <c r="J28" s="1454"/>
      <c r="K28" s="1454"/>
      <c r="L28" s="1455"/>
      <c r="N28" s="1426"/>
    </row>
    <row r="29" spans="1:14" s="1040" customFormat="1" ht="15.75" x14ac:dyDescent="0.25">
      <c r="A29" s="1297"/>
      <c r="B29" s="1295" t="s">
        <v>336</v>
      </c>
      <c r="C29" s="1456"/>
      <c r="D29" s="1456"/>
      <c r="E29" s="1456"/>
      <c r="F29" s="1457"/>
      <c r="G29" s="1457"/>
      <c r="H29" s="1458"/>
      <c r="I29" s="1459"/>
      <c r="J29" s="1460">
        <v>150000</v>
      </c>
      <c r="K29" s="1460">
        <v>150000</v>
      </c>
      <c r="L29" s="1461">
        <v>150000</v>
      </c>
      <c r="N29" s="1426"/>
    </row>
    <row r="30" spans="1:14" s="1040" customFormat="1" ht="16.5" thickBot="1" x14ac:dyDescent="0.3">
      <c r="A30" s="1297"/>
      <c r="B30" s="1296" t="s">
        <v>411</v>
      </c>
      <c r="C30" s="1456"/>
      <c r="D30" s="1456"/>
      <c r="E30" s="1456"/>
      <c r="F30" s="1462"/>
      <c r="G30" s="1462"/>
      <c r="H30" s="1463"/>
      <c r="I30" s="1464"/>
      <c r="J30" s="1465">
        <v>50000</v>
      </c>
      <c r="K30" s="1465">
        <v>50000</v>
      </c>
      <c r="L30" s="1466">
        <v>50000</v>
      </c>
      <c r="N30" s="1426"/>
    </row>
    <row r="31" spans="1:14" s="1040" customFormat="1" ht="16.5" thickBot="1" x14ac:dyDescent="0.3">
      <c r="A31" s="1297"/>
      <c r="B31" s="1298" t="s">
        <v>337</v>
      </c>
      <c r="C31" s="1467">
        <f>SUM(C29:C30)</f>
        <v>0</v>
      </c>
      <c r="D31" s="1467">
        <f t="shared" ref="D31:L31" si="4">SUM(D29:D30)</f>
        <v>0</v>
      </c>
      <c r="E31" s="1467">
        <f t="shared" si="4"/>
        <v>0</v>
      </c>
      <c r="F31" s="1467">
        <f t="shared" si="4"/>
        <v>0</v>
      </c>
      <c r="G31" s="1467">
        <f t="shared" si="4"/>
        <v>0</v>
      </c>
      <c r="H31" s="1467">
        <f t="shared" si="4"/>
        <v>0</v>
      </c>
      <c r="I31" s="1467">
        <f t="shared" si="4"/>
        <v>0</v>
      </c>
      <c r="J31" s="1467">
        <f t="shared" si="4"/>
        <v>200000</v>
      </c>
      <c r="K31" s="1467">
        <f t="shared" si="4"/>
        <v>200000</v>
      </c>
      <c r="L31" s="1467">
        <f t="shared" si="4"/>
        <v>200000</v>
      </c>
      <c r="N31" s="1426"/>
    </row>
    <row r="32" spans="1:14" s="1040" customFormat="1" ht="15.75" x14ac:dyDescent="0.25">
      <c r="A32" s="1297"/>
      <c r="B32" s="1439"/>
      <c r="C32" s="1439"/>
      <c r="D32" s="1439"/>
      <c r="E32" s="1457"/>
      <c r="F32" s="1457"/>
      <c r="G32" s="1457"/>
      <c r="H32" s="1458"/>
      <c r="I32" s="1459"/>
      <c r="J32" s="1459"/>
      <c r="K32" s="1459"/>
      <c r="L32" s="1459"/>
      <c r="N32" s="1426"/>
    </row>
    <row r="33" spans="1:14" ht="16.5" thickBot="1" x14ac:dyDescent="0.3">
      <c r="A33" s="1192"/>
      <c r="B33" s="1439" t="s">
        <v>108</v>
      </c>
      <c r="C33" s="1439"/>
      <c r="D33" s="1439"/>
      <c r="E33" s="1439"/>
      <c r="F33" s="1439"/>
      <c r="G33" s="1439"/>
      <c r="H33" s="146"/>
      <c r="I33" s="1199"/>
      <c r="J33" s="1199"/>
      <c r="K33" s="1199"/>
      <c r="L33" s="1199"/>
      <c r="M33" s="1199"/>
      <c r="N33" s="1426"/>
    </row>
    <row r="34" spans="1:14" s="1188" customFormat="1" ht="15.75" x14ac:dyDescent="0.2">
      <c r="A34" s="1287" t="s">
        <v>9</v>
      </c>
      <c r="B34" s="1299" t="s">
        <v>147</v>
      </c>
      <c r="C34" s="1468">
        <v>63935</v>
      </c>
      <c r="D34" s="1468">
        <v>41905</v>
      </c>
      <c r="E34" s="1469">
        <v>43478</v>
      </c>
      <c r="F34" s="1468">
        <v>55386</v>
      </c>
      <c r="G34" s="1468">
        <v>67085</v>
      </c>
      <c r="H34" s="770">
        <v>66744</v>
      </c>
      <c r="I34" s="770">
        <v>75000</v>
      </c>
      <c r="J34" s="770">
        <v>75000</v>
      </c>
      <c r="K34" s="770">
        <v>89000</v>
      </c>
      <c r="L34" s="771">
        <v>109000</v>
      </c>
      <c r="M34" s="1192"/>
      <c r="N34" s="1426"/>
    </row>
    <row r="35" spans="1:14" s="1188" customFormat="1" ht="15" x14ac:dyDescent="0.2">
      <c r="A35" s="1287" t="s">
        <v>9</v>
      </c>
      <c r="B35" s="1300" t="s">
        <v>178</v>
      </c>
      <c r="C35" s="1470"/>
      <c r="D35" s="1470"/>
      <c r="E35" s="1471"/>
      <c r="F35" s="1470"/>
      <c r="G35" s="1470"/>
      <c r="H35" s="760"/>
      <c r="I35" s="760">
        <v>135000</v>
      </c>
      <c r="J35" s="760">
        <v>100000</v>
      </c>
      <c r="K35" s="760">
        <v>119000</v>
      </c>
      <c r="L35" s="772">
        <v>145000</v>
      </c>
      <c r="M35" s="1192"/>
      <c r="N35" s="1426"/>
    </row>
    <row r="36" spans="1:14" s="1188" customFormat="1" ht="16.5" thickBot="1" x14ac:dyDescent="0.25">
      <c r="A36" s="1287" t="s">
        <v>10</v>
      </c>
      <c r="B36" s="1472" t="s">
        <v>179</v>
      </c>
      <c r="C36" s="1473"/>
      <c r="D36" s="1473">
        <v>11288</v>
      </c>
      <c r="E36" s="1474"/>
      <c r="F36" s="1473"/>
      <c r="G36" s="1473"/>
      <c r="H36" s="762"/>
      <c r="I36" s="762">
        <v>75000</v>
      </c>
      <c r="J36" s="762">
        <v>75000</v>
      </c>
      <c r="K36" s="762">
        <v>89000</v>
      </c>
      <c r="L36" s="776">
        <v>109000</v>
      </c>
      <c r="M36" s="1192"/>
      <c r="N36" s="1426"/>
    </row>
    <row r="37" spans="1:14" s="1040" customFormat="1" ht="16.5" thickBot="1" x14ac:dyDescent="0.3">
      <c r="A37" s="1297"/>
      <c r="B37" s="1475" t="s">
        <v>119</v>
      </c>
      <c r="C37" s="1476">
        <f t="shared" ref="C37:L37" si="5">SUM(C34:C36)</f>
        <v>63935</v>
      </c>
      <c r="D37" s="1476">
        <f t="shared" si="5"/>
        <v>53193</v>
      </c>
      <c r="E37" s="928">
        <f t="shared" si="5"/>
        <v>43478</v>
      </c>
      <c r="F37" s="928">
        <f t="shared" si="5"/>
        <v>55386</v>
      </c>
      <c r="G37" s="928">
        <f t="shared" si="5"/>
        <v>67085</v>
      </c>
      <c r="H37" s="928">
        <f t="shared" si="5"/>
        <v>66744</v>
      </c>
      <c r="I37" s="928">
        <f t="shared" si="5"/>
        <v>285000</v>
      </c>
      <c r="J37" s="928">
        <f t="shared" si="5"/>
        <v>250000</v>
      </c>
      <c r="K37" s="928">
        <f t="shared" si="5"/>
        <v>297000</v>
      </c>
      <c r="L37" s="929">
        <f t="shared" si="5"/>
        <v>363000</v>
      </c>
      <c r="N37" s="1426"/>
    </row>
    <row r="38" spans="1:14" s="1040" customFormat="1" ht="16.5" thickBot="1" x14ac:dyDescent="0.3">
      <c r="A38" s="1297"/>
      <c r="B38" s="1439"/>
      <c r="C38" s="1439"/>
      <c r="D38" s="1439"/>
      <c r="E38" s="1439"/>
      <c r="F38" s="1439"/>
      <c r="G38" s="1439"/>
      <c r="H38" s="1297"/>
      <c r="I38" s="1297"/>
      <c r="J38" s="1297"/>
      <c r="K38" s="1297"/>
      <c r="L38" s="1297"/>
      <c r="N38" s="1426"/>
    </row>
    <row r="39" spans="1:14" s="1040" customFormat="1" ht="16.5" thickBot="1" x14ac:dyDescent="0.3">
      <c r="A39" s="1229" t="s">
        <v>11</v>
      </c>
      <c r="B39" s="1301" t="s">
        <v>338</v>
      </c>
      <c r="C39" s="1451"/>
      <c r="D39" s="1451"/>
      <c r="E39" s="1451"/>
      <c r="F39" s="1477"/>
      <c r="G39" s="1452"/>
      <c r="H39" s="1478"/>
      <c r="I39" s="1478"/>
      <c r="J39" s="1479">
        <v>50000</v>
      </c>
      <c r="K39" s="1479">
        <v>59000</v>
      </c>
      <c r="L39" s="1480">
        <v>72000</v>
      </c>
      <c r="N39" s="1426"/>
    </row>
    <row r="40" spans="1:14" s="1040" customFormat="1" ht="16.5" thickBot="1" x14ac:dyDescent="0.3">
      <c r="A40" s="1297"/>
      <c r="B40" s="1481" t="s">
        <v>339</v>
      </c>
      <c r="C40" s="1482"/>
      <c r="D40" s="1482"/>
      <c r="E40" s="1482"/>
      <c r="F40" s="1452"/>
      <c r="G40" s="1483"/>
      <c r="H40" s="1484"/>
      <c r="I40" s="1484"/>
      <c r="J40" s="1485">
        <f>SUM(J39)</f>
        <v>50000</v>
      </c>
      <c r="K40" s="1485">
        <f>SUM(K39)</f>
        <v>59000</v>
      </c>
      <c r="L40" s="1486">
        <f>SUM(L39)</f>
        <v>72000</v>
      </c>
      <c r="N40" s="1426"/>
    </row>
    <row r="41" spans="1:14" s="1040" customFormat="1" ht="15.75" x14ac:dyDescent="0.25">
      <c r="A41" s="1297"/>
      <c r="B41" s="1439"/>
      <c r="C41" s="1439"/>
      <c r="D41" s="1439"/>
      <c r="E41" s="1439"/>
      <c r="F41" s="1439"/>
      <c r="G41" s="1439"/>
      <c r="N41" s="1426"/>
    </row>
    <row r="42" spans="1:14" s="1292" customFormat="1" ht="16.5" thickBot="1" x14ac:dyDescent="0.3">
      <c r="A42" s="1199"/>
      <c r="B42" s="1439" t="s">
        <v>120</v>
      </c>
      <c r="C42" s="1439"/>
      <c r="D42" s="1439"/>
      <c r="E42" s="1439"/>
      <c r="F42" s="1487"/>
      <c r="G42" s="1487"/>
      <c r="H42" s="1488"/>
      <c r="I42" s="1488"/>
      <c r="J42" s="1488"/>
      <c r="K42" s="1488"/>
      <c r="L42" s="1488"/>
      <c r="N42" s="1426"/>
    </row>
    <row r="43" spans="1:14" s="1292" customFormat="1" ht="15.75" x14ac:dyDescent="0.25">
      <c r="A43" s="1229" t="s">
        <v>11</v>
      </c>
      <c r="B43" s="1302" t="s">
        <v>340</v>
      </c>
      <c r="C43" s="1456"/>
      <c r="D43" s="1456"/>
      <c r="E43" s="1456"/>
      <c r="F43" s="1457"/>
      <c r="G43" s="1457"/>
      <c r="H43" s="1489"/>
      <c r="I43" s="1489"/>
      <c r="J43" s="1490">
        <v>65000</v>
      </c>
      <c r="K43" s="1490">
        <v>65000</v>
      </c>
      <c r="L43" s="1490">
        <v>65000</v>
      </c>
      <c r="N43" s="1426"/>
    </row>
    <row r="44" spans="1:14" s="1292" customFormat="1" ht="16.5" thickBot="1" x14ac:dyDescent="0.3">
      <c r="A44" s="1199"/>
      <c r="B44" s="1304" t="s">
        <v>341</v>
      </c>
      <c r="C44" s="1482"/>
      <c r="D44" s="1482"/>
      <c r="E44" s="1482"/>
      <c r="F44" s="1482"/>
      <c r="G44" s="1456"/>
      <c r="H44" s="1491"/>
      <c r="I44" s="1491"/>
      <c r="J44" s="1492">
        <v>75000</v>
      </c>
      <c r="K44" s="1492">
        <v>100000</v>
      </c>
      <c r="L44" s="1492">
        <v>105000</v>
      </c>
      <c r="N44" s="1426"/>
    </row>
    <row r="45" spans="1:14" s="1292" customFormat="1" ht="15.75" thickBot="1" x14ac:dyDescent="0.25">
      <c r="A45" s="1192" t="s">
        <v>11</v>
      </c>
      <c r="B45" s="1302" t="s">
        <v>168</v>
      </c>
      <c r="C45" s="1493"/>
      <c r="D45" s="1493"/>
      <c r="E45" s="1493"/>
      <c r="F45" s="1493">
        <v>28126</v>
      </c>
      <c r="G45" s="1493">
        <v>29679</v>
      </c>
      <c r="H45" s="464">
        <v>36337</v>
      </c>
      <c r="I45" s="464">
        <v>52500</v>
      </c>
      <c r="J45" s="464">
        <v>60000</v>
      </c>
      <c r="K45" s="464">
        <v>60000</v>
      </c>
      <c r="L45" s="464">
        <v>60000</v>
      </c>
      <c r="N45" s="1426"/>
    </row>
    <row r="46" spans="1:14" s="1292" customFormat="1" ht="15.75" thickBot="1" x14ac:dyDescent="0.25">
      <c r="A46" s="1192" t="s">
        <v>11</v>
      </c>
      <c r="B46" s="1304" t="s">
        <v>121</v>
      </c>
      <c r="C46" s="1494"/>
      <c r="D46" s="1494"/>
      <c r="E46" s="1494">
        <v>100679</v>
      </c>
      <c r="F46" s="1494">
        <v>35323</v>
      </c>
      <c r="G46" s="1494">
        <v>34581</v>
      </c>
      <c r="H46" s="465">
        <v>50197</v>
      </c>
      <c r="I46" s="214">
        <v>88500</v>
      </c>
      <c r="J46" s="214">
        <v>76500</v>
      </c>
      <c r="K46" s="214">
        <v>80000</v>
      </c>
      <c r="L46" s="214">
        <v>85000</v>
      </c>
      <c r="N46" s="1426"/>
    </row>
    <row r="47" spans="1:14" s="1292" customFormat="1" ht="15.75" thickBot="1" x14ac:dyDescent="0.25">
      <c r="A47" s="1192" t="s">
        <v>11</v>
      </c>
      <c r="B47" s="1304" t="s">
        <v>122</v>
      </c>
      <c r="C47" s="1494"/>
      <c r="D47" s="1494"/>
      <c r="E47" s="1494">
        <v>960</v>
      </c>
      <c r="F47" s="1494">
        <v>48155</v>
      </c>
      <c r="G47" s="1494">
        <v>27057</v>
      </c>
      <c r="H47" s="465">
        <v>257425</v>
      </c>
      <c r="I47" s="214">
        <v>426000</v>
      </c>
      <c r="J47" s="214">
        <v>535000</v>
      </c>
      <c r="K47" s="214">
        <v>535000</v>
      </c>
      <c r="L47" s="214">
        <v>535000</v>
      </c>
      <c r="N47" s="1426"/>
    </row>
    <row r="48" spans="1:14" s="1292" customFormat="1" ht="15.75" thickBot="1" x14ac:dyDescent="0.25">
      <c r="A48" s="1192" t="s">
        <v>11</v>
      </c>
      <c r="B48" s="1306" t="s">
        <v>221</v>
      </c>
      <c r="C48" s="1495">
        <v>7551</v>
      </c>
      <c r="D48" s="1495"/>
      <c r="E48" s="1495">
        <v>3070</v>
      </c>
      <c r="F48" s="1495">
        <v>28232</v>
      </c>
      <c r="G48" s="1495">
        <v>13905</v>
      </c>
      <c r="H48" s="466">
        <v>10605</v>
      </c>
      <c r="I48" s="214">
        <v>24750</v>
      </c>
      <c r="J48" s="214">
        <v>24750</v>
      </c>
      <c r="K48" s="214">
        <v>24750</v>
      </c>
      <c r="L48" s="214">
        <v>24750</v>
      </c>
      <c r="N48" s="1426"/>
    </row>
    <row r="49" spans="1:16" s="1292" customFormat="1" ht="15.75" thickBot="1" x14ac:dyDescent="0.25">
      <c r="A49" s="1286" t="s">
        <v>11</v>
      </c>
      <c r="B49" s="1496" t="s">
        <v>343</v>
      </c>
      <c r="C49" s="1497"/>
      <c r="D49" s="1497"/>
      <c r="E49" s="1497"/>
      <c r="F49" s="1497"/>
      <c r="G49" s="1497"/>
      <c r="H49" s="699"/>
      <c r="I49" s="1498"/>
      <c r="J49" s="1498">
        <v>599325</v>
      </c>
      <c r="K49" s="1498">
        <v>676175</v>
      </c>
      <c r="L49" s="1498">
        <v>775300</v>
      </c>
      <c r="N49" s="1426"/>
    </row>
    <row r="50" spans="1:16" s="1040" customFormat="1" ht="16.5" thickBot="1" x14ac:dyDescent="0.3">
      <c r="A50" s="1297"/>
      <c r="B50" s="1307" t="s">
        <v>207</v>
      </c>
      <c r="C50" s="1447">
        <f t="shared" ref="C50:I50" si="6">SUM(C45:C48)</f>
        <v>7551</v>
      </c>
      <c r="D50" s="1447">
        <f t="shared" si="6"/>
        <v>0</v>
      </c>
      <c r="E50" s="101">
        <f t="shared" si="6"/>
        <v>104709</v>
      </c>
      <c r="F50" s="101">
        <f t="shared" si="6"/>
        <v>139836</v>
      </c>
      <c r="G50" s="101">
        <f t="shared" si="6"/>
        <v>105222</v>
      </c>
      <c r="H50" s="101">
        <f t="shared" si="6"/>
        <v>354564</v>
      </c>
      <c r="I50" s="101">
        <f t="shared" si="6"/>
        <v>591750</v>
      </c>
      <c r="J50" s="101">
        <f>SUM(J43:J49)</f>
        <v>1435575</v>
      </c>
      <c r="K50" s="101">
        <f>SUM(K43:K49)</f>
        <v>1540925</v>
      </c>
      <c r="L50" s="101">
        <f>SUM(L43:L49)</f>
        <v>1650050</v>
      </c>
      <c r="N50" s="1426"/>
    </row>
    <row r="51" spans="1:16" s="1292" customFormat="1" ht="16.5" thickBot="1" x14ac:dyDescent="0.3">
      <c r="A51" s="1199"/>
      <c r="B51" s="1308" t="s">
        <v>123</v>
      </c>
      <c r="C51" s="1439"/>
      <c r="D51" s="1439"/>
      <c r="E51" s="1439"/>
      <c r="F51" s="1439"/>
      <c r="G51" s="1439"/>
      <c r="H51" s="161"/>
      <c r="N51" s="1426"/>
    </row>
    <row r="52" spans="1:16" s="1305" customFormat="1" ht="15.75" x14ac:dyDescent="0.25">
      <c r="A52" s="1303"/>
      <c r="B52" s="1499" t="s">
        <v>7</v>
      </c>
      <c r="C52" s="476">
        <f t="shared" ref="C52:I52" si="7">C15+C34+C35+C31*0.8+C44*0.8</f>
        <v>567726</v>
      </c>
      <c r="D52" s="472">
        <f t="shared" si="7"/>
        <v>1050827</v>
      </c>
      <c r="E52" s="1500">
        <f t="shared" si="7"/>
        <v>1615184</v>
      </c>
      <c r="F52" s="1501">
        <f t="shared" si="7"/>
        <v>1941451</v>
      </c>
      <c r="G52" s="472">
        <f t="shared" si="7"/>
        <v>2934248</v>
      </c>
      <c r="H52" s="476">
        <f t="shared" si="7"/>
        <v>3977680</v>
      </c>
      <c r="I52" s="476">
        <f t="shared" si="7"/>
        <v>6198359</v>
      </c>
      <c r="J52" s="476">
        <f>J15+J34+J35+J31*0.8+J44*0.8</f>
        <v>7179000</v>
      </c>
      <c r="K52" s="476">
        <f>K15+K34+K35+K31*0.8+K44*0.8</f>
        <v>7908500</v>
      </c>
      <c r="L52" s="476">
        <f>L15+L34+L35+L31*0.8+L44*0.8</f>
        <v>8793000</v>
      </c>
      <c r="M52" s="1502"/>
      <c r="N52" s="1426"/>
      <c r="P52" s="1503"/>
    </row>
    <row r="53" spans="1:16" s="1305" customFormat="1" ht="16.5" thickBot="1" x14ac:dyDescent="0.3">
      <c r="A53" s="1303"/>
      <c r="B53" s="1369" t="s">
        <v>8</v>
      </c>
      <c r="C53" s="1504">
        <f t="shared" ref="C53:I53" si="8">C26+C36+C31*0.2+C44*0.2</f>
        <v>0</v>
      </c>
      <c r="D53" s="1505">
        <f t="shared" si="8"/>
        <v>11288</v>
      </c>
      <c r="E53" s="477">
        <f t="shared" si="8"/>
        <v>508740</v>
      </c>
      <c r="F53" s="218">
        <f t="shared" si="8"/>
        <v>1867677</v>
      </c>
      <c r="G53" s="1506">
        <f t="shared" si="8"/>
        <v>1616755</v>
      </c>
      <c r="H53" s="218">
        <f t="shared" si="8"/>
        <v>3639770</v>
      </c>
      <c r="I53" s="477">
        <f t="shared" si="8"/>
        <v>6257075</v>
      </c>
      <c r="J53" s="477">
        <f>J26+J36+J31*0.2+J44*0.2</f>
        <v>4021000</v>
      </c>
      <c r="K53" s="477">
        <f>K26+K36+K31*0.2+K44*0.2</f>
        <v>4816000</v>
      </c>
      <c r="L53" s="477">
        <f>L26+L36+L31*0.2+L44*0.2</f>
        <v>5896000</v>
      </c>
      <c r="M53" s="1502"/>
      <c r="N53" s="1426"/>
    </row>
    <row r="54" spans="1:16" s="1305" customFormat="1" ht="16.5" thickBot="1" x14ac:dyDescent="0.3">
      <c r="A54" s="1199"/>
      <c r="B54" s="1507" t="s">
        <v>12</v>
      </c>
      <c r="C54" s="1508">
        <f t="shared" ref="C54:I54" si="9">SUM(C43,C45:C49,C39)</f>
        <v>7551</v>
      </c>
      <c r="D54" s="1509">
        <f t="shared" si="9"/>
        <v>0</v>
      </c>
      <c r="E54" s="1504">
        <f t="shared" si="9"/>
        <v>104709</v>
      </c>
      <c r="F54" s="1510">
        <f t="shared" si="9"/>
        <v>139836</v>
      </c>
      <c r="G54" s="1509">
        <f t="shared" si="9"/>
        <v>105222</v>
      </c>
      <c r="H54" s="479">
        <f t="shared" si="9"/>
        <v>354564</v>
      </c>
      <c r="I54" s="1509">
        <f t="shared" si="9"/>
        <v>591750</v>
      </c>
      <c r="J54" s="1509">
        <f>SUM(J43,J45:J49,J39)</f>
        <v>1410575</v>
      </c>
      <c r="K54" s="1509">
        <f>SUM(K43,K45:K49,K39)</f>
        <v>1499925</v>
      </c>
      <c r="L54" s="1509">
        <f>SUM(L43,L45:L49,L39)</f>
        <v>1617050</v>
      </c>
      <c r="M54" s="1502"/>
      <c r="N54" s="1426"/>
    </row>
    <row r="55" spans="1:16" s="1040" customFormat="1" ht="16.5" thickBot="1" x14ac:dyDescent="0.3">
      <c r="A55" s="1199"/>
      <c r="B55" s="1307" t="s">
        <v>33</v>
      </c>
      <c r="C55" s="1511">
        <f t="shared" ref="C55:K55" si="10">SUM(C52:C54)</f>
        <v>575277</v>
      </c>
      <c r="D55" s="1511">
        <f t="shared" si="10"/>
        <v>1062115</v>
      </c>
      <c r="E55" s="1511">
        <f t="shared" si="10"/>
        <v>2228633</v>
      </c>
      <c r="F55" s="234">
        <f t="shared" si="10"/>
        <v>3948964</v>
      </c>
      <c r="G55" s="234">
        <f t="shared" si="10"/>
        <v>4656225</v>
      </c>
      <c r="H55" s="234">
        <f t="shared" si="10"/>
        <v>7972014</v>
      </c>
      <c r="I55" s="480">
        <f t="shared" si="10"/>
        <v>13047184</v>
      </c>
      <c r="J55" s="480">
        <f t="shared" si="10"/>
        <v>12610575</v>
      </c>
      <c r="K55" s="480">
        <f t="shared" si="10"/>
        <v>14224425</v>
      </c>
      <c r="L55" s="480">
        <f>SUM(L52:L54)</f>
        <v>16306050</v>
      </c>
      <c r="N55" s="1426"/>
    </row>
    <row r="56" spans="1:16" x14ac:dyDescent="0.2">
      <c r="A56" s="1297"/>
      <c r="H56" s="1241"/>
      <c r="I56" s="1311"/>
      <c r="J56" s="1512"/>
      <c r="K56" s="1512"/>
      <c r="L56" s="1311"/>
    </row>
    <row r="57" spans="1:16" ht="15" x14ac:dyDescent="0.2">
      <c r="B57" s="1192"/>
      <c r="C57" s="1192"/>
      <c r="D57" s="1192"/>
      <c r="E57" s="1192"/>
      <c r="F57" s="1192"/>
      <c r="G57" s="1192"/>
      <c r="H57" s="1513"/>
    </row>
    <row r="58" spans="1:16" ht="20.25" customHeight="1" x14ac:dyDescent="0.3">
      <c r="B58" s="2946" t="s">
        <v>425</v>
      </c>
      <c r="C58" s="2946"/>
      <c r="D58" s="2946"/>
      <c r="E58" s="2946"/>
      <c r="F58" s="2946"/>
      <c r="G58" s="2946"/>
      <c r="H58" s="2946"/>
      <c r="I58" s="2946"/>
      <c r="J58" s="2946"/>
      <c r="K58" s="2946"/>
      <c r="L58" s="2946"/>
    </row>
    <row r="59" spans="1:16" ht="20.25" customHeight="1" x14ac:dyDescent="0.3">
      <c r="A59" s="1188"/>
      <c r="B59" s="2946" t="s">
        <v>429</v>
      </c>
      <c r="C59" s="2946"/>
      <c r="D59" s="2946"/>
      <c r="E59" s="2946"/>
      <c r="F59" s="2946"/>
      <c r="G59" s="2946"/>
      <c r="H59" s="2946"/>
      <c r="I59" s="2946"/>
      <c r="J59" s="2946"/>
      <c r="K59" s="2946"/>
      <c r="L59" s="2946"/>
    </row>
    <row r="60" spans="1:16" ht="20.25" customHeight="1" x14ac:dyDescent="0.3">
      <c r="A60" s="1188"/>
      <c r="B60" s="2946" t="s">
        <v>427</v>
      </c>
      <c r="C60" s="2946"/>
      <c r="D60" s="2946"/>
      <c r="E60" s="2946"/>
      <c r="F60" s="2946"/>
      <c r="G60" s="2946"/>
      <c r="H60" s="2946"/>
      <c r="I60" s="2946"/>
      <c r="J60" s="2946"/>
      <c r="K60" s="2946"/>
      <c r="L60" s="2946"/>
    </row>
    <row r="61" spans="1:16" ht="20.25" customHeight="1" thickBot="1" x14ac:dyDescent="0.35">
      <c r="A61" s="1188"/>
      <c r="B61" s="1280"/>
      <c r="C61" s="1414"/>
      <c r="D61" s="1414"/>
      <c r="E61" s="1280"/>
      <c r="F61" s="1280"/>
      <c r="G61" s="1280"/>
      <c r="H61" s="1280"/>
      <c r="I61" s="1415"/>
      <c r="J61" s="1415"/>
      <c r="K61" s="1415"/>
      <c r="L61" s="1415"/>
    </row>
    <row r="62" spans="1:16" s="1417" customFormat="1" ht="17.25" customHeight="1" x14ac:dyDescent="0.25">
      <c r="A62" s="1192"/>
      <c r="B62" s="1281"/>
      <c r="C62" s="1416">
        <v>2006</v>
      </c>
      <c r="D62" s="1416">
        <v>2007</v>
      </c>
      <c r="E62" s="1416">
        <v>2008</v>
      </c>
      <c r="F62" s="1416">
        <v>2009</v>
      </c>
      <c r="G62" s="1416">
        <v>2010</v>
      </c>
      <c r="H62" s="1416">
        <v>2011</v>
      </c>
      <c r="I62" s="1416">
        <v>2012</v>
      </c>
      <c r="J62" s="1416">
        <v>2013</v>
      </c>
      <c r="K62" s="1416">
        <v>2014</v>
      </c>
      <c r="L62" s="1416">
        <v>2015</v>
      </c>
    </row>
    <row r="63" spans="1:16" ht="17.25" customHeight="1" x14ac:dyDescent="0.25">
      <c r="A63" s="1192"/>
      <c r="B63" s="1282"/>
      <c r="C63" s="1418" t="s">
        <v>186</v>
      </c>
      <c r="D63" s="1418" t="s">
        <v>186</v>
      </c>
      <c r="E63" s="1418" t="s">
        <v>186</v>
      </c>
      <c r="F63" s="1418" t="s">
        <v>186</v>
      </c>
      <c r="G63" s="1418" t="s">
        <v>186</v>
      </c>
      <c r="H63" s="1419" t="s">
        <v>186</v>
      </c>
      <c r="I63" s="1419" t="s">
        <v>331</v>
      </c>
      <c r="J63" s="1419" t="s">
        <v>287</v>
      </c>
      <c r="K63" s="1419" t="s">
        <v>287</v>
      </c>
      <c r="L63" s="1419" t="s">
        <v>287</v>
      </c>
    </row>
    <row r="64" spans="1:16" ht="16.5" customHeight="1" x14ac:dyDescent="0.25">
      <c r="A64" s="1192"/>
      <c r="B64" s="1283" t="s">
        <v>428</v>
      </c>
      <c r="C64" s="1419"/>
      <c r="D64" s="1419"/>
      <c r="E64" s="1419"/>
      <c r="F64" s="1419"/>
      <c r="G64" s="1419"/>
      <c r="H64" s="1419"/>
      <c r="I64" s="1419"/>
      <c r="J64" s="1419"/>
      <c r="K64" s="1419"/>
      <c r="L64" s="1419"/>
    </row>
    <row r="65" spans="1:14" ht="36" customHeight="1" thickBot="1" x14ac:dyDescent="0.3">
      <c r="A65" s="1192"/>
      <c r="B65" s="1284"/>
      <c r="C65" s="1420"/>
      <c r="D65" s="1421"/>
      <c r="E65" s="1421"/>
      <c r="F65" s="1421"/>
      <c r="G65" s="1421"/>
      <c r="H65" s="1422"/>
      <c r="I65" s="1422" t="s">
        <v>408</v>
      </c>
      <c r="J65" s="1422" t="s">
        <v>408</v>
      </c>
      <c r="K65" s="1422" t="s">
        <v>408</v>
      </c>
      <c r="L65" s="1422" t="s">
        <v>408</v>
      </c>
    </row>
    <row r="66" spans="1:14" s="1199" customFormat="1" ht="17.25" customHeight="1" thickBot="1" x14ac:dyDescent="0.3">
      <c r="A66" s="1192"/>
      <c r="B66" s="697" t="s">
        <v>115</v>
      </c>
      <c r="C66" s="697"/>
      <c r="D66" s="697"/>
      <c r="E66" s="697"/>
      <c r="F66" s="697"/>
      <c r="G66" s="697"/>
      <c r="H66" s="698"/>
      <c r="I66" s="1188"/>
      <c r="J66" s="1188"/>
      <c r="K66" s="1188"/>
      <c r="L66" s="1188"/>
    </row>
    <row r="67" spans="1:14" s="1192" customFormat="1" ht="15.75" thickBot="1" x14ac:dyDescent="0.25">
      <c r="A67" s="1285" t="s">
        <v>3</v>
      </c>
      <c r="B67" s="1293" t="s">
        <v>222</v>
      </c>
      <c r="C67" s="1514">
        <v>574</v>
      </c>
      <c r="D67" s="1514">
        <v>1238</v>
      </c>
      <c r="E67" s="1514">
        <v>1350</v>
      </c>
      <c r="F67" s="1514">
        <v>1932</v>
      </c>
      <c r="G67" s="1514">
        <v>2497</v>
      </c>
      <c r="H67" s="1515">
        <v>2347</v>
      </c>
      <c r="I67" s="1515">
        <v>3270</v>
      </c>
      <c r="J67" s="1515">
        <v>3040.8378504129241</v>
      </c>
      <c r="K67" s="1515">
        <v>2971.8534638230662</v>
      </c>
      <c r="L67" s="1515">
        <v>2961.6957591300325</v>
      </c>
      <c r="N67" s="1424"/>
    </row>
    <row r="68" spans="1:14" s="1188" customFormat="1" ht="15" x14ac:dyDescent="0.2">
      <c r="A68" s="1285" t="s">
        <v>9</v>
      </c>
      <c r="B68" s="1288" t="s">
        <v>149</v>
      </c>
      <c r="C68" s="1516">
        <v>393</v>
      </c>
      <c r="D68" s="1516">
        <v>1351</v>
      </c>
      <c r="E68" s="1516">
        <v>1824</v>
      </c>
      <c r="F68" s="1516">
        <v>798</v>
      </c>
      <c r="G68" s="1516">
        <v>2768</v>
      </c>
      <c r="H68" s="1515">
        <v>1811</v>
      </c>
      <c r="I68" s="1515">
        <v>4682</v>
      </c>
      <c r="J68" s="1515">
        <v>4473.010210483716</v>
      </c>
      <c r="K68" s="1515">
        <v>4950.1440649715632</v>
      </c>
      <c r="L68" s="1515">
        <v>5388.5922766141784</v>
      </c>
      <c r="N68" s="1426"/>
    </row>
    <row r="69" spans="1:14" s="1188" customFormat="1" ht="15" x14ac:dyDescent="0.2">
      <c r="A69" s="1285"/>
      <c r="B69" s="1288" t="s">
        <v>430</v>
      </c>
      <c r="C69" s="1517">
        <v>0</v>
      </c>
      <c r="D69" s="1517">
        <v>0</v>
      </c>
      <c r="E69" s="1517">
        <v>0</v>
      </c>
      <c r="F69" s="1517">
        <v>0</v>
      </c>
      <c r="G69" s="1517">
        <v>0</v>
      </c>
      <c r="H69" s="1517">
        <v>0</v>
      </c>
      <c r="I69" s="1518"/>
      <c r="J69" s="1517">
        <v>0</v>
      </c>
      <c r="K69" s="1517">
        <v>0</v>
      </c>
      <c r="L69" s="1517">
        <v>0</v>
      </c>
      <c r="N69" s="1426"/>
    </row>
    <row r="70" spans="1:14" s="1188" customFormat="1" ht="15" x14ac:dyDescent="0.2">
      <c r="A70" s="1285"/>
      <c r="B70" s="1288" t="s">
        <v>431</v>
      </c>
      <c r="C70" s="1517">
        <v>0</v>
      </c>
      <c r="D70" s="1517">
        <v>0</v>
      </c>
      <c r="E70" s="1517">
        <v>0</v>
      </c>
      <c r="F70" s="1517">
        <v>0</v>
      </c>
      <c r="G70" s="1517">
        <v>0</v>
      </c>
      <c r="H70" s="1517">
        <v>0</v>
      </c>
      <c r="I70" s="1518"/>
      <c r="J70" s="1517">
        <v>0</v>
      </c>
      <c r="K70" s="1517">
        <v>0</v>
      </c>
      <c r="L70" s="1517">
        <v>0</v>
      </c>
      <c r="N70" s="1426"/>
    </row>
    <row r="71" spans="1:14" s="1188" customFormat="1" ht="15" x14ac:dyDescent="0.2">
      <c r="A71" s="1285"/>
      <c r="B71" s="1288" t="s">
        <v>432</v>
      </c>
      <c r="C71" s="1517">
        <v>0</v>
      </c>
      <c r="D71" s="1517">
        <v>0</v>
      </c>
      <c r="E71" s="1517">
        <v>0</v>
      </c>
      <c r="F71" s="1517">
        <v>0</v>
      </c>
      <c r="G71" s="1517">
        <v>0</v>
      </c>
      <c r="H71" s="1517">
        <v>0</v>
      </c>
      <c r="I71" s="1518"/>
      <c r="J71" s="1517">
        <v>0</v>
      </c>
      <c r="K71" s="1517">
        <v>0</v>
      </c>
      <c r="L71" s="1517">
        <v>0</v>
      </c>
      <c r="N71" s="1426"/>
    </row>
    <row r="72" spans="1:14" s="1188" customFormat="1" ht="15.75" thickBot="1" x14ac:dyDescent="0.25">
      <c r="A72" s="1285"/>
      <c r="B72" s="1519" t="s">
        <v>433</v>
      </c>
      <c r="C72" s="1517">
        <v>0</v>
      </c>
      <c r="D72" s="1517">
        <v>0</v>
      </c>
      <c r="E72" s="1517">
        <v>0</v>
      </c>
      <c r="F72" s="1517">
        <v>0</v>
      </c>
      <c r="G72" s="1517">
        <v>0</v>
      </c>
      <c r="H72" s="1517">
        <v>0</v>
      </c>
      <c r="I72" s="1520"/>
      <c r="J72" s="1517">
        <v>0</v>
      </c>
      <c r="K72" s="1517">
        <v>0</v>
      </c>
      <c r="L72" s="1517">
        <v>0</v>
      </c>
      <c r="N72" s="1426"/>
    </row>
    <row r="73" spans="1:14" s="1188" customFormat="1" ht="16.5" thickBot="1" x14ac:dyDescent="0.3">
      <c r="A73" s="1285"/>
      <c r="B73" s="1521" t="s">
        <v>434</v>
      </c>
      <c r="C73" s="1522">
        <f t="shared" ref="C73:L73" si="11">SUM(C68:C72)</f>
        <v>393</v>
      </c>
      <c r="D73" s="1523">
        <f t="shared" si="11"/>
        <v>1351</v>
      </c>
      <c r="E73" s="1522">
        <f t="shared" si="11"/>
        <v>1824</v>
      </c>
      <c r="F73" s="1523">
        <f t="shared" si="11"/>
        <v>798</v>
      </c>
      <c r="G73" s="1523">
        <f t="shared" si="11"/>
        <v>2768</v>
      </c>
      <c r="H73" s="1524">
        <f t="shared" si="11"/>
        <v>1811</v>
      </c>
      <c r="I73" s="1525">
        <f t="shared" si="11"/>
        <v>4682</v>
      </c>
      <c r="J73" s="1525">
        <f t="shared" si="11"/>
        <v>4473.010210483716</v>
      </c>
      <c r="K73" s="1525">
        <f t="shared" si="11"/>
        <v>4950.1440649715632</v>
      </c>
      <c r="L73" s="1525">
        <f t="shared" si="11"/>
        <v>5388.5922766141784</v>
      </c>
      <c r="N73" s="1426"/>
    </row>
    <row r="74" spans="1:14" s="1188" customFormat="1" ht="15" x14ac:dyDescent="0.2">
      <c r="A74" s="1285" t="s">
        <v>9</v>
      </c>
      <c r="B74" s="1526" t="s">
        <v>227</v>
      </c>
      <c r="C74" s="1527"/>
      <c r="D74" s="1528"/>
      <c r="E74" s="1527"/>
      <c r="F74" s="1527">
        <v>326</v>
      </c>
      <c r="G74" s="1528">
        <v>206</v>
      </c>
      <c r="H74" s="1529">
        <v>235</v>
      </c>
      <c r="I74" s="1530">
        <v>250</v>
      </c>
      <c r="J74" s="1530">
        <v>286</v>
      </c>
      <c r="K74" s="1530">
        <v>335</v>
      </c>
      <c r="L74" s="1530">
        <v>405</v>
      </c>
      <c r="M74" s="1428"/>
      <c r="N74" s="1426"/>
    </row>
    <row r="75" spans="1:14" s="1188" customFormat="1" ht="15" x14ac:dyDescent="0.2">
      <c r="A75" s="1285" t="s">
        <v>9</v>
      </c>
      <c r="B75" s="1294" t="s">
        <v>110</v>
      </c>
      <c r="C75" s="1528"/>
      <c r="D75" s="1528"/>
      <c r="E75" s="1528">
        <v>160</v>
      </c>
      <c r="F75" s="1528">
        <v>303</v>
      </c>
      <c r="G75" s="1528">
        <v>179</v>
      </c>
      <c r="H75" s="1529">
        <v>128</v>
      </c>
      <c r="I75" s="1529">
        <v>569</v>
      </c>
      <c r="J75" s="1529">
        <v>293</v>
      </c>
      <c r="K75" s="1529">
        <v>347</v>
      </c>
      <c r="L75" s="1529">
        <v>426</v>
      </c>
      <c r="N75" s="1426"/>
    </row>
    <row r="76" spans="1:14" ht="16.5" thickBot="1" x14ac:dyDescent="0.3">
      <c r="A76" s="1192"/>
      <c r="B76" s="1531" t="s">
        <v>30</v>
      </c>
      <c r="C76" s="1532">
        <f t="shared" ref="C76:L76" si="12">SUM(C67,C73,C74:C75)</f>
        <v>967</v>
      </c>
      <c r="D76" s="1532">
        <f t="shared" si="12"/>
        <v>2589</v>
      </c>
      <c r="E76" s="1532">
        <f t="shared" si="12"/>
        <v>3334</v>
      </c>
      <c r="F76" s="1532">
        <f t="shared" si="12"/>
        <v>3359</v>
      </c>
      <c r="G76" s="1532">
        <f t="shared" si="12"/>
        <v>5650</v>
      </c>
      <c r="H76" s="1532">
        <f t="shared" si="12"/>
        <v>4521</v>
      </c>
      <c r="I76" s="1532">
        <f t="shared" si="12"/>
        <v>8771</v>
      </c>
      <c r="J76" s="1532">
        <f>SUM(J67,J73,J74:J75)</f>
        <v>8092.8480608966402</v>
      </c>
      <c r="K76" s="1532">
        <f>SUM(K67,K73,K74:K75)</f>
        <v>8603.997528794629</v>
      </c>
      <c r="L76" s="1532">
        <f t="shared" si="12"/>
        <v>9181.2880357442118</v>
      </c>
      <c r="M76" s="1433"/>
      <c r="N76" s="1426"/>
    </row>
    <row r="77" spans="1:14" s="1188" customFormat="1" ht="15.75" x14ac:dyDescent="0.25">
      <c r="A77" s="1192"/>
      <c r="B77" s="1434"/>
      <c r="C77" s="1434"/>
      <c r="D77" s="1434"/>
      <c r="E77" s="1434"/>
      <c r="F77" s="1434"/>
      <c r="G77" s="1434"/>
      <c r="H77" s="161"/>
      <c r="I77" s="161"/>
      <c r="J77" s="1435"/>
      <c r="K77" s="1435"/>
      <c r="L77" s="161"/>
      <c r="N77" s="1426"/>
    </row>
    <row r="78" spans="1:14" s="1188" customFormat="1" ht="15.75" x14ac:dyDescent="0.25">
      <c r="A78" s="1199"/>
      <c r="B78" s="1434" t="s">
        <v>6</v>
      </c>
      <c r="C78" s="1434"/>
      <c r="D78" s="1434"/>
      <c r="E78" s="1434"/>
      <c r="F78" s="1434"/>
      <c r="G78" s="1434"/>
      <c r="H78" s="161"/>
      <c r="N78" s="1426"/>
    </row>
    <row r="79" spans="1:14" ht="17.25" customHeight="1" thickBot="1" x14ac:dyDescent="0.3">
      <c r="A79" s="1199"/>
      <c r="B79" s="2853" t="s">
        <v>111</v>
      </c>
      <c r="C79" s="2853"/>
      <c r="D79" s="2853"/>
      <c r="E79" s="2853"/>
      <c r="F79" s="2853"/>
      <c r="G79" s="2853"/>
      <c r="H79" s="2853"/>
      <c r="N79" s="1426"/>
    </row>
    <row r="80" spans="1:14" ht="15.75" thickBot="1" x14ac:dyDescent="0.25">
      <c r="A80" s="1290" t="s">
        <v>10</v>
      </c>
      <c r="B80" s="1436" t="s">
        <v>112</v>
      </c>
      <c r="C80" s="1517">
        <v>0</v>
      </c>
      <c r="D80" s="1517">
        <v>0</v>
      </c>
      <c r="E80" s="1533">
        <v>14</v>
      </c>
      <c r="F80" s="1533">
        <v>30</v>
      </c>
      <c r="G80" s="1533">
        <v>64</v>
      </c>
      <c r="H80" s="1515">
        <v>85</v>
      </c>
      <c r="I80" s="1515">
        <v>175</v>
      </c>
      <c r="J80" s="1515">
        <v>49</v>
      </c>
      <c r="K80" s="1515">
        <v>59</v>
      </c>
      <c r="L80" s="1515">
        <v>72</v>
      </c>
      <c r="N80" s="1426"/>
    </row>
    <row r="81" spans="1:16" s="1292" customFormat="1" ht="16.5" thickBot="1" x14ac:dyDescent="0.3">
      <c r="A81" s="1192"/>
      <c r="B81" s="1438" t="s">
        <v>113</v>
      </c>
      <c r="C81" s="1534">
        <f t="shared" ref="C81:L81" si="13">SUM(C80)</f>
        <v>0</v>
      </c>
      <c r="D81" s="1534">
        <f t="shared" si="13"/>
        <v>0</v>
      </c>
      <c r="E81" s="1534">
        <f t="shared" si="13"/>
        <v>14</v>
      </c>
      <c r="F81" s="1534">
        <f t="shared" si="13"/>
        <v>30</v>
      </c>
      <c r="G81" s="1534">
        <f t="shared" si="13"/>
        <v>64</v>
      </c>
      <c r="H81" s="1534">
        <f t="shared" si="13"/>
        <v>85</v>
      </c>
      <c r="I81" s="1534">
        <f t="shared" si="13"/>
        <v>175</v>
      </c>
      <c r="J81" s="1534">
        <f t="shared" si="13"/>
        <v>49</v>
      </c>
      <c r="K81" s="1534">
        <f t="shared" si="13"/>
        <v>59</v>
      </c>
      <c r="L81" s="1534">
        <f t="shared" si="13"/>
        <v>72</v>
      </c>
      <c r="N81" s="1426"/>
    </row>
    <row r="82" spans="1:16" s="1292" customFormat="1" ht="16.5" thickBot="1" x14ac:dyDescent="0.3">
      <c r="A82" s="1192"/>
      <c r="B82" s="1439" t="s">
        <v>114</v>
      </c>
      <c r="C82" s="1535"/>
      <c r="D82" s="1535"/>
      <c r="E82" s="1535"/>
      <c r="F82" s="1535"/>
      <c r="G82" s="1535"/>
      <c r="H82" s="1536"/>
      <c r="I82" s="1536"/>
      <c r="J82" s="1537"/>
      <c r="K82" s="1536"/>
      <c r="L82" s="1538"/>
      <c r="N82" s="1426"/>
    </row>
    <row r="83" spans="1:16" ht="17.25" customHeight="1" x14ac:dyDescent="0.2">
      <c r="A83" s="1290" t="s">
        <v>10</v>
      </c>
      <c r="B83" s="1337" t="s">
        <v>116</v>
      </c>
      <c r="C83" s="1517">
        <v>0</v>
      </c>
      <c r="D83" s="1517">
        <v>0</v>
      </c>
      <c r="E83" s="1539">
        <v>2</v>
      </c>
      <c r="F83" s="1539">
        <v>18</v>
      </c>
      <c r="G83" s="1539">
        <v>28</v>
      </c>
      <c r="H83" s="1515">
        <v>42</v>
      </c>
      <c r="I83" s="1515">
        <v>154</v>
      </c>
      <c r="J83" s="1515">
        <v>25</v>
      </c>
      <c r="K83" s="1515">
        <v>32</v>
      </c>
      <c r="L83" s="1515">
        <v>40</v>
      </c>
      <c r="N83" s="1426"/>
    </row>
    <row r="84" spans="1:16" ht="17.25" customHeight="1" thickBot="1" x14ac:dyDescent="0.25">
      <c r="A84" s="1290" t="s">
        <v>10</v>
      </c>
      <c r="B84" s="1304" t="s">
        <v>117</v>
      </c>
      <c r="C84" s="1517">
        <v>0</v>
      </c>
      <c r="D84" s="1517">
        <v>0</v>
      </c>
      <c r="E84" s="1540">
        <v>1</v>
      </c>
      <c r="F84" s="1541">
        <v>1</v>
      </c>
      <c r="G84" s="1540">
        <v>3</v>
      </c>
      <c r="H84" s="1542">
        <v>1</v>
      </c>
      <c r="I84" s="1542">
        <v>9</v>
      </c>
      <c r="J84" s="1542">
        <v>12</v>
      </c>
      <c r="K84" s="1542">
        <v>13</v>
      </c>
      <c r="L84" s="1542">
        <v>15</v>
      </c>
      <c r="N84" s="1426"/>
    </row>
    <row r="85" spans="1:16" ht="16.5" thickBot="1" x14ac:dyDescent="0.3">
      <c r="A85" s="1192"/>
      <c r="B85" s="1443" t="s">
        <v>118</v>
      </c>
      <c r="C85" s="1543">
        <f t="shared" ref="C85:I85" si="14">SUM(C83:C84)</f>
        <v>0</v>
      </c>
      <c r="D85" s="1543">
        <f t="shared" si="14"/>
        <v>0</v>
      </c>
      <c r="E85" s="1543">
        <f t="shared" si="14"/>
        <v>3</v>
      </c>
      <c r="F85" s="1544">
        <f t="shared" si="14"/>
        <v>19</v>
      </c>
      <c r="G85" s="1543">
        <f t="shared" si="14"/>
        <v>31</v>
      </c>
      <c r="H85" s="1543">
        <f t="shared" si="14"/>
        <v>43</v>
      </c>
      <c r="I85" s="1543">
        <f t="shared" si="14"/>
        <v>163</v>
      </c>
      <c r="J85" s="1543">
        <f>SUM(J83:J84)</f>
        <v>37</v>
      </c>
      <c r="K85" s="1543">
        <f>SUM(K83:K84)</f>
        <v>45</v>
      </c>
      <c r="L85" s="1543">
        <f>SUM(L83:L84)</f>
        <v>55</v>
      </c>
      <c r="N85" s="1426"/>
    </row>
    <row r="86" spans="1:16" ht="15.75" thickBot="1" x14ac:dyDescent="0.25">
      <c r="A86" s="1290" t="s">
        <v>10</v>
      </c>
      <c r="B86" s="1346" t="s">
        <v>245</v>
      </c>
      <c r="C86" s="1517">
        <v>0</v>
      </c>
      <c r="D86" s="1517">
        <v>0</v>
      </c>
      <c r="E86" s="1517">
        <v>0</v>
      </c>
      <c r="F86" s="1545"/>
      <c r="G86" s="1545"/>
      <c r="H86" s="1546">
        <v>0</v>
      </c>
      <c r="I86" s="1546">
        <v>27</v>
      </c>
      <c r="J86" s="1546">
        <v>10</v>
      </c>
      <c r="K86" s="1546">
        <v>12</v>
      </c>
      <c r="L86" s="1546">
        <v>16</v>
      </c>
      <c r="N86" s="1426"/>
    </row>
    <row r="87" spans="1:16" s="1040" customFormat="1" ht="16.5" thickBot="1" x14ac:dyDescent="0.3">
      <c r="A87" s="1297"/>
      <c r="B87" s="1307" t="s">
        <v>206</v>
      </c>
      <c r="C87" s="1547">
        <f t="shared" ref="C87:L87" si="15">SUM(C81+C85+C86)</f>
        <v>0</v>
      </c>
      <c r="D87" s="1547">
        <f t="shared" si="15"/>
        <v>0</v>
      </c>
      <c r="E87" s="1548">
        <f t="shared" si="15"/>
        <v>17</v>
      </c>
      <c r="F87" s="1548">
        <f t="shared" si="15"/>
        <v>49</v>
      </c>
      <c r="G87" s="1548">
        <f t="shared" si="15"/>
        <v>95</v>
      </c>
      <c r="H87" s="1548">
        <f t="shared" si="15"/>
        <v>128</v>
      </c>
      <c r="I87" s="1548">
        <f t="shared" si="15"/>
        <v>365</v>
      </c>
      <c r="J87" s="1548">
        <f t="shared" si="15"/>
        <v>96</v>
      </c>
      <c r="K87" s="1548">
        <f t="shared" si="15"/>
        <v>116</v>
      </c>
      <c r="L87" s="1548">
        <f t="shared" si="15"/>
        <v>143</v>
      </c>
      <c r="N87" s="1426"/>
    </row>
    <row r="88" spans="1:16" s="1040" customFormat="1" ht="16.5" thickBot="1" x14ac:dyDescent="0.3">
      <c r="A88" s="1297"/>
      <c r="B88" s="1439"/>
      <c r="C88" s="1549"/>
      <c r="D88" s="1549"/>
      <c r="E88" s="1549"/>
      <c r="F88" s="1549"/>
      <c r="G88" s="1549"/>
      <c r="H88" s="1550"/>
      <c r="I88" s="1551"/>
      <c r="J88" s="1552"/>
      <c r="K88" s="1551"/>
      <c r="L88" s="1552"/>
      <c r="N88" s="1426"/>
    </row>
    <row r="89" spans="1:16" s="1292" customFormat="1" ht="16.5" thickBot="1" x14ac:dyDescent="0.3">
      <c r="A89" s="1199"/>
      <c r="B89" s="1553" t="s">
        <v>123</v>
      </c>
      <c r="C89" s="1554"/>
      <c r="D89" s="1555"/>
      <c r="E89" s="1555"/>
      <c r="F89" s="1555"/>
      <c r="G89" s="1555"/>
      <c r="H89" s="1556"/>
      <c r="I89" s="1557"/>
      <c r="J89" s="1558"/>
      <c r="K89" s="1557"/>
      <c r="L89" s="1558"/>
      <c r="M89" s="1559"/>
      <c r="N89" s="1426"/>
    </row>
    <row r="90" spans="1:16" s="1305" customFormat="1" ht="15.75" x14ac:dyDescent="0.25">
      <c r="A90" s="1303"/>
      <c r="B90" s="1499" t="s">
        <v>7</v>
      </c>
      <c r="C90" s="1560">
        <f>C76</f>
        <v>967</v>
      </c>
      <c r="D90" s="1560">
        <f t="shared" ref="D90:L90" si="16">D76</f>
        <v>2589</v>
      </c>
      <c r="E90" s="1560">
        <f t="shared" si="16"/>
        <v>3334</v>
      </c>
      <c r="F90" s="1560">
        <f t="shared" si="16"/>
        <v>3359</v>
      </c>
      <c r="G90" s="1560">
        <f t="shared" si="16"/>
        <v>5650</v>
      </c>
      <c r="H90" s="1560">
        <f t="shared" si="16"/>
        <v>4521</v>
      </c>
      <c r="I90" s="1560">
        <f t="shared" si="16"/>
        <v>8771</v>
      </c>
      <c r="J90" s="1560">
        <f t="shared" si="16"/>
        <v>8092.8480608966402</v>
      </c>
      <c r="K90" s="1560">
        <f t="shared" si="16"/>
        <v>8603.997528794629</v>
      </c>
      <c r="L90" s="1560">
        <f t="shared" si="16"/>
        <v>9181.2880357442118</v>
      </c>
      <c r="M90" s="1502"/>
      <c r="N90" s="1426"/>
      <c r="P90" s="1503"/>
    </row>
    <row r="91" spans="1:16" s="1305" customFormat="1" ht="16.5" thickBot="1" x14ac:dyDescent="0.3">
      <c r="A91" s="1303"/>
      <c r="B91" s="1369" t="s">
        <v>8</v>
      </c>
      <c r="C91" s="1561">
        <f>C87</f>
        <v>0</v>
      </c>
      <c r="D91" s="1561">
        <f t="shared" ref="D91:L91" si="17">D87</f>
        <v>0</v>
      </c>
      <c r="E91" s="1561">
        <f t="shared" si="17"/>
        <v>17</v>
      </c>
      <c r="F91" s="1561">
        <f t="shared" si="17"/>
        <v>49</v>
      </c>
      <c r="G91" s="1561">
        <f t="shared" si="17"/>
        <v>95</v>
      </c>
      <c r="H91" s="1561">
        <f t="shared" si="17"/>
        <v>128</v>
      </c>
      <c r="I91" s="1561">
        <f t="shared" si="17"/>
        <v>365</v>
      </c>
      <c r="J91" s="1561">
        <f t="shared" si="17"/>
        <v>96</v>
      </c>
      <c r="K91" s="1561">
        <f t="shared" si="17"/>
        <v>116</v>
      </c>
      <c r="L91" s="1561">
        <f t="shared" si="17"/>
        <v>143</v>
      </c>
      <c r="M91" s="1502"/>
      <c r="N91" s="1426"/>
    </row>
    <row r="92" spans="1:16" s="1305" customFormat="1" ht="16.5" thickBot="1" x14ac:dyDescent="0.3">
      <c r="A92" s="1199"/>
      <c r="B92" s="1507" t="s">
        <v>12</v>
      </c>
      <c r="C92" s="1562"/>
      <c r="D92" s="1563"/>
      <c r="E92" s="1561"/>
      <c r="F92" s="1564"/>
      <c r="G92" s="1563"/>
      <c r="H92" s="1565"/>
      <c r="I92" s="1563"/>
      <c r="J92" s="1561"/>
      <c r="K92" s="1561"/>
      <c r="L92" s="1565"/>
      <c r="M92" s="1502"/>
      <c r="N92" s="1426"/>
    </row>
    <row r="93" spans="1:16" s="1040" customFormat="1" ht="16.5" thickBot="1" x14ac:dyDescent="0.3">
      <c r="A93" s="1199"/>
      <c r="B93" s="1307" t="s">
        <v>33</v>
      </c>
      <c r="C93" s="1566">
        <f t="shared" ref="C93:K93" si="18">SUM(C90:C92)</f>
        <v>967</v>
      </c>
      <c r="D93" s="1566">
        <f t="shared" si="18"/>
        <v>2589</v>
      </c>
      <c r="E93" s="1566">
        <f t="shared" si="18"/>
        <v>3351</v>
      </c>
      <c r="F93" s="1566">
        <f t="shared" si="18"/>
        <v>3408</v>
      </c>
      <c r="G93" s="1566">
        <f t="shared" si="18"/>
        <v>5745</v>
      </c>
      <c r="H93" s="1566">
        <f t="shared" si="18"/>
        <v>4649</v>
      </c>
      <c r="I93" s="1567">
        <f t="shared" si="18"/>
        <v>9136</v>
      </c>
      <c r="J93" s="1567">
        <f t="shared" si="18"/>
        <v>8188.8480608966402</v>
      </c>
      <c r="K93" s="1567">
        <f t="shared" si="18"/>
        <v>8719.997528794629</v>
      </c>
      <c r="L93" s="1567">
        <f>SUM(L90:L92)</f>
        <v>9324.2880357442118</v>
      </c>
      <c r="N93" s="1426"/>
    </row>
    <row r="94" spans="1:16" x14ac:dyDescent="0.2">
      <c r="C94" s="1568"/>
      <c r="D94" s="1568"/>
      <c r="E94" s="1569"/>
      <c r="F94" s="1569"/>
      <c r="G94" s="1569"/>
      <c r="H94" s="1569"/>
      <c r="I94" s="1569"/>
      <c r="J94" s="1569"/>
      <c r="K94" s="1569"/>
      <c r="L94" s="1569"/>
    </row>
  </sheetData>
  <mergeCells count="8">
    <mergeCell ref="B60:L60"/>
    <mergeCell ref="B79:H79"/>
    <mergeCell ref="B2:L2"/>
    <mergeCell ref="B3:L3"/>
    <mergeCell ref="B4:L4"/>
    <mergeCell ref="B18:H18"/>
    <mergeCell ref="B58:L58"/>
    <mergeCell ref="B59:L59"/>
  </mergeCells>
  <printOptions horizontalCentered="1" verticalCentered="1"/>
  <pageMargins left="0.5" right="0.5" top="0.22" bottom="1.18" header="0.22" footer="0.23"/>
  <pageSetup scale="60" orientation="landscape" r:id="rId1"/>
  <headerFooter alignWithMargins="0">
    <oddFooter>&amp;R&amp;14
&amp;C&amp;"Arial"&amp;11&amp;K000000
Totals may vary due to rounding_x000D_&amp;1#&amp;"Calibri"&amp;12&amp;K008000Internal Use</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indexed="11"/>
  </sheetPr>
  <dimension ref="A1:P94"/>
  <sheetViews>
    <sheetView zoomScale="75" workbookViewId="0">
      <pane xSplit="2" ySplit="10" topLeftCell="I44" activePane="bottomRight" state="frozen"/>
      <selection activeCell="L55" sqref="L55"/>
      <selection pane="topRight" activeCell="L55" sqref="L55"/>
      <selection pane="bottomLeft" activeCell="L55" sqref="L55"/>
      <selection pane="bottomRight" activeCell="L55" sqref="L55"/>
    </sheetView>
  </sheetViews>
  <sheetFormatPr defaultRowHeight="12.75" x14ac:dyDescent="0.2"/>
  <cols>
    <col min="1" max="1" width="4.5703125" style="1039" customWidth="1"/>
    <col min="2" max="2" width="60.7109375" style="1039" customWidth="1"/>
    <col min="3" max="3" width="23.85546875" style="1188" customWidth="1"/>
    <col min="4" max="4" width="21.140625" style="1188" customWidth="1"/>
    <col min="5" max="5" width="21.140625" style="1039" customWidth="1"/>
    <col min="6" max="6" width="20.42578125" style="1039" customWidth="1"/>
    <col min="7" max="7" width="21" style="1039" customWidth="1"/>
    <col min="8" max="8" width="20.85546875" style="1039" customWidth="1"/>
    <col min="9" max="9" width="20.7109375" style="1039" customWidth="1"/>
    <col min="10" max="10" width="23.85546875" style="1039" bestFit="1" customWidth="1"/>
    <col min="11" max="11" width="20.85546875" style="1039" customWidth="1"/>
    <col min="12" max="12" width="20.7109375" style="1039" customWidth="1"/>
    <col min="13" max="13" width="9.140625" style="1039"/>
    <col min="14" max="14" width="23.140625" style="1039" customWidth="1"/>
    <col min="15" max="15" width="9.140625" style="1039"/>
    <col min="16" max="16" width="12.5703125" style="1039" customWidth="1"/>
    <col min="17" max="16384" width="9.140625" style="1039"/>
  </cols>
  <sheetData>
    <row r="1" spans="1:14" ht="23.25" x14ac:dyDescent="0.35">
      <c r="B1" s="1279"/>
      <c r="C1" s="1413"/>
      <c r="D1" s="1413"/>
      <c r="E1" s="1279"/>
      <c r="F1" s="1279"/>
      <c r="G1" s="1279"/>
      <c r="H1" s="1279"/>
    </row>
    <row r="2" spans="1:14" ht="20.25" customHeight="1" x14ac:dyDescent="0.3">
      <c r="B2" s="2946" t="s">
        <v>425</v>
      </c>
      <c r="C2" s="2946"/>
      <c r="D2" s="2946"/>
      <c r="E2" s="2946"/>
      <c r="F2" s="2946"/>
      <c r="G2" s="2946"/>
      <c r="H2" s="2946"/>
      <c r="I2" s="2946"/>
      <c r="J2" s="2946"/>
      <c r="K2" s="2946"/>
      <c r="L2" s="2946"/>
    </row>
    <row r="3" spans="1:14" ht="20.25" customHeight="1" x14ac:dyDescent="0.3">
      <c r="A3" s="1188"/>
      <c r="B3" s="2946" t="s">
        <v>426</v>
      </c>
      <c r="C3" s="2946"/>
      <c r="D3" s="2946"/>
      <c r="E3" s="2946"/>
      <c r="F3" s="2946"/>
      <c r="G3" s="2946"/>
      <c r="H3" s="2946"/>
      <c r="I3" s="2946"/>
      <c r="J3" s="2946"/>
      <c r="K3" s="2946"/>
      <c r="L3" s="2946"/>
    </row>
    <row r="4" spans="1:14" ht="20.25" customHeight="1" x14ac:dyDescent="0.3">
      <c r="A4" s="1188"/>
      <c r="B4" s="2946" t="s">
        <v>427</v>
      </c>
      <c r="C4" s="2946"/>
      <c r="D4" s="2946"/>
      <c r="E4" s="2946"/>
      <c r="F4" s="2946"/>
      <c r="G4" s="2946"/>
      <c r="H4" s="2946"/>
      <c r="I4" s="2946"/>
      <c r="J4" s="2946"/>
      <c r="K4" s="2946"/>
      <c r="L4" s="2946"/>
    </row>
    <row r="5" spans="1:14" ht="20.25" customHeight="1" thickBot="1" x14ac:dyDescent="0.35">
      <c r="A5" s="1188"/>
      <c r="B5" s="1280"/>
      <c r="C5" s="1414"/>
      <c r="D5" s="1414"/>
      <c r="E5" s="1280"/>
      <c r="F5" s="1280"/>
      <c r="G5" s="1280"/>
      <c r="H5" s="1280"/>
      <c r="I5" s="1415"/>
      <c r="J5" s="1415"/>
      <c r="K5" s="1415"/>
      <c r="L5" s="1415"/>
    </row>
    <row r="6" spans="1:14" s="1417" customFormat="1" ht="17.25" customHeight="1" x14ac:dyDescent="0.25">
      <c r="A6" s="1192"/>
      <c r="B6" s="1281"/>
      <c r="C6" s="1416">
        <v>2006</v>
      </c>
      <c r="D6" s="1416">
        <v>2007</v>
      </c>
      <c r="E6" s="1416">
        <v>2008</v>
      </c>
      <c r="F6" s="1416">
        <v>2009</v>
      </c>
      <c r="G6" s="1416">
        <v>2010</v>
      </c>
      <c r="H6" s="1416">
        <v>2011</v>
      </c>
      <c r="I6" s="1416">
        <v>2012</v>
      </c>
      <c r="J6" s="1416">
        <v>2013</v>
      </c>
      <c r="K6" s="1416">
        <v>2014</v>
      </c>
      <c r="L6" s="1416">
        <v>2015</v>
      </c>
    </row>
    <row r="7" spans="1:14" ht="17.25" customHeight="1" x14ac:dyDescent="0.25">
      <c r="A7" s="1192"/>
      <c r="B7" s="1282"/>
      <c r="C7" s="1418" t="s">
        <v>186</v>
      </c>
      <c r="D7" s="1418" t="s">
        <v>186</v>
      </c>
      <c r="E7" s="1418" t="s">
        <v>186</v>
      </c>
      <c r="F7" s="1418" t="s">
        <v>186</v>
      </c>
      <c r="G7" s="1418" t="s">
        <v>186</v>
      </c>
      <c r="H7" s="1419" t="s">
        <v>186</v>
      </c>
      <c r="I7" s="1419" t="s">
        <v>331</v>
      </c>
      <c r="J7" s="1419" t="s">
        <v>287</v>
      </c>
      <c r="K7" s="1419" t="s">
        <v>287</v>
      </c>
      <c r="L7" s="1419" t="s">
        <v>287</v>
      </c>
    </row>
    <row r="8" spans="1:14" ht="16.5" customHeight="1" x14ac:dyDescent="0.25">
      <c r="A8" s="1192"/>
      <c r="B8" s="1283" t="s">
        <v>428</v>
      </c>
      <c r="C8" s="1419"/>
      <c r="D8" s="1419"/>
      <c r="E8" s="1419"/>
      <c r="F8" s="1419"/>
      <c r="G8" s="1419"/>
      <c r="H8" s="1419"/>
      <c r="I8" s="1419"/>
      <c r="J8" s="1419"/>
      <c r="K8" s="1419"/>
      <c r="L8" s="1419"/>
    </row>
    <row r="9" spans="1:14" ht="39" customHeight="1" thickBot="1" x14ac:dyDescent="0.3">
      <c r="A9" s="1192"/>
      <c r="B9" s="1284"/>
      <c r="C9" s="1420"/>
      <c r="D9" s="1421"/>
      <c r="E9" s="1421"/>
      <c r="F9" s="1421"/>
      <c r="G9" s="1421"/>
      <c r="H9" s="1422"/>
      <c r="I9" s="1422" t="s">
        <v>408</v>
      </c>
      <c r="J9" s="1422" t="s">
        <v>408</v>
      </c>
      <c r="K9" s="1422" t="s">
        <v>408</v>
      </c>
      <c r="L9" s="1422" t="s">
        <v>408</v>
      </c>
    </row>
    <row r="10" spans="1:14" s="1199" customFormat="1" ht="17.25" customHeight="1" thickBot="1" x14ac:dyDescent="0.3">
      <c r="A10" s="1192"/>
      <c r="B10" s="697" t="s">
        <v>115</v>
      </c>
      <c r="C10" s="697"/>
      <c r="D10" s="697"/>
      <c r="E10" s="697"/>
      <c r="F10" s="697"/>
      <c r="G10" s="697"/>
      <c r="H10" s="698"/>
      <c r="I10" s="1188"/>
      <c r="J10" s="1188"/>
      <c r="K10" s="1188"/>
      <c r="L10" s="1188"/>
    </row>
    <row r="11" spans="1:14" s="1192" customFormat="1" ht="15" x14ac:dyDescent="0.2">
      <c r="A11" s="1285" t="s">
        <v>3</v>
      </c>
      <c r="B11" s="1293" t="s">
        <v>222</v>
      </c>
      <c r="C11" s="1423">
        <v>408975</v>
      </c>
      <c r="D11" s="1423">
        <v>498521</v>
      </c>
      <c r="E11" s="1423">
        <v>712801</v>
      </c>
      <c r="F11" s="1423">
        <v>951741</v>
      </c>
      <c r="G11" s="1423">
        <v>1054952</v>
      </c>
      <c r="H11" s="770">
        <v>1894261</v>
      </c>
      <c r="I11" s="770">
        <v>2216500</v>
      </c>
      <c r="J11" s="770">
        <v>2429000</v>
      </c>
      <c r="K11" s="770">
        <v>2545500</v>
      </c>
      <c r="L11" s="771">
        <v>2662000</v>
      </c>
      <c r="N11" s="1424"/>
    </row>
    <row r="12" spans="1:14" s="1188" customFormat="1" ht="15" x14ac:dyDescent="0.2">
      <c r="A12" s="1285" t="s">
        <v>9</v>
      </c>
      <c r="B12" s="1288" t="s">
        <v>149</v>
      </c>
      <c r="C12" s="1425">
        <v>94816</v>
      </c>
      <c r="D12" s="1425">
        <v>510401</v>
      </c>
      <c r="E12" s="1425">
        <v>796046</v>
      </c>
      <c r="F12" s="1425">
        <v>515716</v>
      </c>
      <c r="G12" s="1425">
        <v>1311466</v>
      </c>
      <c r="H12" s="760">
        <v>1197146</v>
      </c>
      <c r="I12" s="760">
        <v>3101859</v>
      </c>
      <c r="J12" s="760">
        <v>3635000</v>
      </c>
      <c r="K12" s="760">
        <v>4062000</v>
      </c>
      <c r="L12" s="772">
        <v>4592000</v>
      </c>
      <c r="N12" s="1426"/>
    </row>
    <row r="13" spans="1:14" s="1188" customFormat="1" ht="15" x14ac:dyDescent="0.2">
      <c r="A13" s="1285" t="s">
        <v>9</v>
      </c>
      <c r="B13" s="1288" t="s">
        <v>227</v>
      </c>
      <c r="C13" s="1427"/>
      <c r="D13" s="1427"/>
      <c r="E13" s="1427"/>
      <c r="F13" s="1427">
        <v>314517</v>
      </c>
      <c r="G13" s="1427">
        <v>439898</v>
      </c>
      <c r="H13" s="760">
        <v>769583</v>
      </c>
      <c r="I13" s="760">
        <v>600000</v>
      </c>
      <c r="J13" s="760">
        <v>650000</v>
      </c>
      <c r="K13" s="760">
        <v>770000</v>
      </c>
      <c r="L13" s="772">
        <v>939000</v>
      </c>
      <c r="M13" s="1428"/>
      <c r="N13" s="1426"/>
    </row>
    <row r="14" spans="1:14" s="1188" customFormat="1" ht="15.75" thickBot="1" x14ac:dyDescent="0.25">
      <c r="A14" s="1285" t="s">
        <v>9</v>
      </c>
      <c r="B14" s="1327" t="s">
        <v>110</v>
      </c>
      <c r="C14" s="1429"/>
      <c r="D14" s="1429"/>
      <c r="E14" s="1429">
        <v>62859</v>
      </c>
      <c r="F14" s="1429">
        <v>104091</v>
      </c>
      <c r="G14" s="1429">
        <v>60847</v>
      </c>
      <c r="H14" s="773">
        <v>49946</v>
      </c>
      <c r="I14" s="773">
        <v>70000</v>
      </c>
      <c r="J14" s="773">
        <v>70000</v>
      </c>
      <c r="K14" s="773">
        <v>83000</v>
      </c>
      <c r="L14" s="774">
        <v>102000</v>
      </c>
      <c r="N14" s="1426"/>
    </row>
    <row r="15" spans="1:14" ht="16.5" thickBot="1" x14ac:dyDescent="0.3">
      <c r="A15" s="1192"/>
      <c r="B15" s="1430" t="s">
        <v>30</v>
      </c>
      <c r="C15" s="1431">
        <f>SUM(C11:C14)</f>
        <v>503791</v>
      </c>
      <c r="D15" s="1431">
        <f t="shared" ref="D15:I15" si="0">SUM(D11:D14)</f>
        <v>1008922</v>
      </c>
      <c r="E15" s="1431">
        <f t="shared" si="0"/>
        <v>1571706</v>
      </c>
      <c r="F15" s="1431">
        <f t="shared" si="0"/>
        <v>1886065</v>
      </c>
      <c r="G15" s="1431">
        <f t="shared" si="0"/>
        <v>2867163</v>
      </c>
      <c r="H15" s="1431">
        <f t="shared" si="0"/>
        <v>3910936</v>
      </c>
      <c r="I15" s="1431">
        <f t="shared" si="0"/>
        <v>5988359</v>
      </c>
      <c r="J15" s="1431">
        <f>SUM(J11:J14)</f>
        <v>6784000</v>
      </c>
      <c r="K15" s="1431">
        <f>SUM(K11:K14)</f>
        <v>7460500</v>
      </c>
      <c r="L15" s="1432">
        <f>SUM(L11:L14)</f>
        <v>8295000</v>
      </c>
      <c r="M15" s="1433"/>
      <c r="N15" s="1426"/>
    </row>
    <row r="16" spans="1:14" s="1188" customFormat="1" ht="15.75" x14ac:dyDescent="0.25">
      <c r="A16" s="1192"/>
      <c r="B16" s="1434"/>
      <c r="C16" s="1434"/>
      <c r="D16" s="1434"/>
      <c r="E16" s="1434"/>
      <c r="F16" s="1434"/>
      <c r="G16" s="1434"/>
      <c r="H16" s="161"/>
      <c r="I16" s="161"/>
      <c r="J16" s="1435"/>
      <c r="K16" s="1435"/>
      <c r="L16" s="161"/>
      <c r="N16" s="1426"/>
    </row>
    <row r="17" spans="1:14" s="1188" customFormat="1" ht="15.75" x14ac:dyDescent="0.25">
      <c r="A17" s="1199"/>
      <c r="B17" s="1434" t="s">
        <v>6</v>
      </c>
      <c r="C17" s="1434"/>
      <c r="D17" s="1434"/>
      <c r="E17" s="1434"/>
      <c r="F17" s="1434"/>
      <c r="G17" s="1434"/>
      <c r="H17" s="161"/>
      <c r="N17" s="1426"/>
    </row>
    <row r="18" spans="1:14" ht="17.25" customHeight="1" thickBot="1" x14ac:dyDescent="0.3">
      <c r="A18" s="1199"/>
      <c r="B18" s="2853" t="s">
        <v>111</v>
      </c>
      <c r="C18" s="2853"/>
      <c r="D18" s="2853"/>
      <c r="E18" s="2853"/>
      <c r="F18" s="2853"/>
      <c r="G18" s="2853"/>
      <c r="H18" s="2853"/>
      <c r="N18" s="1426"/>
    </row>
    <row r="19" spans="1:14" ht="15.75" thickBot="1" x14ac:dyDescent="0.25">
      <c r="A19" s="1290" t="s">
        <v>10</v>
      </c>
      <c r="B19" s="1436" t="s">
        <v>112</v>
      </c>
      <c r="C19" s="1437"/>
      <c r="D19" s="1437"/>
      <c r="E19" s="1437">
        <v>390328</v>
      </c>
      <c r="F19" s="1437">
        <v>804505</v>
      </c>
      <c r="G19" s="1437">
        <v>1001519</v>
      </c>
      <c r="H19" s="214">
        <v>2014498</v>
      </c>
      <c r="I19" s="214">
        <v>3136612</v>
      </c>
      <c r="J19" s="214">
        <v>2009000</v>
      </c>
      <c r="K19" s="214">
        <v>2402000</v>
      </c>
      <c r="L19" s="214">
        <v>2944000</v>
      </c>
      <c r="N19" s="1426"/>
    </row>
    <row r="20" spans="1:14" s="1292" customFormat="1" ht="16.5" thickBot="1" x14ac:dyDescent="0.3">
      <c r="A20" s="1192"/>
      <c r="B20" s="1438" t="s">
        <v>113</v>
      </c>
      <c r="C20" s="215">
        <f t="shared" ref="C20:L20" si="1">SUM(C19)</f>
        <v>0</v>
      </c>
      <c r="D20" s="215">
        <f t="shared" si="1"/>
        <v>0</v>
      </c>
      <c r="E20" s="215">
        <f t="shared" si="1"/>
        <v>390328</v>
      </c>
      <c r="F20" s="215">
        <f t="shared" si="1"/>
        <v>804505</v>
      </c>
      <c r="G20" s="215">
        <f t="shared" si="1"/>
        <v>1001519</v>
      </c>
      <c r="H20" s="215">
        <f t="shared" si="1"/>
        <v>2014498</v>
      </c>
      <c r="I20" s="215">
        <f t="shared" si="1"/>
        <v>3136612</v>
      </c>
      <c r="J20" s="215">
        <f t="shared" si="1"/>
        <v>2009000</v>
      </c>
      <c r="K20" s="215">
        <f t="shared" si="1"/>
        <v>2402000</v>
      </c>
      <c r="L20" s="215">
        <f t="shared" si="1"/>
        <v>2944000</v>
      </c>
      <c r="N20" s="1426"/>
    </row>
    <row r="21" spans="1:14" s="1292" customFormat="1" ht="16.5" thickBot="1" x14ac:dyDescent="0.3">
      <c r="A21" s="1192"/>
      <c r="B21" s="1439" t="s">
        <v>114</v>
      </c>
      <c r="C21" s="1439"/>
      <c r="D21" s="1439"/>
      <c r="E21" s="1439"/>
      <c r="F21" s="1439"/>
      <c r="G21" s="1439"/>
      <c r="J21" s="1440"/>
      <c r="L21" s="1441"/>
      <c r="N21" s="1426"/>
    </row>
    <row r="22" spans="1:14" ht="17.25" customHeight="1" x14ac:dyDescent="0.2">
      <c r="A22" s="1290" t="s">
        <v>10</v>
      </c>
      <c r="B22" s="1293" t="s">
        <v>116</v>
      </c>
      <c r="C22" s="1442"/>
      <c r="D22" s="1442"/>
      <c r="E22" s="1442">
        <v>49283</v>
      </c>
      <c r="F22" s="1442">
        <v>1045286</v>
      </c>
      <c r="G22" s="1442">
        <v>491898</v>
      </c>
      <c r="H22" s="770">
        <v>1599794</v>
      </c>
      <c r="I22" s="770">
        <v>2474834</v>
      </c>
      <c r="J22" s="770">
        <v>1375000</v>
      </c>
      <c r="K22" s="770">
        <v>1691000</v>
      </c>
      <c r="L22" s="771">
        <v>2105000</v>
      </c>
      <c r="N22" s="1426"/>
    </row>
    <row r="23" spans="1:14" ht="17.25" customHeight="1" thickBot="1" x14ac:dyDescent="0.25">
      <c r="A23" s="1290" t="s">
        <v>10</v>
      </c>
      <c r="B23" s="1327" t="s">
        <v>117</v>
      </c>
      <c r="C23" s="1429"/>
      <c r="D23" s="1429"/>
      <c r="E23" s="1429">
        <v>69129</v>
      </c>
      <c r="F23" s="1429">
        <v>17886</v>
      </c>
      <c r="G23" s="1429">
        <v>123338</v>
      </c>
      <c r="H23" s="773">
        <v>25478</v>
      </c>
      <c r="I23" s="773">
        <v>324548</v>
      </c>
      <c r="J23" s="773">
        <v>360000</v>
      </c>
      <c r="K23" s="773">
        <v>399000</v>
      </c>
      <c r="L23" s="774">
        <v>454000</v>
      </c>
      <c r="N23" s="1426"/>
    </row>
    <row r="24" spans="1:14" ht="16.5" thickBot="1" x14ac:dyDescent="0.3">
      <c r="A24" s="1192"/>
      <c r="B24" s="1443" t="s">
        <v>118</v>
      </c>
      <c r="C24" s="1444">
        <f t="shared" ref="C24:L24" si="2">SUM(C22:C23)</f>
        <v>0</v>
      </c>
      <c r="D24" s="1444">
        <f t="shared" si="2"/>
        <v>0</v>
      </c>
      <c r="E24" s="1444">
        <f t="shared" si="2"/>
        <v>118412</v>
      </c>
      <c r="F24" s="1445">
        <f t="shared" si="2"/>
        <v>1063172</v>
      </c>
      <c r="G24" s="1444">
        <f t="shared" si="2"/>
        <v>615236</v>
      </c>
      <c r="H24" s="1444">
        <f t="shared" si="2"/>
        <v>1625272</v>
      </c>
      <c r="I24" s="1444">
        <f t="shared" si="2"/>
        <v>2799382</v>
      </c>
      <c r="J24" s="1444">
        <f t="shared" si="2"/>
        <v>1735000</v>
      </c>
      <c r="K24" s="1444">
        <f t="shared" si="2"/>
        <v>2090000</v>
      </c>
      <c r="L24" s="1444">
        <f t="shared" si="2"/>
        <v>2559000</v>
      </c>
      <c r="N24" s="1426"/>
    </row>
    <row r="25" spans="1:14" ht="15.75" thickBot="1" x14ac:dyDescent="0.25">
      <c r="A25" s="1290" t="s">
        <v>10</v>
      </c>
      <c r="B25" s="1346" t="s">
        <v>245</v>
      </c>
      <c r="C25" s="1446"/>
      <c r="D25" s="1446"/>
      <c r="E25" s="1446"/>
      <c r="F25" s="1446"/>
      <c r="G25" s="1446"/>
      <c r="H25" s="699"/>
      <c r="I25" s="699">
        <v>246081</v>
      </c>
      <c r="J25" s="214">
        <v>147000</v>
      </c>
      <c r="K25" s="214">
        <v>175000</v>
      </c>
      <c r="L25" s="214">
        <v>223000</v>
      </c>
      <c r="N25" s="1426"/>
    </row>
    <row r="26" spans="1:14" s="1040" customFormat="1" ht="16.5" thickBot="1" x14ac:dyDescent="0.3">
      <c r="A26" s="1297"/>
      <c r="B26" s="1307" t="s">
        <v>206</v>
      </c>
      <c r="C26" s="1447">
        <f t="shared" ref="C26:L26" si="3">SUM(C20+C24+C25)</f>
        <v>0</v>
      </c>
      <c r="D26" s="1447">
        <f t="shared" si="3"/>
        <v>0</v>
      </c>
      <c r="E26" s="101">
        <f t="shared" si="3"/>
        <v>508740</v>
      </c>
      <c r="F26" s="101">
        <f t="shared" si="3"/>
        <v>1867677</v>
      </c>
      <c r="G26" s="101">
        <f t="shared" si="3"/>
        <v>1616755</v>
      </c>
      <c r="H26" s="101">
        <f t="shared" si="3"/>
        <v>3639770</v>
      </c>
      <c r="I26" s="101">
        <f t="shared" si="3"/>
        <v>6182075</v>
      </c>
      <c r="J26" s="101">
        <f t="shared" si="3"/>
        <v>3891000</v>
      </c>
      <c r="K26" s="101">
        <f t="shared" si="3"/>
        <v>4667000</v>
      </c>
      <c r="L26" s="101">
        <f t="shared" si="3"/>
        <v>5726000</v>
      </c>
      <c r="N26" s="1426"/>
    </row>
    <row r="27" spans="1:14" s="1040" customFormat="1" ht="16.5" thickBot="1" x14ac:dyDescent="0.3">
      <c r="A27" s="1297"/>
      <c r="B27" s="1439"/>
      <c r="C27" s="1439"/>
      <c r="D27" s="1439"/>
      <c r="E27" s="1439"/>
      <c r="F27" s="1439"/>
      <c r="G27" s="1439"/>
      <c r="H27" s="161"/>
      <c r="I27" s="1448"/>
      <c r="J27" s="1448"/>
      <c r="K27" s="1448"/>
      <c r="L27" s="1448"/>
      <c r="N27" s="1426"/>
    </row>
    <row r="28" spans="1:14" s="1040" customFormat="1" ht="16.5" thickBot="1" x14ac:dyDescent="0.3">
      <c r="A28" s="1297"/>
      <c r="B28" s="1449" t="s">
        <v>335</v>
      </c>
      <c r="C28" s="1450"/>
      <c r="D28" s="1450"/>
      <c r="E28" s="1451"/>
      <c r="F28" s="1452"/>
      <c r="G28" s="1452"/>
      <c r="H28" s="1453"/>
      <c r="I28" s="1454"/>
      <c r="J28" s="1454"/>
      <c r="K28" s="1454"/>
      <c r="L28" s="1455"/>
      <c r="N28" s="1426"/>
    </row>
    <row r="29" spans="1:14" s="1040" customFormat="1" ht="15.75" x14ac:dyDescent="0.25">
      <c r="A29" s="1297"/>
      <c r="B29" s="1295" t="s">
        <v>336</v>
      </c>
      <c r="C29" s="1456"/>
      <c r="D29" s="1456"/>
      <c r="E29" s="1456"/>
      <c r="F29" s="1457"/>
      <c r="G29" s="1457"/>
      <c r="H29" s="1458"/>
      <c r="I29" s="1459"/>
      <c r="J29" s="1460">
        <v>150000</v>
      </c>
      <c r="K29" s="1460">
        <v>150000</v>
      </c>
      <c r="L29" s="1461">
        <v>150000</v>
      </c>
      <c r="N29" s="1426"/>
    </row>
    <row r="30" spans="1:14" s="1040" customFormat="1" ht="16.5" thickBot="1" x14ac:dyDescent="0.3">
      <c r="A30" s="1297"/>
      <c r="B30" s="1360" t="s">
        <v>411</v>
      </c>
      <c r="C30" s="1462"/>
      <c r="D30" s="1462"/>
      <c r="E30" s="1462"/>
      <c r="F30" s="1462"/>
      <c r="G30" s="1462"/>
      <c r="H30" s="1463"/>
      <c r="I30" s="1464"/>
      <c r="J30" s="1465">
        <v>50000</v>
      </c>
      <c r="K30" s="1465">
        <v>50000</v>
      </c>
      <c r="L30" s="1466">
        <v>50000</v>
      </c>
      <c r="N30" s="1426"/>
    </row>
    <row r="31" spans="1:14" s="1040" customFormat="1" ht="16.5" thickBot="1" x14ac:dyDescent="0.3">
      <c r="A31" s="1297"/>
      <c r="B31" s="1863" t="s">
        <v>337</v>
      </c>
      <c r="C31" s="1864">
        <f>SUM(C29:C30)</f>
        <v>0</v>
      </c>
      <c r="D31" s="1864">
        <f t="shared" ref="D31:L31" si="4">SUM(D29:D30)</f>
        <v>0</v>
      </c>
      <c r="E31" s="1864">
        <f t="shared" si="4"/>
        <v>0</v>
      </c>
      <c r="F31" s="1864">
        <f t="shared" si="4"/>
        <v>0</v>
      </c>
      <c r="G31" s="1864">
        <f t="shared" si="4"/>
        <v>0</v>
      </c>
      <c r="H31" s="1864">
        <f t="shared" si="4"/>
        <v>0</v>
      </c>
      <c r="I31" s="1864">
        <f t="shared" si="4"/>
        <v>0</v>
      </c>
      <c r="J31" s="1864">
        <f t="shared" si="4"/>
        <v>200000</v>
      </c>
      <c r="K31" s="1864">
        <f t="shared" si="4"/>
        <v>200000</v>
      </c>
      <c r="L31" s="1865">
        <f t="shared" si="4"/>
        <v>200000</v>
      </c>
      <c r="N31" s="1426"/>
    </row>
    <row r="32" spans="1:14" s="1040" customFormat="1" ht="15.75" x14ac:dyDescent="0.25">
      <c r="A32" s="1297"/>
      <c r="B32" s="1439"/>
      <c r="C32" s="1439"/>
      <c r="D32" s="1439"/>
      <c r="E32" s="1439"/>
      <c r="F32" s="1439"/>
      <c r="G32" s="1439"/>
      <c r="H32" s="161"/>
      <c r="I32" s="1866"/>
      <c r="J32" s="1866"/>
      <c r="K32" s="1866"/>
      <c r="L32" s="1866"/>
      <c r="N32" s="1426"/>
    </row>
    <row r="33" spans="1:14" ht="16.5" thickBot="1" x14ac:dyDescent="0.3">
      <c r="A33" s="1192"/>
      <c r="B33" s="1439" t="s">
        <v>108</v>
      </c>
      <c r="C33" s="1439"/>
      <c r="D33" s="1439"/>
      <c r="E33" s="1439"/>
      <c r="F33" s="1439"/>
      <c r="G33" s="1439"/>
      <c r="H33" s="146"/>
      <c r="I33" s="1199"/>
      <c r="J33" s="1199"/>
      <c r="K33" s="1199"/>
      <c r="L33" s="1199"/>
      <c r="M33" s="1199"/>
      <c r="N33" s="1426"/>
    </row>
    <row r="34" spans="1:14" s="1188" customFormat="1" ht="15.75" x14ac:dyDescent="0.2">
      <c r="A34" s="1287" t="s">
        <v>9</v>
      </c>
      <c r="B34" s="1299" t="s">
        <v>147</v>
      </c>
      <c r="C34" s="1468">
        <v>63935</v>
      </c>
      <c r="D34" s="1468">
        <v>41905</v>
      </c>
      <c r="E34" s="1469">
        <v>43478</v>
      </c>
      <c r="F34" s="1468">
        <v>55386</v>
      </c>
      <c r="G34" s="1468">
        <v>67085</v>
      </c>
      <c r="H34" s="770">
        <v>66744</v>
      </c>
      <c r="I34" s="770">
        <v>75000</v>
      </c>
      <c r="J34" s="770">
        <v>75000</v>
      </c>
      <c r="K34" s="770">
        <v>89000</v>
      </c>
      <c r="L34" s="771">
        <v>109000</v>
      </c>
      <c r="M34" s="1192"/>
      <c r="N34" s="1426"/>
    </row>
    <row r="35" spans="1:14" s="1188" customFormat="1" ht="15" x14ac:dyDescent="0.2">
      <c r="A35" s="1287" t="s">
        <v>9</v>
      </c>
      <c r="B35" s="1300" t="s">
        <v>178</v>
      </c>
      <c r="C35" s="1470"/>
      <c r="D35" s="1470"/>
      <c r="E35" s="1471"/>
      <c r="F35" s="1470"/>
      <c r="G35" s="1470"/>
      <c r="H35" s="760"/>
      <c r="I35" s="760">
        <v>135000</v>
      </c>
      <c r="J35" s="760">
        <v>100000</v>
      </c>
      <c r="K35" s="760">
        <v>119000</v>
      </c>
      <c r="L35" s="772">
        <v>145000</v>
      </c>
      <c r="M35" s="1192"/>
      <c r="N35" s="1426"/>
    </row>
    <row r="36" spans="1:14" s="1188" customFormat="1" ht="16.5" thickBot="1" x14ac:dyDescent="0.25">
      <c r="A36" s="1287" t="s">
        <v>10</v>
      </c>
      <c r="B36" s="1867" t="s">
        <v>179</v>
      </c>
      <c r="C36" s="1868"/>
      <c r="D36" s="1868">
        <v>11288</v>
      </c>
      <c r="E36" s="1869"/>
      <c r="F36" s="1868"/>
      <c r="G36" s="1868"/>
      <c r="H36" s="773"/>
      <c r="I36" s="773">
        <v>75000</v>
      </c>
      <c r="J36" s="773">
        <v>75000</v>
      </c>
      <c r="K36" s="773">
        <v>89000</v>
      </c>
      <c r="L36" s="774">
        <v>109000</v>
      </c>
      <c r="M36" s="1192"/>
      <c r="N36" s="1426"/>
    </row>
    <row r="37" spans="1:14" s="1040" customFormat="1" ht="16.5" thickBot="1" x14ac:dyDescent="0.3">
      <c r="A37" s="1297"/>
      <c r="B37" s="1475" t="s">
        <v>119</v>
      </c>
      <c r="C37" s="1476">
        <f t="shared" ref="C37:L37" si="5">SUM(C34:C36)</f>
        <v>63935</v>
      </c>
      <c r="D37" s="1476">
        <f t="shared" si="5"/>
        <v>53193</v>
      </c>
      <c r="E37" s="928">
        <f t="shared" si="5"/>
        <v>43478</v>
      </c>
      <c r="F37" s="928">
        <f t="shared" si="5"/>
        <v>55386</v>
      </c>
      <c r="G37" s="928">
        <f t="shared" si="5"/>
        <v>67085</v>
      </c>
      <c r="H37" s="928">
        <f t="shared" si="5"/>
        <v>66744</v>
      </c>
      <c r="I37" s="928">
        <f t="shared" si="5"/>
        <v>285000</v>
      </c>
      <c r="J37" s="928">
        <f t="shared" si="5"/>
        <v>250000</v>
      </c>
      <c r="K37" s="928">
        <f t="shared" si="5"/>
        <v>297000</v>
      </c>
      <c r="L37" s="929">
        <f t="shared" si="5"/>
        <v>363000</v>
      </c>
      <c r="N37" s="1426"/>
    </row>
    <row r="38" spans="1:14" s="1040" customFormat="1" ht="16.5" thickBot="1" x14ac:dyDescent="0.3">
      <c r="A38" s="1297"/>
      <c r="B38" s="1439"/>
      <c r="C38" s="1439"/>
      <c r="D38" s="1439"/>
      <c r="E38" s="1439"/>
      <c r="F38" s="1439"/>
      <c r="G38" s="1439"/>
      <c r="H38" s="1297"/>
      <c r="I38" s="1297"/>
      <c r="J38" s="1297"/>
      <c r="K38" s="1297"/>
      <c r="L38" s="1297"/>
      <c r="N38" s="1426"/>
    </row>
    <row r="39" spans="1:14" s="1040" customFormat="1" ht="16.5" thickBot="1" x14ac:dyDescent="0.3">
      <c r="A39" s="1229" t="s">
        <v>11</v>
      </c>
      <c r="B39" s="1301" t="s">
        <v>338</v>
      </c>
      <c r="C39" s="1451"/>
      <c r="D39" s="1451"/>
      <c r="E39" s="1451"/>
      <c r="F39" s="1477"/>
      <c r="G39" s="1452"/>
      <c r="H39" s="1478"/>
      <c r="I39" s="1478"/>
      <c r="J39" s="1479">
        <v>50000</v>
      </c>
      <c r="K39" s="1479">
        <v>59000</v>
      </c>
      <c r="L39" s="1480">
        <v>72000</v>
      </c>
      <c r="N39" s="1426"/>
    </row>
    <row r="40" spans="1:14" s="1040" customFormat="1" ht="16.5" thickBot="1" x14ac:dyDescent="0.3">
      <c r="A40" s="1297"/>
      <c r="B40" s="1481" t="s">
        <v>339</v>
      </c>
      <c r="C40" s="1870">
        <f>SUM(C39)</f>
        <v>0</v>
      </c>
      <c r="D40" s="1870">
        <f t="shared" ref="D40:L40" si="6">SUM(D39)</f>
        <v>0</v>
      </c>
      <c r="E40" s="1870">
        <f t="shared" si="6"/>
        <v>0</v>
      </c>
      <c r="F40" s="1870">
        <f t="shared" si="6"/>
        <v>0</v>
      </c>
      <c r="G40" s="1870">
        <f t="shared" si="6"/>
        <v>0</v>
      </c>
      <c r="H40" s="1870">
        <f t="shared" si="6"/>
        <v>0</v>
      </c>
      <c r="I40" s="1870">
        <f t="shared" si="6"/>
        <v>0</v>
      </c>
      <c r="J40" s="1870">
        <f t="shared" si="6"/>
        <v>50000</v>
      </c>
      <c r="K40" s="1870">
        <f t="shared" si="6"/>
        <v>59000</v>
      </c>
      <c r="L40" s="1870">
        <f t="shared" si="6"/>
        <v>72000</v>
      </c>
      <c r="N40" s="1426"/>
    </row>
    <row r="41" spans="1:14" s="1040" customFormat="1" ht="15.75" x14ac:dyDescent="0.25">
      <c r="A41" s="1297"/>
      <c r="B41" s="1439"/>
      <c r="C41" s="1439"/>
      <c r="D41" s="1439"/>
      <c r="E41" s="1439"/>
      <c r="F41" s="1439"/>
      <c r="G41" s="1439"/>
      <c r="N41" s="1426"/>
    </row>
    <row r="42" spans="1:14" s="1292" customFormat="1" ht="16.5" thickBot="1" x14ac:dyDescent="0.3">
      <c r="A42" s="1199"/>
      <c r="B42" s="1439" t="s">
        <v>120</v>
      </c>
      <c r="C42" s="1439"/>
      <c r="D42" s="1439"/>
      <c r="E42" s="1439"/>
      <c r="F42" s="1439"/>
      <c r="G42" s="1439"/>
      <c r="H42" s="1871"/>
      <c r="I42" s="1871"/>
      <c r="J42" s="1871"/>
      <c r="K42" s="1871"/>
      <c r="L42" s="1871"/>
      <c r="N42" s="1426"/>
    </row>
    <row r="43" spans="1:14" s="1292" customFormat="1" ht="15.75" x14ac:dyDescent="0.25">
      <c r="A43" s="1229" t="s">
        <v>11</v>
      </c>
      <c r="B43" s="1291" t="s">
        <v>340</v>
      </c>
      <c r="C43" s="1451"/>
      <c r="D43" s="1451"/>
      <c r="E43" s="1451"/>
      <c r="F43" s="1451"/>
      <c r="G43" s="1451"/>
      <c r="H43" s="1872"/>
      <c r="I43" s="1872"/>
      <c r="J43" s="1873">
        <v>65000</v>
      </c>
      <c r="K43" s="1873">
        <v>65000</v>
      </c>
      <c r="L43" s="1874">
        <v>65000</v>
      </c>
      <c r="N43" s="1426"/>
    </row>
    <row r="44" spans="1:14" s="1292" customFormat="1" ht="15.75" x14ac:dyDescent="0.25">
      <c r="A44" s="1199"/>
      <c r="B44" s="1294" t="s">
        <v>341</v>
      </c>
      <c r="C44" s="1456"/>
      <c r="D44" s="1456"/>
      <c r="E44" s="1456"/>
      <c r="F44" s="1456"/>
      <c r="G44" s="1456"/>
      <c r="H44" s="1491"/>
      <c r="I44" s="1491"/>
      <c r="J44" s="1492">
        <v>75000</v>
      </c>
      <c r="K44" s="1492">
        <v>100000</v>
      </c>
      <c r="L44" s="1875">
        <v>105000</v>
      </c>
      <c r="N44" s="1426"/>
    </row>
    <row r="45" spans="1:14" s="1292" customFormat="1" ht="15" x14ac:dyDescent="0.2">
      <c r="A45" s="1192" t="s">
        <v>11</v>
      </c>
      <c r="B45" s="1294" t="s">
        <v>168</v>
      </c>
      <c r="C45" s="1876"/>
      <c r="D45" s="1876"/>
      <c r="E45" s="1876"/>
      <c r="F45" s="1876">
        <v>28126</v>
      </c>
      <c r="G45" s="1876">
        <v>29679</v>
      </c>
      <c r="H45" s="760">
        <v>36337</v>
      </c>
      <c r="I45" s="760">
        <v>52500</v>
      </c>
      <c r="J45" s="760">
        <v>60000</v>
      </c>
      <c r="K45" s="760">
        <v>60000</v>
      </c>
      <c r="L45" s="772">
        <v>60000</v>
      </c>
      <c r="N45" s="1426"/>
    </row>
    <row r="46" spans="1:14" s="1292" customFormat="1" ht="15" x14ac:dyDescent="0.2">
      <c r="A46" s="1192" t="s">
        <v>11</v>
      </c>
      <c r="B46" s="1294" t="s">
        <v>121</v>
      </c>
      <c r="C46" s="1876"/>
      <c r="D46" s="1876"/>
      <c r="E46" s="1876">
        <v>100679</v>
      </c>
      <c r="F46" s="1876">
        <v>35323</v>
      </c>
      <c r="G46" s="1876">
        <v>34581</v>
      </c>
      <c r="H46" s="760">
        <v>50197</v>
      </c>
      <c r="I46" s="760">
        <v>88500</v>
      </c>
      <c r="J46" s="760">
        <v>76500</v>
      </c>
      <c r="K46" s="760">
        <v>80000</v>
      </c>
      <c r="L46" s="772">
        <v>85000</v>
      </c>
      <c r="N46" s="1426"/>
    </row>
    <row r="47" spans="1:14" s="1292" customFormat="1" ht="15" x14ac:dyDescent="0.2">
      <c r="A47" s="1192" t="s">
        <v>11</v>
      </c>
      <c r="B47" s="1294" t="s">
        <v>122</v>
      </c>
      <c r="C47" s="1876"/>
      <c r="D47" s="1876"/>
      <c r="E47" s="1876">
        <v>960</v>
      </c>
      <c r="F47" s="1876">
        <v>48155</v>
      </c>
      <c r="G47" s="1876">
        <v>27057</v>
      </c>
      <c r="H47" s="760">
        <v>257425</v>
      </c>
      <c r="I47" s="760">
        <v>426000</v>
      </c>
      <c r="J47" s="760">
        <v>535000</v>
      </c>
      <c r="K47" s="760">
        <v>535000</v>
      </c>
      <c r="L47" s="772">
        <v>535000</v>
      </c>
      <c r="N47" s="1426"/>
    </row>
    <row r="48" spans="1:14" s="1292" customFormat="1" ht="15" x14ac:dyDescent="0.2">
      <c r="A48" s="1192" t="s">
        <v>11</v>
      </c>
      <c r="B48" s="1294" t="s">
        <v>221</v>
      </c>
      <c r="C48" s="1876">
        <v>7551</v>
      </c>
      <c r="D48" s="1876"/>
      <c r="E48" s="1876">
        <v>3070</v>
      </c>
      <c r="F48" s="1876">
        <v>28232</v>
      </c>
      <c r="G48" s="1876">
        <v>13905</v>
      </c>
      <c r="H48" s="760">
        <v>10605</v>
      </c>
      <c r="I48" s="760">
        <v>24750</v>
      </c>
      <c r="J48" s="760">
        <v>24750</v>
      </c>
      <c r="K48" s="760">
        <v>24750</v>
      </c>
      <c r="L48" s="772">
        <v>24750</v>
      </c>
      <c r="N48" s="1426"/>
    </row>
    <row r="49" spans="1:16" s="1292" customFormat="1" ht="15.75" thickBot="1" x14ac:dyDescent="0.25">
      <c r="A49" s="1286" t="s">
        <v>11</v>
      </c>
      <c r="B49" s="1327" t="s">
        <v>343</v>
      </c>
      <c r="C49" s="1877"/>
      <c r="D49" s="1877"/>
      <c r="E49" s="1877"/>
      <c r="F49" s="1877"/>
      <c r="G49" s="1877"/>
      <c r="H49" s="773"/>
      <c r="I49" s="773"/>
      <c r="J49" s="773">
        <v>599325</v>
      </c>
      <c r="K49" s="773">
        <v>676175</v>
      </c>
      <c r="L49" s="774">
        <v>775300</v>
      </c>
      <c r="N49" s="1426"/>
    </row>
    <row r="50" spans="1:16" s="1040" customFormat="1" ht="16.5" thickBot="1" x14ac:dyDescent="0.3">
      <c r="A50" s="1297"/>
      <c r="B50" s="1878" t="s">
        <v>207</v>
      </c>
      <c r="C50" s="1879">
        <f t="shared" ref="C50:I50" si="7">SUM(C45:C48)</f>
        <v>7551</v>
      </c>
      <c r="D50" s="1879">
        <f t="shared" si="7"/>
        <v>0</v>
      </c>
      <c r="E50" s="489">
        <f t="shared" si="7"/>
        <v>104709</v>
      </c>
      <c r="F50" s="489">
        <f t="shared" si="7"/>
        <v>139836</v>
      </c>
      <c r="G50" s="489">
        <f t="shared" si="7"/>
        <v>105222</v>
      </c>
      <c r="H50" s="489">
        <f t="shared" si="7"/>
        <v>354564</v>
      </c>
      <c r="I50" s="489">
        <f t="shared" si="7"/>
        <v>591750</v>
      </c>
      <c r="J50" s="489">
        <f>SUM(J43:J49)</f>
        <v>1435575</v>
      </c>
      <c r="K50" s="489">
        <f>SUM(K43:K49)</f>
        <v>1540925</v>
      </c>
      <c r="L50" s="489">
        <f>SUM(L43:L49)</f>
        <v>1650050</v>
      </c>
      <c r="N50" s="1426"/>
    </row>
    <row r="51" spans="1:16" s="1292" customFormat="1" ht="16.5" thickBot="1" x14ac:dyDescent="0.3">
      <c r="A51" s="1199"/>
      <c r="B51" s="1308" t="s">
        <v>123</v>
      </c>
      <c r="C51" s="1439"/>
      <c r="D51" s="1439"/>
      <c r="E51" s="1439"/>
      <c r="F51" s="1439"/>
      <c r="G51" s="1439"/>
      <c r="H51" s="161"/>
      <c r="N51" s="1426"/>
    </row>
    <row r="52" spans="1:16" s="1305" customFormat="1" ht="15.75" x14ac:dyDescent="0.25">
      <c r="A52" s="1303"/>
      <c r="B52" s="1499" t="s">
        <v>7</v>
      </c>
      <c r="C52" s="476">
        <f t="shared" ref="C52:I52" si="8">C15+C34+C35+C31*0.8+C44*0.8</f>
        <v>567726</v>
      </c>
      <c r="D52" s="472">
        <f t="shared" si="8"/>
        <v>1050827</v>
      </c>
      <c r="E52" s="1500">
        <f t="shared" si="8"/>
        <v>1615184</v>
      </c>
      <c r="F52" s="1501">
        <f t="shared" si="8"/>
        <v>1941451</v>
      </c>
      <c r="G52" s="472">
        <f t="shared" si="8"/>
        <v>2934248</v>
      </c>
      <c r="H52" s="476">
        <f t="shared" si="8"/>
        <v>3977680</v>
      </c>
      <c r="I52" s="476">
        <f t="shared" si="8"/>
        <v>6198359</v>
      </c>
      <c r="J52" s="476">
        <f>J15+J34+J35+J31*0.8+J44*0.8</f>
        <v>7179000</v>
      </c>
      <c r="K52" s="476">
        <f>K15+K34+K35+K31*0.8+K44*0.8</f>
        <v>7908500</v>
      </c>
      <c r="L52" s="476">
        <f>L15+L34+L35+L31*0.8+L44*0.8</f>
        <v>8793000</v>
      </c>
      <c r="M52" s="1502"/>
      <c r="N52" s="1426"/>
      <c r="P52" s="1503"/>
    </row>
    <row r="53" spans="1:16" s="1305" customFormat="1" ht="16.5" thickBot="1" x14ac:dyDescent="0.3">
      <c r="A53" s="1303"/>
      <c r="B53" s="1369" t="s">
        <v>8</v>
      </c>
      <c r="C53" s="1504">
        <f t="shared" ref="C53:I53" si="9">C26+C36+C31*0.2+C44*0.2</f>
        <v>0</v>
      </c>
      <c r="D53" s="1505">
        <f t="shared" si="9"/>
        <v>11288</v>
      </c>
      <c r="E53" s="477">
        <f t="shared" si="9"/>
        <v>508740</v>
      </c>
      <c r="F53" s="218">
        <f t="shared" si="9"/>
        <v>1867677</v>
      </c>
      <c r="G53" s="1506">
        <f t="shared" si="9"/>
        <v>1616755</v>
      </c>
      <c r="H53" s="218">
        <f t="shared" si="9"/>
        <v>3639770</v>
      </c>
      <c r="I53" s="477">
        <f t="shared" si="9"/>
        <v>6257075</v>
      </c>
      <c r="J53" s="477">
        <f>J26+J36+J31*0.2+J44*0.2</f>
        <v>4021000</v>
      </c>
      <c r="K53" s="477">
        <f>K26+K36+K31*0.2+K44*0.2</f>
        <v>4816000</v>
      </c>
      <c r="L53" s="477">
        <f>L26+L36+L31*0.2+L44*0.2</f>
        <v>5896000</v>
      </c>
      <c r="M53" s="1502"/>
      <c r="N53" s="1426"/>
    </row>
    <row r="54" spans="1:16" s="1305" customFormat="1" ht="16.5" thickBot="1" x14ac:dyDescent="0.3">
      <c r="A54" s="1199"/>
      <c r="B54" s="1507" t="s">
        <v>12</v>
      </c>
      <c r="C54" s="1508">
        <f t="shared" ref="C54:I54" si="10">SUM(C43,C45:C49,C39)</f>
        <v>7551</v>
      </c>
      <c r="D54" s="1509">
        <f t="shared" si="10"/>
        <v>0</v>
      </c>
      <c r="E54" s="1504">
        <f t="shared" si="10"/>
        <v>104709</v>
      </c>
      <c r="F54" s="1510">
        <f t="shared" si="10"/>
        <v>139836</v>
      </c>
      <c r="G54" s="1509">
        <f t="shared" si="10"/>
        <v>105222</v>
      </c>
      <c r="H54" s="479">
        <f t="shared" si="10"/>
        <v>354564</v>
      </c>
      <c r="I54" s="1509">
        <f t="shared" si="10"/>
        <v>591750</v>
      </c>
      <c r="J54" s="1509">
        <f>SUM(J43,J45:J49,J39)</f>
        <v>1410575</v>
      </c>
      <c r="K54" s="1509">
        <f>SUM(K43,K45:K49,K39)</f>
        <v>1499925</v>
      </c>
      <c r="L54" s="1509">
        <f>SUM(L43,L45:L49,L39)</f>
        <v>1617050</v>
      </c>
      <c r="M54" s="1502"/>
      <c r="N54" s="1426"/>
    </row>
    <row r="55" spans="1:16" s="1040" customFormat="1" ht="16.5" thickBot="1" x14ac:dyDescent="0.3">
      <c r="A55" s="1199"/>
      <c r="B55" s="1307" t="s">
        <v>33</v>
      </c>
      <c r="C55" s="1511">
        <f t="shared" ref="C55:K55" si="11">SUM(C52:C54)</f>
        <v>575277</v>
      </c>
      <c r="D55" s="1511">
        <f t="shared" si="11"/>
        <v>1062115</v>
      </c>
      <c r="E55" s="1511">
        <f t="shared" si="11"/>
        <v>2228633</v>
      </c>
      <c r="F55" s="234">
        <f t="shared" si="11"/>
        <v>3948964</v>
      </c>
      <c r="G55" s="234">
        <f t="shared" si="11"/>
        <v>4656225</v>
      </c>
      <c r="H55" s="234">
        <f t="shared" si="11"/>
        <v>7972014</v>
      </c>
      <c r="I55" s="480">
        <f t="shared" si="11"/>
        <v>13047184</v>
      </c>
      <c r="J55" s="480">
        <f t="shared" si="11"/>
        <v>12610575</v>
      </c>
      <c r="K55" s="480">
        <f t="shared" si="11"/>
        <v>14224425</v>
      </c>
      <c r="L55" s="480">
        <f>SUM(L52:L54)</f>
        <v>16306050</v>
      </c>
      <c r="N55" s="1426"/>
    </row>
    <row r="56" spans="1:16" x14ac:dyDescent="0.2">
      <c r="A56" s="1297"/>
      <c r="H56" s="1241"/>
      <c r="I56" s="1311"/>
      <c r="J56" s="1512"/>
      <c r="K56" s="1512"/>
      <c r="L56" s="1311"/>
    </row>
    <row r="57" spans="1:16" ht="15" x14ac:dyDescent="0.2">
      <c r="B57" s="1192"/>
      <c r="C57" s="1192"/>
      <c r="D57" s="1192"/>
      <c r="E57" s="1192"/>
      <c r="F57" s="1192"/>
      <c r="G57" s="1192"/>
      <c r="H57" s="1513"/>
    </row>
    <row r="58" spans="1:16" ht="20.25" customHeight="1" x14ac:dyDescent="0.3">
      <c r="B58" s="2946" t="s">
        <v>425</v>
      </c>
      <c r="C58" s="2946"/>
      <c r="D58" s="2946"/>
      <c r="E58" s="2946"/>
      <c r="F58" s="2946"/>
      <c r="G58" s="2946"/>
      <c r="H58" s="2946"/>
      <c r="I58" s="2946"/>
      <c r="J58" s="2946"/>
      <c r="K58" s="2946"/>
      <c r="L58" s="2946"/>
    </row>
    <row r="59" spans="1:16" ht="20.25" customHeight="1" x14ac:dyDescent="0.3">
      <c r="A59" s="1188"/>
      <c r="B59" s="2946" t="s">
        <v>429</v>
      </c>
      <c r="C59" s="2946"/>
      <c r="D59" s="2946"/>
      <c r="E59" s="2946"/>
      <c r="F59" s="2946"/>
      <c r="G59" s="2946"/>
      <c r="H59" s="2946"/>
      <c r="I59" s="2946"/>
      <c r="J59" s="2946"/>
      <c r="K59" s="2946"/>
      <c r="L59" s="2946"/>
    </row>
    <row r="60" spans="1:16" ht="20.25" customHeight="1" x14ac:dyDescent="0.3">
      <c r="A60" s="1188"/>
      <c r="B60" s="2946" t="s">
        <v>427</v>
      </c>
      <c r="C60" s="2946"/>
      <c r="D60" s="2946"/>
      <c r="E60" s="2946"/>
      <c r="F60" s="2946"/>
      <c r="G60" s="2946"/>
      <c r="H60" s="2946"/>
      <c r="I60" s="2946"/>
      <c r="J60" s="2946"/>
      <c r="K60" s="2946"/>
      <c r="L60" s="2946"/>
    </row>
    <row r="61" spans="1:16" ht="20.25" customHeight="1" thickBot="1" x14ac:dyDescent="0.35">
      <c r="A61" s="1188"/>
      <c r="B61" s="1280"/>
      <c r="C61" s="1414"/>
      <c r="D61" s="1414"/>
      <c r="E61" s="1280"/>
      <c r="F61" s="1280"/>
      <c r="G61" s="1280"/>
      <c r="H61" s="1280"/>
      <c r="I61" s="1415"/>
      <c r="J61" s="1415"/>
      <c r="K61" s="1415"/>
      <c r="L61" s="1415"/>
    </row>
    <row r="62" spans="1:16" s="1417" customFormat="1" ht="17.25" customHeight="1" x14ac:dyDescent="0.25">
      <c r="A62" s="1192"/>
      <c r="B62" s="1281"/>
      <c r="C62" s="1416">
        <v>2006</v>
      </c>
      <c r="D62" s="1416">
        <v>2007</v>
      </c>
      <c r="E62" s="1416">
        <v>2008</v>
      </c>
      <c r="F62" s="1416">
        <v>2009</v>
      </c>
      <c r="G62" s="1416">
        <v>2010</v>
      </c>
      <c r="H62" s="1416">
        <v>2011</v>
      </c>
      <c r="I62" s="1416">
        <v>2012</v>
      </c>
      <c r="J62" s="1416">
        <v>2013</v>
      </c>
      <c r="K62" s="1416">
        <v>2014</v>
      </c>
      <c r="L62" s="1416">
        <v>2015</v>
      </c>
    </row>
    <row r="63" spans="1:16" ht="17.25" customHeight="1" x14ac:dyDescent="0.25">
      <c r="A63" s="1192"/>
      <c r="B63" s="1282"/>
      <c r="C63" s="1418" t="s">
        <v>186</v>
      </c>
      <c r="D63" s="1418" t="s">
        <v>186</v>
      </c>
      <c r="E63" s="1418" t="s">
        <v>186</v>
      </c>
      <c r="F63" s="1418" t="s">
        <v>186</v>
      </c>
      <c r="G63" s="1418" t="s">
        <v>186</v>
      </c>
      <c r="H63" s="1419" t="s">
        <v>186</v>
      </c>
      <c r="I63" s="1419" t="s">
        <v>331</v>
      </c>
      <c r="J63" s="1419" t="s">
        <v>287</v>
      </c>
      <c r="K63" s="1419" t="s">
        <v>287</v>
      </c>
      <c r="L63" s="1419" t="s">
        <v>287</v>
      </c>
    </row>
    <row r="64" spans="1:16" ht="16.5" customHeight="1" x14ac:dyDescent="0.25">
      <c r="A64" s="1192"/>
      <c r="B64" s="1283" t="s">
        <v>428</v>
      </c>
      <c r="C64" s="1419"/>
      <c r="D64" s="1419"/>
      <c r="E64" s="1419"/>
      <c r="F64" s="1419"/>
      <c r="G64" s="1419"/>
      <c r="H64" s="1419"/>
      <c r="I64" s="1419"/>
      <c r="J64" s="1419"/>
      <c r="K64" s="1419"/>
      <c r="L64" s="1419"/>
    </row>
    <row r="65" spans="1:14" ht="36" customHeight="1" thickBot="1" x14ac:dyDescent="0.3">
      <c r="A65" s="1192"/>
      <c r="B65" s="1284"/>
      <c r="C65" s="1420"/>
      <c r="D65" s="1421"/>
      <c r="E65" s="1421"/>
      <c r="F65" s="1421"/>
      <c r="G65" s="1421"/>
      <c r="H65" s="1422"/>
      <c r="I65" s="1422" t="s">
        <v>408</v>
      </c>
      <c r="J65" s="1422" t="s">
        <v>408</v>
      </c>
      <c r="K65" s="1422" t="s">
        <v>408</v>
      </c>
      <c r="L65" s="1422" t="s">
        <v>408</v>
      </c>
    </row>
    <row r="66" spans="1:14" s="1199" customFormat="1" ht="17.25" customHeight="1" thickBot="1" x14ac:dyDescent="0.3">
      <c r="A66" s="1192"/>
      <c r="B66" s="697" t="s">
        <v>115</v>
      </c>
      <c r="C66" s="697"/>
      <c r="D66" s="697"/>
      <c r="E66" s="697"/>
      <c r="F66" s="697"/>
      <c r="G66" s="697"/>
      <c r="H66" s="698"/>
      <c r="I66" s="1188"/>
      <c r="J66" s="1188"/>
      <c r="K66" s="1188"/>
      <c r="L66" s="1188"/>
    </row>
    <row r="67" spans="1:14" s="1192" customFormat="1" ht="15.75" thickBot="1" x14ac:dyDescent="0.25">
      <c r="A67" s="1285" t="s">
        <v>3</v>
      </c>
      <c r="B67" s="1293" t="s">
        <v>222</v>
      </c>
      <c r="C67" s="1514">
        <v>574</v>
      </c>
      <c r="D67" s="1514">
        <v>1238</v>
      </c>
      <c r="E67" s="1514">
        <v>1350</v>
      </c>
      <c r="F67" s="1514">
        <v>1932</v>
      </c>
      <c r="G67" s="1514">
        <v>2497</v>
      </c>
      <c r="H67" s="1515">
        <v>2347</v>
      </c>
      <c r="I67" s="1515">
        <v>3270</v>
      </c>
      <c r="J67" s="1515">
        <v>3040.8378504129241</v>
      </c>
      <c r="K67" s="1515">
        <v>2971.8534638230662</v>
      </c>
      <c r="L67" s="1515">
        <v>2961.6957591300325</v>
      </c>
      <c r="N67" s="1424"/>
    </row>
    <row r="68" spans="1:14" s="1188" customFormat="1" ht="15" x14ac:dyDescent="0.2">
      <c r="A68" s="1285" t="s">
        <v>9</v>
      </c>
      <c r="B68" s="1288" t="s">
        <v>149</v>
      </c>
      <c r="C68" s="1516">
        <v>393</v>
      </c>
      <c r="D68" s="1516">
        <v>1351</v>
      </c>
      <c r="E68" s="1516">
        <v>1824</v>
      </c>
      <c r="F68" s="1516">
        <v>798</v>
      </c>
      <c r="G68" s="1516">
        <v>2768</v>
      </c>
      <c r="H68" s="1515">
        <v>1811</v>
      </c>
      <c r="I68" s="1515">
        <v>4682</v>
      </c>
      <c r="J68" s="1515">
        <v>4473.010210483716</v>
      </c>
      <c r="K68" s="1515">
        <v>4950.1440649715632</v>
      </c>
      <c r="L68" s="1515">
        <v>5388.5922766141784</v>
      </c>
      <c r="N68" s="1426"/>
    </row>
    <row r="69" spans="1:14" s="1188" customFormat="1" ht="15" x14ac:dyDescent="0.2">
      <c r="A69" s="1285"/>
      <c r="B69" s="1288" t="s">
        <v>430</v>
      </c>
      <c r="C69" s="1517">
        <v>0</v>
      </c>
      <c r="D69" s="1517">
        <v>0</v>
      </c>
      <c r="E69" s="1517">
        <v>0</v>
      </c>
      <c r="F69" s="1517">
        <v>0</v>
      </c>
      <c r="G69" s="1517">
        <v>0</v>
      </c>
      <c r="H69" s="1517">
        <v>0</v>
      </c>
      <c r="I69" s="1518"/>
      <c r="J69" s="1517">
        <v>0</v>
      </c>
      <c r="K69" s="1517">
        <v>0</v>
      </c>
      <c r="L69" s="1517">
        <v>0</v>
      </c>
      <c r="N69" s="1426"/>
    </row>
    <row r="70" spans="1:14" s="1188" customFormat="1" ht="15" x14ac:dyDescent="0.2">
      <c r="A70" s="1285"/>
      <c r="B70" s="1288" t="s">
        <v>431</v>
      </c>
      <c r="C70" s="1517">
        <v>0</v>
      </c>
      <c r="D70" s="1517">
        <v>0</v>
      </c>
      <c r="E70" s="1517">
        <v>0</v>
      </c>
      <c r="F70" s="1517">
        <v>0</v>
      </c>
      <c r="G70" s="1517">
        <v>0</v>
      </c>
      <c r="H70" s="1517">
        <v>0</v>
      </c>
      <c r="I70" s="1518"/>
      <c r="J70" s="1517">
        <v>0</v>
      </c>
      <c r="K70" s="1517">
        <v>0</v>
      </c>
      <c r="L70" s="1517">
        <v>0</v>
      </c>
      <c r="N70" s="1426"/>
    </row>
    <row r="71" spans="1:14" s="1188" customFormat="1" ht="15" x14ac:dyDescent="0.2">
      <c r="A71" s="1285"/>
      <c r="B71" s="1288" t="s">
        <v>432</v>
      </c>
      <c r="C71" s="1517">
        <v>0</v>
      </c>
      <c r="D71" s="1517">
        <v>0</v>
      </c>
      <c r="E71" s="1517">
        <v>0</v>
      </c>
      <c r="F71" s="1517">
        <v>0</v>
      </c>
      <c r="G71" s="1517">
        <v>0</v>
      </c>
      <c r="H71" s="1517">
        <v>0</v>
      </c>
      <c r="I71" s="1518"/>
      <c r="J71" s="1517">
        <v>0</v>
      </c>
      <c r="K71" s="1517">
        <v>0</v>
      </c>
      <c r="L71" s="1517">
        <v>0</v>
      </c>
      <c r="N71" s="1426"/>
    </row>
    <row r="72" spans="1:14" s="1188" customFormat="1" ht="15.75" thickBot="1" x14ac:dyDescent="0.25">
      <c r="A72" s="1285"/>
      <c r="B72" s="1519" t="s">
        <v>433</v>
      </c>
      <c r="C72" s="1517">
        <v>0</v>
      </c>
      <c r="D72" s="1517">
        <v>0</v>
      </c>
      <c r="E72" s="1517">
        <v>0</v>
      </c>
      <c r="F72" s="1517">
        <v>0</v>
      </c>
      <c r="G72" s="1517">
        <v>0</v>
      </c>
      <c r="H72" s="1517">
        <v>0</v>
      </c>
      <c r="I72" s="1520"/>
      <c r="J72" s="1517">
        <v>0</v>
      </c>
      <c r="K72" s="1517">
        <v>0</v>
      </c>
      <c r="L72" s="1517">
        <v>0</v>
      </c>
      <c r="N72" s="1426"/>
    </row>
    <row r="73" spans="1:14" s="1188" customFormat="1" ht="16.5" thickBot="1" x14ac:dyDescent="0.3">
      <c r="A73" s="1285"/>
      <c r="B73" s="1521" t="s">
        <v>434</v>
      </c>
      <c r="C73" s="1522">
        <f t="shared" ref="C73:L73" si="12">SUM(C68:C72)</f>
        <v>393</v>
      </c>
      <c r="D73" s="1523">
        <f t="shared" si="12"/>
        <v>1351</v>
      </c>
      <c r="E73" s="1522">
        <f t="shared" si="12"/>
        <v>1824</v>
      </c>
      <c r="F73" s="1523">
        <f t="shared" si="12"/>
        <v>798</v>
      </c>
      <c r="G73" s="1523">
        <f t="shared" si="12"/>
        <v>2768</v>
      </c>
      <c r="H73" s="1524">
        <f t="shared" si="12"/>
        <v>1811</v>
      </c>
      <c r="I73" s="1525">
        <f t="shared" si="12"/>
        <v>4682</v>
      </c>
      <c r="J73" s="1525">
        <f t="shared" si="12"/>
        <v>4473.010210483716</v>
      </c>
      <c r="K73" s="1525">
        <f t="shared" si="12"/>
        <v>4950.1440649715632</v>
      </c>
      <c r="L73" s="1525">
        <f t="shared" si="12"/>
        <v>5388.5922766141784</v>
      </c>
      <c r="N73" s="1426"/>
    </row>
    <row r="74" spans="1:14" s="1188" customFormat="1" ht="15" x14ac:dyDescent="0.2">
      <c r="A74" s="1285" t="s">
        <v>9</v>
      </c>
      <c r="B74" s="1526" t="s">
        <v>227</v>
      </c>
      <c r="C74" s="1527"/>
      <c r="D74" s="1528"/>
      <c r="E74" s="1527"/>
      <c r="F74" s="1527">
        <v>326</v>
      </c>
      <c r="G74" s="1528">
        <v>206</v>
      </c>
      <c r="H74" s="1529">
        <v>235</v>
      </c>
      <c r="I74" s="1530">
        <v>250</v>
      </c>
      <c r="J74" s="1530">
        <v>286</v>
      </c>
      <c r="K74" s="1530">
        <v>335</v>
      </c>
      <c r="L74" s="1530">
        <v>405</v>
      </c>
      <c r="M74" s="1428"/>
      <c r="N74" s="1426"/>
    </row>
    <row r="75" spans="1:14" s="1188" customFormat="1" ht="15" x14ac:dyDescent="0.2">
      <c r="A75" s="1285" t="s">
        <v>9</v>
      </c>
      <c r="B75" s="1294" t="s">
        <v>110</v>
      </c>
      <c r="C75" s="1528"/>
      <c r="D75" s="1528"/>
      <c r="E75" s="1528">
        <v>160</v>
      </c>
      <c r="F75" s="1528">
        <v>303</v>
      </c>
      <c r="G75" s="1528">
        <v>179</v>
      </c>
      <c r="H75" s="1529">
        <v>128</v>
      </c>
      <c r="I75" s="1529">
        <v>569</v>
      </c>
      <c r="J75" s="1529">
        <v>293</v>
      </c>
      <c r="K75" s="1529">
        <v>347</v>
      </c>
      <c r="L75" s="1529">
        <v>426</v>
      </c>
      <c r="N75" s="1426"/>
    </row>
    <row r="76" spans="1:14" ht="16.5" thickBot="1" x14ac:dyDescent="0.3">
      <c r="A76" s="1192"/>
      <c r="B76" s="1531" t="s">
        <v>30</v>
      </c>
      <c r="C76" s="1532">
        <f t="shared" ref="C76:L76" si="13">SUM(C67,C73,C74:C75)</f>
        <v>967</v>
      </c>
      <c r="D76" s="1532">
        <f t="shared" si="13"/>
        <v>2589</v>
      </c>
      <c r="E76" s="1532">
        <f t="shared" si="13"/>
        <v>3334</v>
      </c>
      <c r="F76" s="1532">
        <f t="shared" si="13"/>
        <v>3359</v>
      </c>
      <c r="G76" s="1532">
        <f t="shared" si="13"/>
        <v>5650</v>
      </c>
      <c r="H76" s="1532">
        <f t="shared" si="13"/>
        <v>4521</v>
      </c>
      <c r="I76" s="1532">
        <f t="shared" si="13"/>
        <v>8771</v>
      </c>
      <c r="J76" s="1532">
        <f>SUM(J67,J73,J74:J75)</f>
        <v>8092.8480608966402</v>
      </c>
      <c r="K76" s="1532">
        <f>SUM(K67,K73,K74:K75)</f>
        <v>8603.997528794629</v>
      </c>
      <c r="L76" s="1532">
        <f t="shared" si="13"/>
        <v>9181.2880357442118</v>
      </c>
      <c r="M76" s="1433"/>
      <c r="N76" s="1426"/>
    </row>
    <row r="77" spans="1:14" s="1188" customFormat="1" ht="15.75" x14ac:dyDescent="0.25">
      <c r="A77" s="1192"/>
      <c r="B77" s="1434"/>
      <c r="C77" s="1434"/>
      <c r="D77" s="1434"/>
      <c r="E77" s="1434"/>
      <c r="F77" s="1434"/>
      <c r="G77" s="1434"/>
      <c r="H77" s="161"/>
      <c r="I77" s="161"/>
      <c r="J77" s="1435"/>
      <c r="K77" s="1435"/>
      <c r="L77" s="161"/>
      <c r="N77" s="1426"/>
    </row>
    <row r="78" spans="1:14" s="1188" customFormat="1" ht="15.75" x14ac:dyDescent="0.25">
      <c r="A78" s="1199"/>
      <c r="B78" s="1434" t="s">
        <v>6</v>
      </c>
      <c r="C78" s="1434"/>
      <c r="D78" s="1434"/>
      <c r="E78" s="1434"/>
      <c r="F78" s="1434"/>
      <c r="G78" s="1434"/>
      <c r="H78" s="161"/>
      <c r="N78" s="1426"/>
    </row>
    <row r="79" spans="1:14" ht="17.25" customHeight="1" thickBot="1" x14ac:dyDescent="0.3">
      <c r="A79" s="1199"/>
      <c r="B79" s="2853" t="s">
        <v>111</v>
      </c>
      <c r="C79" s="2853"/>
      <c r="D79" s="2853"/>
      <c r="E79" s="2853"/>
      <c r="F79" s="2853"/>
      <c r="G79" s="2853"/>
      <c r="H79" s="2853"/>
      <c r="N79" s="1426"/>
    </row>
    <row r="80" spans="1:14" ht="15.75" thickBot="1" x14ac:dyDescent="0.25">
      <c r="A80" s="1290" t="s">
        <v>10</v>
      </c>
      <c r="B80" s="1436" t="s">
        <v>112</v>
      </c>
      <c r="C80" s="1517">
        <v>0</v>
      </c>
      <c r="D80" s="1517">
        <v>0</v>
      </c>
      <c r="E80" s="1533">
        <v>14</v>
      </c>
      <c r="F80" s="1533">
        <v>30</v>
      </c>
      <c r="G80" s="1533">
        <v>64</v>
      </c>
      <c r="H80" s="1515">
        <v>85</v>
      </c>
      <c r="I80" s="1515">
        <v>175</v>
      </c>
      <c r="J80" s="1515">
        <v>49</v>
      </c>
      <c r="K80" s="1515">
        <v>59</v>
      </c>
      <c r="L80" s="1515">
        <v>72</v>
      </c>
      <c r="N80" s="1426"/>
    </row>
    <row r="81" spans="1:16" s="1292" customFormat="1" ht="16.5" thickBot="1" x14ac:dyDescent="0.3">
      <c r="A81" s="1192"/>
      <c r="B81" s="1438" t="s">
        <v>113</v>
      </c>
      <c r="C81" s="1534">
        <f t="shared" ref="C81:L81" si="14">SUM(C80)</f>
        <v>0</v>
      </c>
      <c r="D81" s="1534">
        <f t="shared" si="14"/>
        <v>0</v>
      </c>
      <c r="E81" s="1534">
        <f t="shared" si="14"/>
        <v>14</v>
      </c>
      <c r="F81" s="1534">
        <f t="shared" si="14"/>
        <v>30</v>
      </c>
      <c r="G81" s="1534">
        <f t="shared" si="14"/>
        <v>64</v>
      </c>
      <c r="H81" s="1534">
        <f t="shared" si="14"/>
        <v>85</v>
      </c>
      <c r="I81" s="1534">
        <f t="shared" si="14"/>
        <v>175</v>
      </c>
      <c r="J81" s="1534">
        <f t="shared" si="14"/>
        <v>49</v>
      </c>
      <c r="K81" s="1534">
        <f t="shared" si="14"/>
        <v>59</v>
      </c>
      <c r="L81" s="1534">
        <f t="shared" si="14"/>
        <v>72</v>
      </c>
      <c r="N81" s="1426"/>
    </row>
    <row r="82" spans="1:16" s="1292" customFormat="1" ht="16.5" thickBot="1" x14ac:dyDescent="0.3">
      <c r="A82" s="1192"/>
      <c r="B82" s="1439" t="s">
        <v>114</v>
      </c>
      <c r="C82" s="1535"/>
      <c r="D82" s="1535"/>
      <c r="E82" s="1535"/>
      <c r="F82" s="1535"/>
      <c r="G82" s="1535"/>
      <c r="H82" s="1536"/>
      <c r="I82" s="1536"/>
      <c r="J82" s="1537"/>
      <c r="K82" s="1536"/>
      <c r="L82" s="1538"/>
      <c r="N82" s="1426"/>
    </row>
    <row r="83" spans="1:16" ht="17.25" customHeight="1" x14ac:dyDescent="0.2">
      <c r="A83" s="1290" t="s">
        <v>10</v>
      </c>
      <c r="B83" s="1337" t="s">
        <v>116</v>
      </c>
      <c r="C83" s="1517">
        <v>0</v>
      </c>
      <c r="D83" s="1517">
        <v>0</v>
      </c>
      <c r="E83" s="1539">
        <v>2</v>
      </c>
      <c r="F83" s="1539">
        <v>18</v>
      </c>
      <c r="G83" s="1539">
        <v>28</v>
      </c>
      <c r="H83" s="1515">
        <v>42</v>
      </c>
      <c r="I83" s="1515">
        <v>154</v>
      </c>
      <c r="J83" s="1515">
        <v>25</v>
      </c>
      <c r="K83" s="1515">
        <v>32</v>
      </c>
      <c r="L83" s="1515">
        <v>40</v>
      </c>
      <c r="N83" s="1426"/>
    </row>
    <row r="84" spans="1:16" ht="17.25" customHeight="1" thickBot="1" x14ac:dyDescent="0.25">
      <c r="A84" s="1290" t="s">
        <v>10</v>
      </c>
      <c r="B84" s="1304" t="s">
        <v>117</v>
      </c>
      <c r="C84" s="1517">
        <v>0</v>
      </c>
      <c r="D84" s="1517">
        <v>0</v>
      </c>
      <c r="E84" s="1540">
        <v>1</v>
      </c>
      <c r="F84" s="1541">
        <v>1</v>
      </c>
      <c r="G84" s="1540">
        <v>3</v>
      </c>
      <c r="H84" s="1542">
        <v>1</v>
      </c>
      <c r="I84" s="1542">
        <v>9</v>
      </c>
      <c r="J84" s="1542">
        <v>12</v>
      </c>
      <c r="K84" s="1542">
        <v>13</v>
      </c>
      <c r="L84" s="1542">
        <v>15</v>
      </c>
      <c r="N84" s="1426"/>
    </row>
    <row r="85" spans="1:16" ht="16.5" thickBot="1" x14ac:dyDescent="0.3">
      <c r="A85" s="1192"/>
      <c r="B85" s="1443" t="s">
        <v>118</v>
      </c>
      <c r="C85" s="1543">
        <f t="shared" ref="C85:I85" si="15">SUM(C83:C84)</f>
        <v>0</v>
      </c>
      <c r="D85" s="1543">
        <f t="shared" si="15"/>
        <v>0</v>
      </c>
      <c r="E85" s="1543">
        <f t="shared" si="15"/>
        <v>3</v>
      </c>
      <c r="F85" s="1544">
        <f t="shared" si="15"/>
        <v>19</v>
      </c>
      <c r="G85" s="1543">
        <f t="shared" si="15"/>
        <v>31</v>
      </c>
      <c r="H85" s="1543">
        <f t="shared" si="15"/>
        <v>43</v>
      </c>
      <c r="I85" s="1543">
        <f t="shared" si="15"/>
        <v>163</v>
      </c>
      <c r="J85" s="1543">
        <f>SUM(J83:J84)</f>
        <v>37</v>
      </c>
      <c r="K85" s="1543">
        <f>SUM(K83:K84)</f>
        <v>45</v>
      </c>
      <c r="L85" s="1543">
        <f>SUM(L83:L84)</f>
        <v>55</v>
      </c>
      <c r="N85" s="1426"/>
    </row>
    <row r="86" spans="1:16" ht="15.75" thickBot="1" x14ac:dyDescent="0.25">
      <c r="A86" s="1290" t="s">
        <v>10</v>
      </c>
      <c r="B86" s="1346" t="s">
        <v>245</v>
      </c>
      <c r="C86" s="1517">
        <v>0</v>
      </c>
      <c r="D86" s="1517">
        <v>0</v>
      </c>
      <c r="E86" s="1517">
        <v>0</v>
      </c>
      <c r="F86" s="1545"/>
      <c r="G86" s="1545"/>
      <c r="H86" s="1546">
        <v>0</v>
      </c>
      <c r="I86" s="1546">
        <v>27</v>
      </c>
      <c r="J86" s="1546">
        <v>10</v>
      </c>
      <c r="K86" s="1546">
        <v>12</v>
      </c>
      <c r="L86" s="1546">
        <v>16</v>
      </c>
      <c r="N86" s="1426"/>
    </row>
    <row r="87" spans="1:16" s="1040" customFormat="1" ht="16.5" thickBot="1" x14ac:dyDescent="0.3">
      <c r="A87" s="1297"/>
      <c r="B87" s="1307" t="s">
        <v>206</v>
      </c>
      <c r="C87" s="1547">
        <f t="shared" ref="C87:L87" si="16">SUM(C81+C85+C86)</f>
        <v>0</v>
      </c>
      <c r="D87" s="1547">
        <f t="shared" si="16"/>
        <v>0</v>
      </c>
      <c r="E87" s="1548">
        <f t="shared" si="16"/>
        <v>17</v>
      </c>
      <c r="F87" s="1548">
        <f t="shared" si="16"/>
        <v>49</v>
      </c>
      <c r="G87" s="1548">
        <f t="shared" si="16"/>
        <v>95</v>
      </c>
      <c r="H87" s="1548">
        <f t="shared" si="16"/>
        <v>128</v>
      </c>
      <c r="I87" s="1548">
        <f t="shared" si="16"/>
        <v>365</v>
      </c>
      <c r="J87" s="1548">
        <f t="shared" si="16"/>
        <v>96</v>
      </c>
      <c r="K87" s="1548">
        <f t="shared" si="16"/>
        <v>116</v>
      </c>
      <c r="L87" s="1548">
        <f t="shared" si="16"/>
        <v>143</v>
      </c>
      <c r="N87" s="1426"/>
    </row>
    <row r="88" spans="1:16" s="1040" customFormat="1" ht="16.5" thickBot="1" x14ac:dyDescent="0.3">
      <c r="A88" s="1297"/>
      <c r="B88" s="1439"/>
      <c r="C88" s="1549"/>
      <c r="D88" s="1549"/>
      <c r="E88" s="1549"/>
      <c r="F88" s="1549"/>
      <c r="G88" s="1549"/>
      <c r="H88" s="1550"/>
      <c r="I88" s="1551"/>
      <c r="J88" s="1552"/>
      <c r="K88" s="1551"/>
      <c r="L88" s="1552"/>
      <c r="N88" s="1426"/>
    </row>
    <row r="89" spans="1:16" s="1292" customFormat="1" ht="16.5" thickBot="1" x14ac:dyDescent="0.3">
      <c r="A89" s="1199"/>
      <c r="B89" s="1553" t="s">
        <v>123</v>
      </c>
      <c r="C89" s="1554"/>
      <c r="D89" s="1555"/>
      <c r="E89" s="1555"/>
      <c r="F89" s="1555"/>
      <c r="G89" s="1555"/>
      <c r="H89" s="1556"/>
      <c r="I89" s="1557"/>
      <c r="J89" s="1558"/>
      <c r="K89" s="1557"/>
      <c r="L89" s="1558"/>
      <c r="M89" s="1559"/>
      <c r="N89" s="1426"/>
    </row>
    <row r="90" spans="1:16" s="1305" customFormat="1" ht="15.75" x14ac:dyDescent="0.25">
      <c r="A90" s="1303"/>
      <c r="B90" s="1499" t="s">
        <v>7</v>
      </c>
      <c r="C90" s="1560">
        <f>C76</f>
        <v>967</v>
      </c>
      <c r="D90" s="1560">
        <f t="shared" ref="D90:L90" si="17">D76</f>
        <v>2589</v>
      </c>
      <c r="E90" s="1560">
        <f t="shared" si="17"/>
        <v>3334</v>
      </c>
      <c r="F90" s="1560">
        <f t="shared" si="17"/>
        <v>3359</v>
      </c>
      <c r="G90" s="1560">
        <f t="shared" si="17"/>
        <v>5650</v>
      </c>
      <c r="H90" s="1560">
        <f t="shared" si="17"/>
        <v>4521</v>
      </c>
      <c r="I90" s="1560">
        <f t="shared" si="17"/>
        <v>8771</v>
      </c>
      <c r="J90" s="1560">
        <f t="shared" si="17"/>
        <v>8092.8480608966402</v>
      </c>
      <c r="K90" s="1560">
        <f t="shared" si="17"/>
        <v>8603.997528794629</v>
      </c>
      <c r="L90" s="1560">
        <f t="shared" si="17"/>
        <v>9181.2880357442118</v>
      </c>
      <c r="M90" s="1502"/>
      <c r="N90" s="1426"/>
      <c r="P90" s="1503"/>
    </row>
    <row r="91" spans="1:16" s="1305" customFormat="1" ht="16.5" thickBot="1" x14ac:dyDescent="0.3">
      <c r="A91" s="1303"/>
      <c r="B91" s="1369" t="s">
        <v>8</v>
      </c>
      <c r="C91" s="1561">
        <f>C87</f>
        <v>0</v>
      </c>
      <c r="D91" s="1561">
        <f t="shared" ref="D91:L91" si="18">D87</f>
        <v>0</v>
      </c>
      <c r="E91" s="1561">
        <f t="shared" si="18"/>
        <v>17</v>
      </c>
      <c r="F91" s="1561">
        <f t="shared" si="18"/>
        <v>49</v>
      </c>
      <c r="G91" s="1561">
        <f t="shared" si="18"/>
        <v>95</v>
      </c>
      <c r="H91" s="1561">
        <f t="shared" si="18"/>
        <v>128</v>
      </c>
      <c r="I91" s="1561">
        <f t="shared" si="18"/>
        <v>365</v>
      </c>
      <c r="J91" s="1561">
        <f t="shared" si="18"/>
        <v>96</v>
      </c>
      <c r="K91" s="1561">
        <f t="shared" si="18"/>
        <v>116</v>
      </c>
      <c r="L91" s="1561">
        <f t="shared" si="18"/>
        <v>143</v>
      </c>
      <c r="M91" s="1502"/>
      <c r="N91" s="1426"/>
    </row>
    <row r="92" spans="1:16" s="1305" customFormat="1" ht="16.5" thickBot="1" x14ac:dyDescent="0.3">
      <c r="A92" s="1199"/>
      <c r="B92" s="1507" t="s">
        <v>12</v>
      </c>
      <c r="C92" s="1562"/>
      <c r="D92" s="1563"/>
      <c r="E92" s="1561"/>
      <c r="F92" s="1564"/>
      <c r="G92" s="1563"/>
      <c r="H92" s="1565"/>
      <c r="I92" s="1563"/>
      <c r="J92" s="1561"/>
      <c r="K92" s="1561"/>
      <c r="L92" s="1565"/>
      <c r="M92" s="1502"/>
      <c r="N92" s="1426"/>
    </row>
    <row r="93" spans="1:16" s="1040" customFormat="1" ht="16.5" thickBot="1" x14ac:dyDescent="0.3">
      <c r="A93" s="1199"/>
      <c r="B93" s="1307" t="s">
        <v>33</v>
      </c>
      <c r="C93" s="1566">
        <f t="shared" ref="C93:K93" si="19">SUM(C90:C92)</f>
        <v>967</v>
      </c>
      <c r="D93" s="1566">
        <f t="shared" si="19"/>
        <v>2589</v>
      </c>
      <c r="E93" s="1566">
        <f t="shared" si="19"/>
        <v>3351</v>
      </c>
      <c r="F93" s="1566">
        <f t="shared" si="19"/>
        <v>3408</v>
      </c>
      <c r="G93" s="1566">
        <f t="shared" si="19"/>
        <v>5745</v>
      </c>
      <c r="H93" s="1566">
        <f t="shared" si="19"/>
        <v>4649</v>
      </c>
      <c r="I93" s="1567">
        <f t="shared" si="19"/>
        <v>9136</v>
      </c>
      <c r="J93" s="1567">
        <f t="shared" si="19"/>
        <v>8188.8480608966402</v>
      </c>
      <c r="K93" s="1567">
        <f t="shared" si="19"/>
        <v>8719.997528794629</v>
      </c>
      <c r="L93" s="1567">
        <f>SUM(L90:L92)</f>
        <v>9324.2880357442118</v>
      </c>
      <c r="N93" s="1426"/>
    </row>
    <row r="94" spans="1:16" x14ac:dyDescent="0.2">
      <c r="C94" s="1568"/>
      <c r="D94" s="1568"/>
      <c r="E94" s="1569"/>
      <c r="F94" s="1569"/>
      <c r="G94" s="1569"/>
      <c r="H94" s="1569"/>
      <c r="I94" s="1569"/>
      <c r="J94" s="1569"/>
      <c r="K94" s="1569"/>
      <c r="L94" s="1569"/>
    </row>
  </sheetData>
  <mergeCells count="8">
    <mergeCell ref="B60:L60"/>
    <mergeCell ref="B79:H79"/>
    <mergeCell ref="B2:L2"/>
    <mergeCell ref="B3:L3"/>
    <mergeCell ref="B4:L4"/>
    <mergeCell ref="B18:H18"/>
    <mergeCell ref="B58:L58"/>
    <mergeCell ref="B59:L59"/>
  </mergeCells>
  <printOptions horizontalCentered="1" verticalCentered="1"/>
  <pageMargins left="0.5" right="0.5" top="0.22" bottom="1.18" header="0.22" footer="0.23"/>
  <pageSetup scale="60" orientation="landscape" r:id="rId1"/>
  <headerFooter alignWithMargins="0">
    <oddFooter>&amp;R&amp;14
&amp;C&amp;"Arial"&amp;11&amp;K000000
Totals may vary due to rounding_x000D_&amp;1#&amp;"Calibri"&amp;12&amp;K008000Internal Use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tabColor indexed="11"/>
    <pageSetUpPr fitToPage="1"/>
  </sheetPr>
  <dimension ref="A1:H148"/>
  <sheetViews>
    <sheetView topLeftCell="A22" zoomScale="80" zoomScaleNormal="80" zoomScaleSheetLayoutView="25" workbookViewId="0">
      <selection activeCell="D30" sqref="D30"/>
    </sheetView>
  </sheetViews>
  <sheetFormatPr defaultRowHeight="15" x14ac:dyDescent="0.2"/>
  <cols>
    <col min="1" max="1" width="46.5703125" style="1039" bestFit="1" customWidth="1"/>
    <col min="2" max="2" width="5.7109375" style="1039" hidden="1" customWidth="1"/>
    <col min="3" max="3" width="9.140625" style="1039" hidden="1" customWidth="1"/>
    <col min="4" max="4" width="18.5703125" style="1815" bestFit="1" customWidth="1"/>
    <col min="5" max="5" width="4.42578125" style="1815" customWidth="1"/>
    <col min="6" max="7" width="18.5703125" style="1815" customWidth="1"/>
    <col min="8" max="8" width="19.42578125" style="1815" customWidth="1"/>
    <col min="9" max="16384" width="9.140625" style="1039"/>
  </cols>
  <sheetData>
    <row r="1" spans="1:8" ht="15" customHeight="1" x14ac:dyDescent="0.2">
      <c r="A1" s="2860" t="s">
        <v>59</v>
      </c>
      <c r="B1" s="2860"/>
      <c r="C1" s="2860"/>
      <c r="D1" s="2860"/>
      <c r="E1" s="2860"/>
      <c r="F1" s="2860"/>
      <c r="G1" s="2860"/>
      <c r="H1" s="2860"/>
    </row>
    <row r="2" spans="1:8" ht="15" customHeight="1" x14ac:dyDescent="0.2">
      <c r="A2" s="2860" t="s">
        <v>260</v>
      </c>
      <c r="B2" s="2860"/>
      <c r="C2" s="2860"/>
      <c r="D2" s="2860"/>
      <c r="E2" s="2860"/>
      <c r="F2" s="2860"/>
      <c r="G2" s="2860"/>
      <c r="H2" s="2860"/>
    </row>
    <row r="3" spans="1:8" ht="15" customHeight="1" x14ac:dyDescent="0.2">
      <c r="A3" s="2860" t="s">
        <v>261</v>
      </c>
      <c r="B3" s="2860"/>
      <c r="C3" s="2860"/>
      <c r="D3" s="2860"/>
      <c r="E3" s="2860"/>
      <c r="F3" s="2860"/>
      <c r="G3" s="2860"/>
      <c r="H3" s="2860"/>
    </row>
    <row r="4" spans="1:8" ht="15" customHeight="1" x14ac:dyDescent="0.2">
      <c r="A4" s="2860"/>
      <c r="B4" s="2860"/>
      <c r="C4" s="2860"/>
      <c r="D4" s="2860"/>
      <c r="E4" s="2860"/>
      <c r="F4" s="2860"/>
      <c r="G4" s="2860"/>
      <c r="H4" s="2860"/>
    </row>
    <row r="5" spans="1:8" ht="15" customHeight="1" x14ac:dyDescent="0.2">
      <c r="A5" s="1389"/>
      <c r="B5" s="1389"/>
      <c r="C5" s="1389"/>
      <c r="D5" s="1389"/>
      <c r="E5" s="1389"/>
      <c r="F5" s="1389"/>
      <c r="G5" s="1389"/>
      <c r="H5" s="1389"/>
    </row>
    <row r="6" spans="1:8" ht="15" customHeight="1" x14ac:dyDescent="0.25">
      <c r="A6" s="2861" t="s">
        <v>305</v>
      </c>
      <c r="B6" s="2862"/>
      <c r="C6" s="2862"/>
      <c r="D6" s="2862"/>
      <c r="E6" s="2862"/>
      <c r="F6" s="2862"/>
      <c r="G6" s="2862"/>
      <c r="H6" s="2862"/>
    </row>
    <row r="7" spans="1:8" ht="15" customHeight="1" x14ac:dyDescent="0.25">
      <c r="A7" s="1313"/>
      <c r="B7" s="1313"/>
      <c r="C7" s="1313"/>
      <c r="D7" s="1800"/>
      <c r="E7" s="1800"/>
      <c r="F7" s="1800"/>
      <c r="G7" s="1800"/>
      <c r="H7" s="1800"/>
    </row>
    <row r="8" spans="1:8" ht="15" customHeight="1" x14ac:dyDescent="0.25">
      <c r="A8" s="1186"/>
      <c r="B8" s="1186"/>
      <c r="C8" s="1186"/>
      <c r="D8" s="1801"/>
      <c r="E8" s="1801"/>
      <c r="F8" s="1801"/>
      <c r="G8" s="1801"/>
      <c r="H8" s="1801"/>
    </row>
    <row r="9" spans="1:8" ht="15" customHeight="1" x14ac:dyDescent="0.25">
      <c r="A9" s="1186"/>
      <c r="B9" s="1186"/>
      <c r="C9" s="1186"/>
      <c r="D9" s="1802" t="s">
        <v>306</v>
      </c>
      <c r="E9" s="1801"/>
      <c r="F9" s="1801"/>
      <c r="G9" s="1801"/>
      <c r="H9" s="1802" t="s">
        <v>306</v>
      </c>
    </row>
    <row r="10" spans="1:8" ht="15" customHeight="1" x14ac:dyDescent="0.25">
      <c r="A10" s="1186"/>
      <c r="B10" s="1186"/>
      <c r="C10" s="1186"/>
      <c r="D10" s="1802" t="s">
        <v>262</v>
      </c>
      <c r="E10" s="1802"/>
      <c r="F10" s="1802"/>
      <c r="G10" s="1802"/>
      <c r="H10" s="1801" t="s">
        <v>263</v>
      </c>
    </row>
    <row r="11" spans="1:8" ht="15" customHeight="1" x14ac:dyDescent="0.25">
      <c r="B11" s="1186"/>
      <c r="C11" s="1186"/>
      <c r="D11" s="1801" t="s">
        <v>186</v>
      </c>
      <c r="E11" s="1801"/>
      <c r="F11" s="1802" t="s">
        <v>306</v>
      </c>
      <c r="G11" s="1802" t="s">
        <v>306</v>
      </c>
      <c r="H11" s="1803" t="s">
        <v>264</v>
      </c>
    </row>
    <row r="12" spans="1:8" ht="14.25" customHeight="1" x14ac:dyDescent="0.25">
      <c r="A12" s="1186"/>
      <c r="B12" s="1186"/>
      <c r="C12" s="1186"/>
      <c r="D12" s="1801" t="s">
        <v>265</v>
      </c>
      <c r="E12" s="1801"/>
      <c r="F12" s="1801" t="s">
        <v>263</v>
      </c>
      <c r="G12" s="1801" t="s">
        <v>1</v>
      </c>
      <c r="H12" s="1800" t="s">
        <v>266</v>
      </c>
    </row>
    <row r="13" spans="1:8" ht="15" customHeight="1" thickBot="1" x14ac:dyDescent="0.3">
      <c r="A13" s="1199"/>
      <c r="B13" s="1804"/>
      <c r="C13" s="1804"/>
      <c r="D13" s="1805" t="s">
        <v>457</v>
      </c>
      <c r="E13" s="1805"/>
      <c r="F13" s="1806" t="s">
        <v>264</v>
      </c>
      <c r="G13" s="1805" t="s">
        <v>458</v>
      </c>
      <c r="H13" s="1806" t="s">
        <v>1</v>
      </c>
    </row>
    <row r="14" spans="1:8" ht="15" customHeight="1" x14ac:dyDescent="0.25">
      <c r="A14" s="1807" t="s">
        <v>267</v>
      </c>
      <c r="B14" s="1310"/>
      <c r="C14" s="1310"/>
      <c r="D14" s="1808"/>
      <c r="E14" s="1808"/>
      <c r="F14" s="1803"/>
      <c r="G14" s="1808"/>
      <c r="H14" s="1803"/>
    </row>
    <row r="15" spans="1:8" ht="15" customHeight="1" thickBot="1" x14ac:dyDescent="0.3">
      <c r="A15" s="1809" t="s">
        <v>268</v>
      </c>
      <c r="B15" s="1804"/>
      <c r="C15" s="1804"/>
      <c r="D15" s="1805"/>
      <c r="E15" s="1805"/>
      <c r="F15" s="1806"/>
      <c r="G15" s="1805"/>
      <c r="H15" s="1806"/>
    </row>
    <row r="16" spans="1:8" ht="15" customHeight="1" x14ac:dyDescent="0.2">
      <c r="A16" s="1630" t="s">
        <v>283</v>
      </c>
      <c r="B16" s="1229"/>
      <c r="C16" s="1229"/>
      <c r="D16" s="800">
        <v>1191.6723799999995</v>
      </c>
      <c r="E16" s="1810"/>
      <c r="F16" s="1811">
        <v>3106.962</v>
      </c>
      <c r="G16" s="1810">
        <v>2216.5</v>
      </c>
      <c r="H16" s="1810">
        <f>F16-G16</f>
        <v>890.46199999999999</v>
      </c>
    </row>
    <row r="17" spans="1:8" ht="15" customHeight="1" x14ac:dyDescent="0.2">
      <c r="A17" s="1630" t="s">
        <v>160</v>
      </c>
      <c r="B17" s="1229"/>
      <c r="C17" s="1229"/>
      <c r="D17" s="1811">
        <v>765.43261000000018</v>
      </c>
      <c r="E17" s="1812"/>
      <c r="F17" s="1811">
        <v>1492.13</v>
      </c>
      <c r="G17" s="1813">
        <v>3101.8589999999999</v>
      </c>
      <c r="H17" s="1810">
        <f>F17-G17</f>
        <v>-1609.7289999999998</v>
      </c>
    </row>
    <row r="18" spans="1:8" ht="15" customHeight="1" x14ac:dyDescent="0.2">
      <c r="A18" s="1630" t="s">
        <v>230</v>
      </c>
      <c r="B18" s="1229"/>
      <c r="C18" s="1229"/>
      <c r="D18" s="1811">
        <v>232.77721000000003</v>
      </c>
      <c r="E18" s="1812"/>
      <c r="F18" s="1811">
        <v>484.13099999999997</v>
      </c>
      <c r="G18" s="1813">
        <v>600</v>
      </c>
      <c r="H18" s="1810">
        <f>F18-G18</f>
        <v>-115.86900000000003</v>
      </c>
    </row>
    <row r="19" spans="1:8" ht="15" customHeight="1" x14ac:dyDescent="0.2">
      <c r="A19" s="1630" t="s">
        <v>197</v>
      </c>
      <c r="B19" s="1310"/>
      <c r="C19" s="1310"/>
      <c r="D19" s="1811">
        <v>45.850409999999997</v>
      </c>
      <c r="E19" s="1812"/>
      <c r="F19" s="1811">
        <v>72.344999999999999</v>
      </c>
      <c r="G19" s="1813">
        <v>70</v>
      </c>
      <c r="H19" s="1810">
        <f>F19-G19</f>
        <v>2.3449999999999989</v>
      </c>
    </row>
    <row r="20" spans="1:8" s="1194" customFormat="1" ht="15" customHeight="1" x14ac:dyDescent="0.2">
      <c r="A20" s="1767" t="s">
        <v>269</v>
      </c>
      <c r="B20" s="1725"/>
      <c r="C20" s="1725"/>
      <c r="D20" s="1814">
        <f>SUM(D16:D19)</f>
        <v>2235.73261</v>
      </c>
      <c r="E20" s="1814"/>
      <c r="F20" s="1814">
        <f>SUM(F16:F19)</f>
        <v>5155.5680000000011</v>
      </c>
      <c r="G20" s="1814">
        <f>SUM(G16:G19)</f>
        <v>5988.3590000000004</v>
      </c>
      <c r="H20" s="1814">
        <f>SUM(H16:H19)</f>
        <v>-832.79099999999983</v>
      </c>
    </row>
    <row r="21" spans="1:8" ht="15" customHeight="1" x14ac:dyDescent="0.2">
      <c r="A21" s="1229"/>
      <c r="B21" s="1229"/>
      <c r="C21" s="1229"/>
      <c r="D21" s="1812"/>
      <c r="E21" s="1812"/>
      <c r="F21" s="1812"/>
      <c r="G21" s="1813"/>
    </row>
    <row r="22" spans="1:8" ht="15" customHeight="1" thickBot="1" x14ac:dyDescent="0.25">
      <c r="A22" s="1816" t="s">
        <v>270</v>
      </c>
      <c r="B22" s="1804"/>
      <c r="C22" s="1804"/>
      <c r="D22" s="1817"/>
      <c r="E22" s="1817"/>
      <c r="F22" s="1817"/>
      <c r="G22" s="1818"/>
      <c r="H22" s="1818"/>
    </row>
    <row r="23" spans="1:8" ht="15" customHeight="1" x14ac:dyDescent="0.2">
      <c r="A23" s="1229" t="s">
        <v>285</v>
      </c>
      <c r="B23" s="1310"/>
      <c r="C23" s="1310"/>
      <c r="D23" s="800">
        <v>454.14453999999984</v>
      </c>
      <c r="E23" s="1810"/>
      <c r="F23" s="1810">
        <v>1101.011</v>
      </c>
      <c r="G23" s="1811">
        <v>3136.6120000000001</v>
      </c>
      <c r="H23" s="1810">
        <f>F23-G23</f>
        <v>-2035.6010000000001</v>
      </c>
    </row>
    <row r="24" spans="1:8" ht="15" customHeight="1" x14ac:dyDescent="0.2">
      <c r="A24" s="1229" t="s">
        <v>275</v>
      </c>
      <c r="B24" s="1310"/>
      <c r="C24" s="1310"/>
      <c r="D24" s="1811">
        <v>231.73304999999999</v>
      </c>
      <c r="E24" s="1812"/>
      <c r="F24" s="1811">
        <v>707.57233571428571</v>
      </c>
      <c r="G24" s="1811">
        <v>2474.8339999999998</v>
      </c>
      <c r="H24" s="1810">
        <f>F24-G24</f>
        <v>-1767.2616642857142</v>
      </c>
    </row>
    <row r="25" spans="1:8" ht="15" customHeight="1" x14ac:dyDescent="0.2">
      <c r="A25" s="1630" t="s">
        <v>276</v>
      </c>
      <c r="B25" s="1310"/>
      <c r="C25" s="1310"/>
      <c r="D25" s="1811">
        <v>33.433839999999996</v>
      </c>
      <c r="E25" s="1812"/>
      <c r="F25" s="1811">
        <v>57.315154285714293</v>
      </c>
      <c r="G25" s="1811">
        <v>324.548</v>
      </c>
      <c r="H25" s="1810">
        <f>F25-G25</f>
        <v>-267.2328457142857</v>
      </c>
    </row>
    <row r="26" spans="1:8" ht="15" customHeight="1" x14ac:dyDescent="0.2">
      <c r="A26" s="1819" t="s">
        <v>459</v>
      </c>
      <c r="B26" s="1310"/>
      <c r="C26" s="1310"/>
      <c r="D26" s="1811">
        <v>12.265810000000002</v>
      </c>
      <c r="E26" s="1812"/>
      <c r="F26" s="1811">
        <v>153.58067428571428</v>
      </c>
      <c r="G26" s="1811">
        <v>246.08099999999999</v>
      </c>
      <c r="H26" s="1810">
        <f>F26-G26</f>
        <v>-92.500325714285708</v>
      </c>
    </row>
    <row r="27" spans="1:8" s="1194" customFormat="1" ht="15" customHeight="1" x14ac:dyDescent="0.25">
      <c r="A27" s="1239" t="s">
        <v>271</v>
      </c>
      <c r="B27" s="1820"/>
      <c r="C27" s="1820"/>
      <c r="D27" s="1821">
        <f>SUM(D23:D26)</f>
        <v>731.57723999999985</v>
      </c>
      <c r="E27" s="1811"/>
      <c r="F27" s="1822">
        <f>SUM(F23:F26)</f>
        <v>2019.479164285714</v>
      </c>
      <c r="G27" s="1822">
        <f>SUM(G23:G26)</f>
        <v>6182.0749999999998</v>
      </c>
      <c r="H27" s="1822">
        <f>SUM(H23:H26)</f>
        <v>-4162.5958357142854</v>
      </c>
    </row>
    <row r="28" spans="1:8" ht="15" customHeight="1" x14ac:dyDescent="0.2">
      <c r="A28" s="1823"/>
      <c r="B28" s="1310"/>
      <c r="C28" s="1310"/>
      <c r="D28" s="1812"/>
      <c r="E28" s="1812"/>
      <c r="F28" s="1812"/>
      <c r="G28" s="1813"/>
    </row>
    <row r="29" spans="1:8" ht="15" customHeight="1" thickBot="1" x14ac:dyDescent="0.25">
      <c r="A29" s="1816" t="s">
        <v>277</v>
      </c>
      <c r="B29" s="1804"/>
      <c r="C29" s="1804"/>
      <c r="D29" s="1824"/>
      <c r="E29" s="1824"/>
      <c r="F29" s="1824"/>
      <c r="G29" s="1825"/>
      <c r="H29" s="1825"/>
    </row>
    <row r="30" spans="1:8" ht="15" customHeight="1" x14ac:dyDescent="0.2">
      <c r="A30" s="1199" t="s">
        <v>278</v>
      </c>
      <c r="B30" s="1310"/>
      <c r="C30" s="1310"/>
      <c r="D30" s="1826">
        <v>0</v>
      </c>
      <c r="E30" s="1810"/>
      <c r="F30" s="1827">
        <v>75</v>
      </c>
      <c r="G30" s="1827">
        <v>75</v>
      </c>
      <c r="H30" s="1810">
        <f>F30-G30</f>
        <v>0</v>
      </c>
    </row>
    <row r="31" spans="1:8" ht="15" customHeight="1" x14ac:dyDescent="0.2">
      <c r="A31" s="1630" t="s">
        <v>279</v>
      </c>
      <c r="B31" s="1310"/>
      <c r="C31" s="1310"/>
      <c r="D31" s="1813">
        <v>0</v>
      </c>
      <c r="E31" s="1812"/>
      <c r="F31" s="1813">
        <v>50</v>
      </c>
      <c r="G31" s="1813">
        <v>135</v>
      </c>
      <c r="H31" s="1810">
        <f>F31-G31</f>
        <v>-85</v>
      </c>
    </row>
    <row r="32" spans="1:8" ht="15" customHeight="1" x14ac:dyDescent="0.2">
      <c r="A32" s="1630" t="s">
        <v>280</v>
      </c>
      <c r="B32" s="1310"/>
      <c r="C32" s="1310"/>
      <c r="D32" s="1813">
        <v>0</v>
      </c>
      <c r="E32" s="1812"/>
      <c r="F32" s="1813">
        <v>4</v>
      </c>
      <c r="G32" s="1813">
        <v>75</v>
      </c>
      <c r="H32" s="1810">
        <f>F32-G32</f>
        <v>-71</v>
      </c>
    </row>
    <row r="33" spans="1:8" s="1194" customFormat="1" ht="15" customHeight="1" x14ac:dyDescent="0.25">
      <c r="A33" s="1239" t="s">
        <v>272</v>
      </c>
      <c r="B33" s="1820"/>
      <c r="C33" s="1820"/>
      <c r="D33" s="1828">
        <f>SUM(D30:D32)</f>
        <v>0</v>
      </c>
      <c r="E33" s="1829"/>
      <c r="F33" s="1829">
        <f>SUM(F30:F32)</f>
        <v>129</v>
      </c>
      <c r="G33" s="1829">
        <f>SUM(G30:G32)</f>
        <v>285</v>
      </c>
      <c r="H33" s="1829">
        <f>SUM(H30:H32)</f>
        <v>-156</v>
      </c>
    </row>
    <row r="34" spans="1:8" ht="15" customHeight="1" x14ac:dyDescent="0.2">
      <c r="A34" s="1830"/>
      <c r="B34" s="1310"/>
      <c r="C34" s="1310"/>
      <c r="D34" s="1812"/>
      <c r="E34" s="1812"/>
      <c r="F34" s="1812"/>
      <c r="G34" s="1813"/>
    </row>
    <row r="35" spans="1:8" ht="15" customHeight="1" thickBot="1" x14ac:dyDescent="0.25">
      <c r="A35" s="1809" t="s">
        <v>24</v>
      </c>
      <c r="B35" s="1804"/>
      <c r="C35" s="1804"/>
      <c r="D35" s="1817"/>
      <c r="E35" s="1817"/>
      <c r="F35" s="1817"/>
      <c r="G35" s="1818"/>
      <c r="H35" s="1818"/>
    </row>
    <row r="36" spans="1:8" ht="15" customHeight="1" x14ac:dyDescent="0.2">
      <c r="A36" s="1229" t="s">
        <v>330</v>
      </c>
      <c r="B36" s="1310"/>
      <c r="C36" s="1310"/>
      <c r="D36" s="1826">
        <v>0</v>
      </c>
      <c r="E36" s="1831"/>
      <c r="F36" s="1826">
        <v>0</v>
      </c>
      <c r="G36" s="1826">
        <v>0</v>
      </c>
      <c r="H36" s="1810">
        <f>F36-G36</f>
        <v>0</v>
      </c>
    </row>
    <row r="37" spans="1:8" ht="15" customHeight="1" x14ac:dyDescent="0.2">
      <c r="A37" s="1229" t="s">
        <v>273</v>
      </c>
      <c r="B37" s="1310"/>
      <c r="C37" s="1310"/>
      <c r="D37" s="1826">
        <f>0</f>
        <v>0</v>
      </c>
      <c r="E37" s="1810"/>
      <c r="F37" s="1827">
        <v>35</v>
      </c>
      <c r="G37" s="1827">
        <v>52.5</v>
      </c>
      <c r="H37" s="1827">
        <f>F37-G37</f>
        <v>-17.5</v>
      </c>
    </row>
    <row r="38" spans="1:8" ht="15" customHeight="1" x14ac:dyDescent="0.2">
      <c r="A38" s="1229" t="s">
        <v>281</v>
      </c>
      <c r="B38" s="1310"/>
      <c r="C38" s="1310"/>
      <c r="D38" s="1811">
        <v>22.556170000000002</v>
      </c>
      <c r="E38" s="1812"/>
      <c r="F38" s="1813">
        <v>36.709600000000002</v>
      </c>
      <c r="G38" s="1813">
        <v>88.5</v>
      </c>
      <c r="H38" s="1827">
        <f>F38-G38</f>
        <v>-51.790399999999998</v>
      </c>
    </row>
    <row r="39" spans="1:8" ht="15" customHeight="1" x14ac:dyDescent="0.2">
      <c r="A39" s="1229" t="s">
        <v>282</v>
      </c>
      <c r="B39" s="1310"/>
      <c r="C39" s="1310"/>
      <c r="D39" s="1811">
        <v>58.79131000000001</v>
      </c>
      <c r="E39" s="1812"/>
      <c r="F39" s="1813">
        <v>138.72355999999999</v>
      </c>
      <c r="G39" s="1813">
        <v>426</v>
      </c>
      <c r="H39" s="1827">
        <f>F39-G39</f>
        <v>-287.27643999999998</v>
      </c>
    </row>
    <row r="40" spans="1:8" ht="15" customHeight="1" x14ac:dyDescent="0.2">
      <c r="A40" s="1199" t="s">
        <v>284</v>
      </c>
      <c r="B40" s="1310"/>
      <c r="C40" s="1310"/>
      <c r="D40" s="1811">
        <v>14.68595</v>
      </c>
      <c r="E40" s="1812"/>
      <c r="F40" s="1813">
        <v>20.41771</v>
      </c>
      <c r="G40" s="1813">
        <v>24.75</v>
      </c>
      <c r="H40" s="1827">
        <f>F40-G40</f>
        <v>-4.3322900000000004</v>
      </c>
    </row>
    <row r="41" spans="1:8" s="1194" customFormat="1" ht="15" customHeight="1" x14ac:dyDescent="0.25">
      <c r="A41" s="1239" t="s">
        <v>274</v>
      </c>
      <c r="B41" s="1820"/>
      <c r="C41" s="1820"/>
      <c r="D41" s="1828">
        <f>SUM(D37:D40)</f>
        <v>96.033430000000024</v>
      </c>
      <c r="E41" s="1829"/>
      <c r="F41" s="1829">
        <f>SUM(F37:F40)</f>
        <v>230.85086999999999</v>
      </c>
      <c r="G41" s="1829">
        <f>SUM(G37:G40)</f>
        <v>591.75</v>
      </c>
      <c r="H41" s="1829">
        <f>SUM(H37:H40)</f>
        <v>-360.89912999999996</v>
      </c>
    </row>
    <row r="42" spans="1:8" ht="15" customHeight="1" thickBot="1" x14ac:dyDescent="0.25">
      <c r="A42" s="1832"/>
      <c r="B42" s="1804"/>
      <c r="C42" s="1804"/>
      <c r="D42" s="1824"/>
      <c r="E42" s="1824"/>
      <c r="F42" s="1824"/>
      <c r="G42" s="1824"/>
      <c r="H42" s="1817"/>
    </row>
    <row r="43" spans="1:8" s="1194" customFormat="1" ht="18" customHeight="1" thickBot="1" x14ac:dyDescent="0.3">
      <c r="A43" s="1809" t="s">
        <v>0</v>
      </c>
      <c r="B43" s="1833"/>
      <c r="C43" s="1833"/>
      <c r="D43" s="1834">
        <f>D20+D27+D33+D41</f>
        <v>3063.3432799999996</v>
      </c>
      <c r="E43" s="1834"/>
      <c r="F43" s="1834">
        <f>F20+F27+F33+F41</f>
        <v>7534.8980342857158</v>
      </c>
      <c r="G43" s="1834">
        <f>G20+G27+G33+G41</f>
        <v>13047.184000000001</v>
      </c>
      <c r="H43" s="1834">
        <f>H20+H27+H33+H41</f>
        <v>-5512.2859657142853</v>
      </c>
    </row>
    <row r="44" spans="1:8" ht="15" customHeight="1" x14ac:dyDescent="0.2">
      <c r="A44" s="1823"/>
      <c r="B44" s="1310"/>
      <c r="C44" s="1310"/>
      <c r="D44" s="1812"/>
      <c r="E44" s="1812"/>
      <c r="F44" s="1812"/>
      <c r="G44" s="1812"/>
      <c r="H44" s="1812"/>
    </row>
    <row r="45" spans="1:8" ht="15" customHeight="1" x14ac:dyDescent="0.2">
      <c r="A45" s="1823"/>
      <c r="B45" s="1310"/>
      <c r="C45" s="1310"/>
      <c r="D45" s="1812"/>
      <c r="E45" s="1812"/>
      <c r="F45" s="1812"/>
      <c r="G45" s="1812"/>
      <c r="H45" s="1812"/>
    </row>
    <row r="46" spans="1:8" x14ac:dyDescent="0.2">
      <c r="A46" s="1199"/>
      <c r="B46" s="1199"/>
      <c r="C46" s="1199"/>
      <c r="D46" s="1831"/>
      <c r="E46" s="1831"/>
      <c r="F46" s="1831"/>
      <c r="G46" s="1831"/>
      <c r="H46" s="1831"/>
    </row>
    <row r="47" spans="1:8" x14ac:dyDescent="0.2">
      <c r="A47" s="1819"/>
      <c r="B47" s="1199"/>
      <c r="C47" s="1199"/>
      <c r="D47" s="1831"/>
      <c r="E47" s="1831"/>
      <c r="F47" s="1831"/>
      <c r="G47" s="1831"/>
      <c r="H47" s="1831"/>
    </row>
    <row r="48" spans="1:8" x14ac:dyDescent="0.2">
      <c r="A48" s="1199"/>
      <c r="B48" s="1199"/>
      <c r="C48" s="1199"/>
      <c r="D48" s="1831"/>
      <c r="E48" s="1831"/>
      <c r="F48" s="1831"/>
      <c r="G48" s="1831"/>
      <c r="H48" s="1831"/>
    </row>
    <row r="49" spans="1:8" x14ac:dyDescent="0.2">
      <c r="A49" s="1286"/>
      <c r="B49" s="1199"/>
      <c r="C49" s="1199"/>
      <c r="D49" s="1831"/>
      <c r="E49" s="1831"/>
      <c r="F49" s="1831"/>
      <c r="G49" s="1831"/>
      <c r="H49" s="1831"/>
    </row>
    <row r="50" spans="1:8" x14ac:dyDescent="0.2">
      <c r="A50" s="1286"/>
      <c r="B50" s="1199"/>
      <c r="C50" s="1199"/>
      <c r="D50" s="1831"/>
      <c r="E50" s="1831"/>
      <c r="F50" s="1831"/>
      <c r="G50" s="1831"/>
      <c r="H50" s="1831"/>
    </row>
    <row r="51" spans="1:8" x14ac:dyDescent="0.2">
      <c r="A51" s="1199"/>
      <c r="B51" s="1199"/>
      <c r="C51" s="1199"/>
      <c r="D51" s="1831"/>
      <c r="E51" s="1831"/>
      <c r="F51" s="1831"/>
      <c r="G51" s="1831"/>
      <c r="H51" s="1831"/>
    </row>
    <row r="52" spans="1:8" x14ac:dyDescent="0.2">
      <c r="A52" s="1199"/>
      <c r="B52" s="1199"/>
      <c r="C52" s="1199"/>
      <c r="D52" s="1831"/>
      <c r="E52" s="1831"/>
      <c r="F52" s="1831"/>
      <c r="G52" s="1831"/>
      <c r="H52" s="1831"/>
    </row>
    <row r="53" spans="1:8" x14ac:dyDescent="0.2">
      <c r="A53" s="1199"/>
      <c r="B53" s="1199"/>
      <c r="C53" s="1199"/>
      <c r="D53" s="1831"/>
      <c r="E53" s="1831"/>
      <c r="F53" s="1831"/>
      <c r="G53" s="1831"/>
      <c r="H53" s="1831"/>
    </row>
    <row r="54" spans="1:8" x14ac:dyDescent="0.2">
      <c r="A54" s="1199"/>
      <c r="B54" s="1199"/>
      <c r="C54" s="1199"/>
      <c r="D54" s="1831"/>
      <c r="E54" s="1831"/>
      <c r="F54" s="1831"/>
      <c r="G54" s="1831"/>
      <c r="H54" s="1831"/>
    </row>
    <row r="55" spans="1:8" x14ac:dyDescent="0.2">
      <c r="A55" s="1199"/>
      <c r="B55" s="1199"/>
      <c r="C55" s="1199"/>
      <c r="D55" s="1831"/>
      <c r="E55" s="1831"/>
      <c r="F55" s="1831"/>
      <c r="G55" s="1831"/>
      <c r="H55" s="1831"/>
    </row>
    <row r="56" spans="1:8" x14ac:dyDescent="0.2">
      <c r="A56" s="1199"/>
      <c r="B56" s="1199"/>
      <c r="C56" s="1199"/>
      <c r="D56" s="1831"/>
      <c r="E56" s="1831"/>
      <c r="F56" s="1831"/>
      <c r="G56" s="1831"/>
      <c r="H56" s="1831"/>
    </row>
    <row r="57" spans="1:8" x14ac:dyDescent="0.2">
      <c r="A57" s="1199"/>
      <c r="B57" s="1199"/>
      <c r="C57" s="1199"/>
      <c r="D57" s="1831"/>
      <c r="E57" s="1831"/>
      <c r="F57" s="1831"/>
      <c r="G57" s="1831"/>
      <c r="H57" s="1831"/>
    </row>
    <row r="58" spans="1:8" x14ac:dyDescent="0.2">
      <c r="A58" s="1199"/>
      <c r="B58" s="1199"/>
      <c r="C58" s="1199"/>
      <c r="D58" s="1831"/>
      <c r="E58" s="1831"/>
      <c r="F58" s="1831"/>
      <c r="G58" s="1831"/>
      <c r="H58" s="1831"/>
    </row>
    <row r="59" spans="1:8" x14ac:dyDescent="0.2">
      <c r="A59" s="1199"/>
      <c r="B59" s="1199"/>
      <c r="C59" s="1199"/>
      <c r="D59" s="1831"/>
      <c r="E59" s="1831"/>
      <c r="F59" s="1831"/>
      <c r="G59" s="1831"/>
      <c r="H59" s="1831"/>
    </row>
    <row r="60" spans="1:8" x14ac:dyDescent="0.2">
      <c r="A60" s="1199"/>
      <c r="B60" s="1199"/>
      <c r="C60" s="1199"/>
      <c r="D60" s="1831"/>
      <c r="E60" s="1831"/>
      <c r="F60" s="1831"/>
      <c r="G60" s="1831"/>
      <c r="H60" s="1831"/>
    </row>
    <row r="61" spans="1:8" x14ac:dyDescent="0.2">
      <c r="A61" s="1199"/>
      <c r="B61" s="1199"/>
      <c r="C61" s="1199"/>
      <c r="D61" s="1831"/>
      <c r="E61" s="1831"/>
      <c r="F61" s="1831"/>
      <c r="G61" s="1831"/>
      <c r="H61" s="1831"/>
    </row>
    <row r="62" spans="1:8" x14ac:dyDescent="0.2">
      <c r="A62" s="1199"/>
      <c r="B62" s="1199"/>
      <c r="C62" s="1199"/>
      <c r="D62" s="1831"/>
      <c r="E62" s="1831"/>
      <c r="F62" s="1831"/>
      <c r="G62" s="1831"/>
      <c r="H62" s="1831"/>
    </row>
    <row r="63" spans="1:8" x14ac:dyDescent="0.2">
      <c r="A63" s="1199"/>
      <c r="B63" s="1199"/>
      <c r="C63" s="1199"/>
      <c r="D63" s="1831"/>
      <c r="E63" s="1831"/>
      <c r="F63" s="1831"/>
      <c r="G63" s="1831"/>
      <c r="H63" s="1831"/>
    </row>
    <row r="64" spans="1:8" x14ac:dyDescent="0.2">
      <c r="A64" s="1199"/>
      <c r="B64" s="1199"/>
      <c r="C64" s="1199"/>
      <c r="D64" s="1831"/>
      <c r="E64" s="1831"/>
      <c r="F64" s="1831"/>
      <c r="G64" s="1831"/>
      <c r="H64" s="1831"/>
    </row>
    <row r="65" spans="1:8" x14ac:dyDescent="0.2">
      <c r="A65" s="1199"/>
      <c r="B65" s="1199"/>
      <c r="C65" s="1199"/>
      <c r="D65" s="1831"/>
      <c r="E65" s="1831"/>
      <c r="F65" s="1831"/>
      <c r="G65" s="1831"/>
      <c r="H65" s="1831"/>
    </row>
    <row r="66" spans="1:8" x14ac:dyDescent="0.2">
      <c r="A66" s="1199"/>
      <c r="B66" s="1199"/>
      <c r="C66" s="1199"/>
      <c r="D66" s="1831"/>
      <c r="E66" s="1831"/>
      <c r="F66" s="1831"/>
      <c r="G66" s="1831"/>
      <c r="H66" s="1831"/>
    </row>
    <row r="67" spans="1:8" x14ac:dyDescent="0.2">
      <c r="A67" s="1199"/>
      <c r="B67" s="1199"/>
      <c r="C67" s="1199"/>
      <c r="D67" s="1831"/>
      <c r="E67" s="1831"/>
      <c r="F67" s="1831"/>
      <c r="G67" s="1831"/>
      <c r="H67" s="1831"/>
    </row>
    <row r="68" spans="1:8" x14ac:dyDescent="0.2">
      <c r="A68" s="1199"/>
      <c r="B68" s="1199"/>
      <c r="C68" s="1199"/>
      <c r="D68" s="1831"/>
      <c r="E68" s="1831"/>
      <c r="F68" s="1831"/>
      <c r="G68" s="1831"/>
      <c r="H68" s="1831"/>
    </row>
    <row r="69" spans="1:8" x14ac:dyDescent="0.2">
      <c r="A69" s="1199"/>
      <c r="B69" s="1199"/>
      <c r="C69" s="1199"/>
      <c r="D69" s="1831"/>
      <c r="E69" s="1831"/>
      <c r="F69" s="1831"/>
      <c r="G69" s="1831"/>
      <c r="H69" s="1831"/>
    </row>
    <row r="70" spans="1:8" x14ac:dyDescent="0.2">
      <c r="A70" s="1199"/>
      <c r="B70" s="1199"/>
      <c r="C70" s="1199"/>
      <c r="D70" s="1831"/>
      <c r="E70" s="1831"/>
      <c r="F70" s="1831"/>
      <c r="G70" s="1831"/>
      <c r="H70" s="1831"/>
    </row>
    <row r="71" spans="1:8" x14ac:dyDescent="0.2">
      <c r="A71" s="1199"/>
      <c r="B71" s="1199"/>
      <c r="C71" s="1199"/>
      <c r="D71" s="1831"/>
      <c r="E71" s="1831"/>
      <c r="F71" s="1831"/>
      <c r="G71" s="1831"/>
      <c r="H71" s="1831"/>
    </row>
    <row r="72" spans="1:8" x14ac:dyDescent="0.2">
      <c r="A72" s="1199"/>
      <c r="B72" s="1199"/>
      <c r="C72" s="1199"/>
      <c r="D72" s="1831"/>
      <c r="E72" s="1831"/>
      <c r="F72" s="1831"/>
      <c r="G72" s="1831"/>
      <c r="H72" s="1831"/>
    </row>
    <row r="73" spans="1:8" x14ac:dyDescent="0.2">
      <c r="A73" s="1199"/>
      <c r="B73" s="1199"/>
      <c r="C73" s="1199"/>
      <c r="D73" s="1831"/>
      <c r="E73" s="1831"/>
      <c r="F73" s="1831"/>
      <c r="G73" s="1831"/>
      <c r="H73" s="1831"/>
    </row>
    <row r="74" spans="1:8" x14ac:dyDescent="0.2">
      <c r="A74" s="1199"/>
      <c r="B74" s="1199"/>
      <c r="C74" s="1199"/>
      <c r="D74" s="1831"/>
      <c r="E74" s="1831"/>
      <c r="F74" s="1831"/>
      <c r="G74" s="1831"/>
      <c r="H74" s="1831"/>
    </row>
    <row r="75" spans="1:8" x14ac:dyDescent="0.2">
      <c r="A75" s="1199"/>
      <c r="B75" s="1199"/>
      <c r="C75" s="1199"/>
      <c r="D75" s="1831"/>
      <c r="E75" s="1831"/>
      <c r="F75" s="1831"/>
      <c r="G75" s="1831"/>
      <c r="H75" s="1831"/>
    </row>
    <row r="76" spans="1:8" x14ac:dyDescent="0.2">
      <c r="A76" s="1199"/>
      <c r="B76" s="1199"/>
      <c r="C76" s="1199"/>
      <c r="D76" s="1831"/>
      <c r="E76" s="1831"/>
      <c r="F76" s="1831"/>
      <c r="G76" s="1831"/>
      <c r="H76" s="1831"/>
    </row>
    <row r="77" spans="1:8" x14ac:dyDescent="0.2">
      <c r="A77" s="1199"/>
      <c r="B77" s="1199"/>
      <c r="C77" s="1199"/>
      <c r="D77" s="1831"/>
      <c r="E77" s="1831"/>
      <c r="F77" s="1831"/>
      <c r="G77" s="1831"/>
      <c r="H77" s="1831"/>
    </row>
    <row r="78" spans="1:8" x14ac:dyDescent="0.2">
      <c r="A78" s="1199"/>
      <c r="B78" s="1199"/>
      <c r="C78" s="1199"/>
      <c r="D78" s="1831"/>
      <c r="E78" s="1831"/>
      <c r="F78" s="1831"/>
      <c r="G78" s="1831"/>
      <c r="H78" s="1831"/>
    </row>
    <row r="79" spans="1:8" x14ac:dyDescent="0.2">
      <c r="A79" s="1199"/>
      <c r="B79" s="1199"/>
      <c r="C79" s="1199"/>
      <c r="D79" s="1831"/>
      <c r="E79" s="1831"/>
      <c r="F79" s="1831"/>
      <c r="G79" s="1831"/>
      <c r="H79" s="1831"/>
    </row>
    <row r="80" spans="1:8" x14ac:dyDescent="0.2">
      <c r="A80" s="1199"/>
      <c r="B80" s="1199"/>
      <c r="C80" s="1199"/>
      <c r="D80" s="1831"/>
      <c r="E80" s="1831"/>
      <c r="F80" s="1831"/>
      <c r="G80" s="1831"/>
      <c r="H80" s="1831"/>
    </row>
    <row r="81" spans="1:8" x14ac:dyDescent="0.2">
      <c r="A81" s="1199"/>
      <c r="B81" s="1199"/>
      <c r="C81" s="1199"/>
      <c r="D81" s="1831"/>
      <c r="E81" s="1831"/>
      <c r="F81" s="1831"/>
      <c r="G81" s="1831"/>
      <c r="H81" s="1831"/>
    </row>
    <row r="82" spans="1:8" x14ac:dyDescent="0.2">
      <c r="A82" s="1199"/>
      <c r="B82" s="1199"/>
      <c r="C82" s="1199"/>
      <c r="D82" s="1831"/>
      <c r="E82" s="1831"/>
      <c r="F82" s="1831"/>
      <c r="G82" s="1831"/>
      <c r="H82" s="1831"/>
    </row>
    <row r="83" spans="1:8" x14ac:dyDescent="0.2">
      <c r="A83" s="1199"/>
      <c r="B83" s="1199"/>
      <c r="C83" s="1199"/>
      <c r="D83" s="1831"/>
      <c r="E83" s="1831"/>
      <c r="F83" s="1831"/>
      <c r="G83" s="1831"/>
      <c r="H83" s="1831"/>
    </row>
    <row r="84" spans="1:8" x14ac:dyDescent="0.2">
      <c r="A84" s="1199"/>
      <c r="B84" s="1199"/>
      <c r="C84" s="1199"/>
      <c r="D84" s="1831"/>
      <c r="E84" s="1831"/>
      <c r="F84" s="1831"/>
      <c r="G84" s="1831"/>
      <c r="H84" s="1831"/>
    </row>
    <row r="85" spans="1:8" x14ac:dyDescent="0.2">
      <c r="A85" s="1199"/>
      <c r="B85" s="1199"/>
      <c r="C85" s="1199"/>
      <c r="D85" s="1831"/>
      <c r="E85" s="1831"/>
      <c r="F85" s="1831"/>
      <c r="G85" s="1831"/>
      <c r="H85" s="1831"/>
    </row>
    <row r="86" spans="1:8" x14ac:dyDescent="0.2">
      <c r="A86" s="1199"/>
      <c r="B86" s="1199"/>
      <c r="C86" s="1199"/>
      <c r="D86" s="1831"/>
      <c r="E86" s="1831"/>
      <c r="F86" s="1831"/>
      <c r="G86" s="1831"/>
      <c r="H86" s="1831"/>
    </row>
    <row r="87" spans="1:8" x14ac:dyDescent="0.2">
      <c r="A87" s="1199"/>
      <c r="B87" s="1199"/>
      <c r="C87" s="1199"/>
      <c r="D87" s="1831"/>
      <c r="E87" s="1831"/>
      <c r="F87" s="1831"/>
      <c r="G87" s="1831"/>
      <c r="H87" s="1831"/>
    </row>
    <row r="88" spans="1:8" x14ac:dyDescent="0.2">
      <c r="A88" s="1199"/>
      <c r="B88" s="1199"/>
      <c r="C88" s="1199"/>
      <c r="D88" s="1831"/>
      <c r="E88" s="1831"/>
      <c r="F88" s="1831"/>
      <c r="G88" s="1831"/>
      <c r="H88" s="1831"/>
    </row>
    <row r="89" spans="1:8" x14ac:dyDescent="0.2">
      <c r="A89" s="1199"/>
      <c r="B89" s="1199"/>
      <c r="C89" s="1199"/>
      <c r="D89" s="1831"/>
      <c r="E89" s="1831"/>
      <c r="F89" s="1831"/>
      <c r="G89" s="1831"/>
      <c r="H89" s="1831"/>
    </row>
    <row r="90" spans="1:8" x14ac:dyDescent="0.2">
      <c r="A90" s="1199"/>
      <c r="B90" s="1199"/>
      <c r="C90" s="1199"/>
      <c r="D90" s="1831"/>
      <c r="E90" s="1831"/>
      <c r="F90" s="1831"/>
      <c r="G90" s="1831"/>
      <c r="H90" s="1831"/>
    </row>
    <row r="91" spans="1:8" x14ac:dyDescent="0.2">
      <c r="A91" s="1199"/>
      <c r="B91" s="1199"/>
      <c r="C91" s="1199"/>
      <c r="D91" s="1831"/>
      <c r="E91" s="1831"/>
      <c r="F91" s="1831"/>
      <c r="G91" s="1831"/>
      <c r="H91" s="1831"/>
    </row>
    <row r="92" spans="1:8" x14ac:dyDescent="0.2">
      <c r="A92" s="1199"/>
      <c r="B92" s="1199"/>
      <c r="C92" s="1199"/>
      <c r="D92" s="1831"/>
      <c r="E92" s="1831"/>
      <c r="F92" s="1831"/>
      <c r="G92" s="1831"/>
      <c r="H92" s="1831"/>
    </row>
    <row r="93" spans="1:8" x14ac:dyDescent="0.2">
      <c r="A93" s="1199"/>
      <c r="B93" s="1199"/>
      <c r="C93" s="1199"/>
      <c r="D93" s="1831"/>
      <c r="E93" s="1831"/>
      <c r="F93" s="1831"/>
      <c r="G93" s="1831"/>
      <c r="H93" s="1831"/>
    </row>
    <row r="94" spans="1:8" x14ac:dyDescent="0.2">
      <c r="A94" s="1199"/>
      <c r="B94" s="1199"/>
      <c r="C94" s="1199"/>
      <c r="D94" s="1831"/>
      <c r="E94" s="1831"/>
      <c r="F94" s="1831"/>
      <c r="G94" s="1831"/>
      <c r="H94" s="1831"/>
    </row>
    <row r="95" spans="1:8" x14ac:dyDescent="0.2">
      <c r="A95" s="1199"/>
      <c r="B95" s="1199"/>
      <c r="C95" s="1199"/>
      <c r="D95" s="1831"/>
      <c r="E95" s="1831"/>
      <c r="F95" s="1831"/>
      <c r="G95" s="1831"/>
      <c r="H95" s="1831"/>
    </row>
    <row r="96" spans="1:8" x14ac:dyDescent="0.2">
      <c r="A96" s="1199"/>
      <c r="B96" s="1199"/>
      <c r="C96" s="1199"/>
      <c r="D96" s="1831"/>
      <c r="E96" s="1831"/>
      <c r="F96" s="1831"/>
      <c r="G96" s="1831"/>
      <c r="H96" s="1831"/>
    </row>
    <row r="97" spans="1:8" x14ac:dyDescent="0.2">
      <c r="A97" s="1199"/>
      <c r="B97" s="1199"/>
      <c r="C97" s="1199"/>
      <c r="D97" s="1831"/>
      <c r="E97" s="1831"/>
      <c r="F97" s="1831"/>
      <c r="G97" s="1831"/>
      <c r="H97" s="1831"/>
    </row>
    <row r="98" spans="1:8" x14ac:dyDescent="0.2">
      <c r="A98" s="1199"/>
      <c r="B98" s="1199"/>
      <c r="C98" s="1199"/>
      <c r="D98" s="1831"/>
      <c r="E98" s="1831"/>
      <c r="F98" s="1831"/>
      <c r="G98" s="1831"/>
      <c r="H98" s="1831"/>
    </row>
    <row r="99" spans="1:8" x14ac:dyDescent="0.2">
      <c r="A99" s="1199"/>
      <c r="B99" s="1199"/>
      <c r="C99" s="1199"/>
      <c r="D99" s="1831"/>
      <c r="E99" s="1831"/>
      <c r="F99" s="1831"/>
      <c r="G99" s="1831"/>
      <c r="H99" s="1831"/>
    </row>
    <row r="100" spans="1:8" x14ac:dyDescent="0.2">
      <c r="A100" s="1199"/>
      <c r="B100" s="1199"/>
      <c r="C100" s="1199"/>
      <c r="D100" s="1831"/>
      <c r="E100" s="1831"/>
      <c r="F100" s="1831"/>
      <c r="G100" s="1831"/>
      <c r="H100" s="1831"/>
    </row>
    <row r="101" spans="1:8" x14ac:dyDescent="0.2">
      <c r="A101" s="1199"/>
      <c r="B101" s="1199"/>
      <c r="C101" s="1199"/>
      <c r="D101" s="1831"/>
      <c r="E101" s="1831"/>
      <c r="F101" s="1831"/>
      <c r="G101" s="1831"/>
      <c r="H101" s="1831"/>
    </row>
    <row r="102" spans="1:8" x14ac:dyDescent="0.2">
      <c r="A102" s="1199"/>
      <c r="B102" s="1199"/>
      <c r="C102" s="1199"/>
      <c r="D102" s="1831"/>
      <c r="E102" s="1831"/>
      <c r="F102" s="1831"/>
      <c r="G102" s="1831"/>
      <c r="H102" s="1831"/>
    </row>
    <row r="103" spans="1:8" x14ac:dyDescent="0.2">
      <c r="A103" s="1199"/>
      <c r="B103" s="1199"/>
      <c r="C103" s="1199"/>
      <c r="D103" s="1831"/>
      <c r="E103" s="1831"/>
      <c r="F103" s="1831"/>
      <c r="G103" s="1831"/>
      <c r="H103" s="1831"/>
    </row>
    <row r="104" spans="1:8" x14ac:dyDescent="0.2">
      <c r="A104" s="1199"/>
      <c r="B104" s="1199"/>
      <c r="C104" s="1199"/>
      <c r="D104" s="1831"/>
      <c r="E104" s="1831"/>
      <c r="F104" s="1831"/>
      <c r="G104" s="1831"/>
      <c r="H104" s="1831"/>
    </row>
    <row r="105" spans="1:8" x14ac:dyDescent="0.2">
      <c r="A105" s="1199"/>
      <c r="B105" s="1199"/>
      <c r="C105" s="1199"/>
      <c r="D105" s="1831"/>
      <c r="E105" s="1831"/>
      <c r="F105" s="1831"/>
      <c r="G105" s="1831"/>
      <c r="H105" s="1831"/>
    </row>
    <row r="106" spans="1:8" x14ac:dyDescent="0.2">
      <c r="A106" s="1199"/>
      <c r="B106" s="1199"/>
      <c r="C106" s="1199"/>
      <c r="D106" s="1831"/>
      <c r="E106" s="1831"/>
      <c r="F106" s="1831"/>
      <c r="G106" s="1831"/>
      <c r="H106" s="1831"/>
    </row>
    <row r="107" spans="1:8" x14ac:dyDescent="0.2">
      <c r="A107" s="1199"/>
      <c r="B107" s="1199"/>
      <c r="C107" s="1199"/>
      <c r="D107" s="1831"/>
      <c r="E107" s="1831"/>
      <c r="F107" s="1831"/>
      <c r="G107" s="1831"/>
      <c r="H107" s="1831"/>
    </row>
    <row r="108" spans="1:8" x14ac:dyDescent="0.2">
      <c r="A108" s="1199"/>
      <c r="B108" s="1199"/>
      <c r="C108" s="1199"/>
      <c r="D108" s="1831"/>
      <c r="E108" s="1831"/>
      <c r="F108" s="1831"/>
      <c r="G108" s="1831"/>
      <c r="H108" s="1831"/>
    </row>
    <row r="109" spans="1:8" x14ac:dyDescent="0.2">
      <c r="A109" s="1199"/>
      <c r="B109" s="1199"/>
      <c r="C109" s="1199"/>
      <c r="D109" s="1831"/>
      <c r="E109" s="1831"/>
      <c r="F109" s="1831"/>
      <c r="G109" s="1831"/>
      <c r="H109" s="1831"/>
    </row>
    <row r="110" spans="1:8" x14ac:dyDescent="0.2">
      <c r="A110" s="1199"/>
      <c r="B110" s="1199"/>
      <c r="C110" s="1199"/>
      <c r="D110" s="1831"/>
      <c r="E110" s="1831"/>
      <c r="F110" s="1831"/>
      <c r="G110" s="1831"/>
      <c r="H110" s="1831"/>
    </row>
    <row r="111" spans="1:8" x14ac:dyDescent="0.2">
      <c r="A111" s="1199"/>
      <c r="B111" s="1199"/>
      <c r="C111" s="1199"/>
      <c r="D111" s="1831"/>
      <c r="E111" s="1831"/>
      <c r="F111" s="1831"/>
      <c r="G111" s="1831"/>
      <c r="H111" s="1831"/>
    </row>
    <row r="112" spans="1:8" x14ac:dyDescent="0.2">
      <c r="A112" s="1199"/>
      <c r="B112" s="1199"/>
      <c r="C112" s="1199"/>
      <c r="D112" s="1831"/>
      <c r="E112" s="1831"/>
      <c r="F112" s="1831"/>
      <c r="G112" s="1831"/>
      <c r="H112" s="1831"/>
    </row>
    <row r="113" spans="1:8" x14ac:dyDescent="0.2">
      <c r="A113" s="1199"/>
      <c r="B113" s="1199"/>
      <c r="C113" s="1199"/>
      <c r="D113" s="1831"/>
      <c r="E113" s="1831"/>
      <c r="F113" s="1831"/>
      <c r="G113" s="1831"/>
      <c r="H113" s="1831"/>
    </row>
    <row r="114" spans="1:8" x14ac:dyDescent="0.2">
      <c r="A114" s="1199"/>
      <c r="B114" s="1199"/>
      <c r="C114" s="1199"/>
      <c r="D114" s="1831"/>
      <c r="E114" s="1831"/>
      <c r="F114" s="1831"/>
      <c r="G114" s="1831"/>
      <c r="H114" s="1831"/>
    </row>
    <row r="115" spans="1:8" x14ac:dyDescent="0.2">
      <c r="A115" s="1199"/>
      <c r="B115" s="1199"/>
      <c r="C115" s="1199"/>
      <c r="D115" s="1831"/>
      <c r="E115" s="1831"/>
      <c r="F115" s="1831"/>
      <c r="G115" s="1831"/>
      <c r="H115" s="1831"/>
    </row>
    <row r="116" spans="1:8" x14ac:dyDescent="0.2">
      <c r="A116" s="1199"/>
      <c r="B116" s="1199"/>
      <c r="C116" s="1199"/>
      <c r="D116" s="1831"/>
      <c r="E116" s="1831"/>
      <c r="F116" s="1831"/>
      <c r="G116" s="1831"/>
      <c r="H116" s="1831"/>
    </row>
    <row r="117" spans="1:8" x14ac:dyDescent="0.2">
      <c r="A117" s="1199"/>
      <c r="B117" s="1199"/>
      <c r="C117" s="1199"/>
      <c r="D117" s="1831"/>
      <c r="E117" s="1831"/>
      <c r="F117" s="1831"/>
      <c r="G117" s="1831"/>
      <c r="H117" s="1831"/>
    </row>
    <row r="118" spans="1:8" x14ac:dyDescent="0.2">
      <c r="A118" s="1199"/>
      <c r="B118" s="1199"/>
      <c r="C118" s="1199"/>
      <c r="D118" s="1831"/>
      <c r="E118" s="1831"/>
      <c r="F118" s="1831"/>
      <c r="G118" s="1831"/>
      <c r="H118" s="1831"/>
    </row>
    <row r="119" spans="1:8" x14ac:dyDescent="0.2">
      <c r="A119" s="1199"/>
      <c r="B119" s="1199"/>
      <c r="C119" s="1199"/>
      <c r="D119" s="1831"/>
      <c r="E119" s="1831"/>
      <c r="F119" s="1831"/>
      <c r="G119" s="1831"/>
      <c r="H119" s="1831"/>
    </row>
    <row r="120" spans="1:8" x14ac:dyDescent="0.2">
      <c r="A120" s="1199"/>
      <c r="B120" s="1199"/>
      <c r="C120" s="1199"/>
      <c r="D120" s="1831"/>
      <c r="E120" s="1831"/>
      <c r="F120" s="1831"/>
      <c r="G120" s="1831"/>
      <c r="H120" s="1831"/>
    </row>
    <row r="121" spans="1:8" x14ac:dyDescent="0.2">
      <c r="A121" s="1199"/>
      <c r="B121" s="1199"/>
      <c r="C121" s="1199"/>
      <c r="D121" s="1831"/>
      <c r="E121" s="1831"/>
      <c r="F121" s="1831"/>
      <c r="G121" s="1831"/>
      <c r="H121" s="1831"/>
    </row>
    <row r="122" spans="1:8" x14ac:dyDescent="0.2">
      <c r="A122" s="1199"/>
      <c r="B122" s="1199"/>
      <c r="C122" s="1199"/>
      <c r="D122" s="1831"/>
      <c r="E122" s="1831"/>
      <c r="F122" s="1831"/>
      <c r="G122" s="1831"/>
      <c r="H122" s="1831"/>
    </row>
    <row r="123" spans="1:8" x14ac:dyDescent="0.2">
      <c r="A123" s="1199"/>
      <c r="B123" s="1199"/>
      <c r="C123" s="1199"/>
      <c r="D123" s="1831"/>
      <c r="E123" s="1831"/>
      <c r="F123" s="1831"/>
      <c r="G123" s="1831"/>
      <c r="H123" s="1831"/>
    </row>
    <row r="124" spans="1:8" x14ac:dyDescent="0.2">
      <c r="A124" s="1199"/>
      <c r="B124" s="1199"/>
      <c r="C124" s="1199"/>
      <c r="D124" s="1831"/>
      <c r="E124" s="1831"/>
      <c r="F124" s="1831"/>
      <c r="G124" s="1831"/>
      <c r="H124" s="1831"/>
    </row>
    <row r="125" spans="1:8" x14ac:dyDescent="0.2">
      <c r="A125" s="1199"/>
      <c r="B125" s="1199"/>
      <c r="C125" s="1199"/>
      <c r="D125" s="1831"/>
      <c r="E125" s="1831"/>
      <c r="F125" s="1831"/>
      <c r="G125" s="1831"/>
      <c r="H125" s="1831"/>
    </row>
    <row r="126" spans="1:8" x14ac:dyDescent="0.2">
      <c r="A126" s="1199"/>
      <c r="B126" s="1199"/>
      <c r="C126" s="1199"/>
      <c r="D126" s="1831"/>
      <c r="E126" s="1831"/>
      <c r="F126" s="1831"/>
      <c r="G126" s="1831"/>
      <c r="H126" s="1831"/>
    </row>
    <row r="127" spans="1:8" x14ac:dyDescent="0.2">
      <c r="A127" s="1199"/>
      <c r="B127" s="1199"/>
      <c r="C127" s="1199"/>
      <c r="D127" s="1831"/>
      <c r="E127" s="1831"/>
      <c r="F127" s="1831"/>
      <c r="G127" s="1831"/>
      <c r="H127" s="1831"/>
    </row>
    <row r="128" spans="1:8" x14ac:dyDescent="0.2">
      <c r="A128" s="1199"/>
      <c r="B128" s="1199"/>
      <c r="C128" s="1199"/>
      <c r="D128" s="1831"/>
      <c r="E128" s="1831"/>
      <c r="F128" s="1831"/>
      <c r="G128" s="1831"/>
      <c r="H128" s="1831"/>
    </row>
    <row r="129" spans="1:8" x14ac:dyDescent="0.2">
      <c r="A129" s="1199"/>
      <c r="B129" s="1199"/>
      <c r="C129" s="1199"/>
      <c r="D129" s="1831"/>
      <c r="E129" s="1831"/>
      <c r="F129" s="1831"/>
      <c r="G129" s="1831"/>
      <c r="H129" s="1831"/>
    </row>
    <row r="130" spans="1:8" x14ac:dyDescent="0.2">
      <c r="A130" s="1199"/>
      <c r="B130" s="1199"/>
      <c r="C130" s="1199"/>
      <c r="D130" s="1831"/>
      <c r="E130" s="1831"/>
      <c r="F130" s="1831"/>
      <c r="G130" s="1831"/>
      <c r="H130" s="1831"/>
    </row>
    <row r="131" spans="1:8" x14ac:dyDescent="0.2">
      <c r="A131" s="1199"/>
      <c r="B131" s="1199"/>
      <c r="C131" s="1199"/>
      <c r="D131" s="1831"/>
      <c r="E131" s="1831"/>
      <c r="F131" s="1831"/>
      <c r="G131" s="1831"/>
      <c r="H131" s="1831"/>
    </row>
    <row r="132" spans="1:8" x14ac:dyDescent="0.2">
      <c r="A132" s="1199"/>
      <c r="B132" s="1199"/>
      <c r="C132" s="1199"/>
      <c r="D132" s="1831"/>
      <c r="E132" s="1831"/>
      <c r="F132" s="1831"/>
      <c r="G132" s="1831"/>
      <c r="H132" s="1831"/>
    </row>
    <row r="133" spans="1:8" x14ac:dyDescent="0.2">
      <c r="A133" s="1199"/>
      <c r="B133" s="1199"/>
      <c r="C133" s="1199"/>
      <c r="D133" s="1831"/>
      <c r="E133" s="1831"/>
      <c r="F133" s="1831"/>
      <c r="G133" s="1831"/>
      <c r="H133" s="1831"/>
    </row>
    <row r="134" spans="1:8" x14ac:dyDescent="0.2">
      <c r="A134" s="1199"/>
      <c r="B134" s="1199"/>
      <c r="C134" s="1199"/>
      <c r="D134" s="1831"/>
      <c r="E134" s="1831"/>
      <c r="F134" s="1831"/>
      <c r="G134" s="1831"/>
      <c r="H134" s="1831"/>
    </row>
    <row r="135" spans="1:8" x14ac:dyDescent="0.2">
      <c r="A135" s="1199"/>
      <c r="B135" s="1199"/>
      <c r="C135" s="1199"/>
      <c r="D135" s="1831"/>
      <c r="E135" s="1831"/>
      <c r="F135" s="1831"/>
      <c r="G135" s="1831"/>
      <c r="H135" s="1831"/>
    </row>
    <row r="136" spans="1:8" x14ac:dyDescent="0.2">
      <c r="A136" s="1199"/>
      <c r="B136" s="1199"/>
      <c r="C136" s="1199"/>
      <c r="D136" s="1831"/>
      <c r="E136" s="1831"/>
      <c r="F136" s="1831"/>
      <c r="G136" s="1831"/>
      <c r="H136" s="1831"/>
    </row>
    <row r="137" spans="1:8" x14ac:dyDescent="0.2">
      <c r="A137" s="1199"/>
      <c r="B137" s="1199"/>
      <c r="C137" s="1199"/>
      <c r="D137" s="1831"/>
      <c r="E137" s="1831"/>
      <c r="F137" s="1831"/>
      <c r="G137" s="1831"/>
      <c r="H137" s="1831"/>
    </row>
    <row r="138" spans="1:8" x14ac:dyDescent="0.2">
      <c r="A138" s="1199"/>
      <c r="B138" s="1199"/>
      <c r="C138" s="1199"/>
      <c r="D138" s="1831"/>
      <c r="E138" s="1831"/>
      <c r="F138" s="1831"/>
      <c r="G138" s="1831"/>
      <c r="H138" s="1831"/>
    </row>
    <row r="139" spans="1:8" x14ac:dyDescent="0.2">
      <c r="A139" s="1199"/>
      <c r="B139" s="1199"/>
      <c r="C139" s="1199"/>
      <c r="D139" s="1831"/>
      <c r="E139" s="1831"/>
      <c r="F139" s="1831"/>
      <c r="G139" s="1831"/>
      <c r="H139" s="1831"/>
    </row>
    <row r="140" spans="1:8" x14ac:dyDescent="0.2">
      <c r="A140" s="1199"/>
      <c r="B140" s="1199"/>
      <c r="C140" s="1199"/>
      <c r="D140" s="1831"/>
      <c r="E140" s="1831"/>
      <c r="F140" s="1831"/>
      <c r="G140" s="1831"/>
      <c r="H140" s="1831"/>
    </row>
    <row r="141" spans="1:8" x14ac:dyDescent="0.2">
      <c r="A141" s="1199"/>
      <c r="B141" s="1199"/>
      <c r="C141" s="1199"/>
      <c r="D141" s="1831"/>
      <c r="E141" s="1831"/>
      <c r="F141" s="1831"/>
      <c r="G141" s="1831"/>
      <c r="H141" s="1831"/>
    </row>
    <row r="142" spans="1:8" x14ac:dyDescent="0.2">
      <c r="A142" s="1199"/>
      <c r="B142" s="1199"/>
      <c r="C142" s="1199"/>
      <c r="D142" s="1831"/>
      <c r="E142" s="1831"/>
      <c r="F142" s="1831"/>
      <c r="G142" s="1831"/>
      <c r="H142" s="1831"/>
    </row>
    <row r="143" spans="1:8" x14ac:dyDescent="0.2">
      <c r="A143" s="1199"/>
      <c r="B143" s="1199"/>
      <c r="C143" s="1199"/>
      <c r="D143" s="1831"/>
      <c r="E143" s="1831"/>
      <c r="F143" s="1831"/>
      <c r="G143" s="1831"/>
      <c r="H143" s="1831"/>
    </row>
    <row r="144" spans="1:8" x14ac:dyDescent="0.2">
      <c r="A144" s="1199"/>
      <c r="B144" s="1199"/>
      <c r="C144" s="1199"/>
      <c r="D144" s="1831"/>
      <c r="E144" s="1831"/>
      <c r="F144" s="1831"/>
      <c r="G144" s="1831"/>
      <c r="H144" s="1831"/>
    </row>
    <row r="145" spans="1:8" x14ac:dyDescent="0.2">
      <c r="A145" s="1199"/>
      <c r="B145" s="1199"/>
      <c r="C145" s="1199"/>
      <c r="D145" s="1831"/>
      <c r="E145" s="1831"/>
      <c r="F145" s="1831"/>
      <c r="G145" s="1831"/>
      <c r="H145" s="1831"/>
    </row>
    <row r="146" spans="1:8" x14ac:dyDescent="0.2">
      <c r="A146" s="1199"/>
      <c r="B146" s="1199"/>
      <c r="C146" s="1199"/>
      <c r="D146" s="1831"/>
      <c r="E146" s="1831"/>
      <c r="F146" s="1831"/>
      <c r="G146" s="1831"/>
      <c r="H146" s="1831"/>
    </row>
    <row r="147" spans="1:8" x14ac:dyDescent="0.2">
      <c r="A147" s="1199"/>
      <c r="B147" s="1199"/>
      <c r="C147" s="1199"/>
      <c r="D147" s="1831"/>
      <c r="E147" s="1831"/>
      <c r="F147" s="1831"/>
      <c r="G147" s="1831"/>
      <c r="H147" s="1831"/>
    </row>
    <row r="148" spans="1:8" x14ac:dyDescent="0.2">
      <c r="A148" s="1199"/>
      <c r="B148" s="1199"/>
      <c r="C148" s="1199"/>
      <c r="D148" s="1831"/>
      <c r="E148" s="1831"/>
      <c r="F148" s="1831"/>
      <c r="G148" s="1831"/>
      <c r="H148" s="1831"/>
    </row>
  </sheetData>
  <mergeCells count="5">
    <mergeCell ref="A1:H1"/>
    <mergeCell ref="A2:H2"/>
    <mergeCell ref="A3:H3"/>
    <mergeCell ref="A4:H4"/>
    <mergeCell ref="A6:H6"/>
  </mergeCells>
  <printOptions horizontalCentered="1"/>
  <pageMargins left="0.5" right="0.5" top="0.75" bottom="0.45" header="0.5" footer="0.45"/>
  <pageSetup scale="77" orientation="portrait" horizontalDpi="300" r:id="rId1"/>
  <headerFooter alignWithMargins="0">
    <oddFooter>&amp;C&amp;1#&amp;"Calibri"&amp;12&amp;K008000Internal Use</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indexed="11"/>
    <pageSetUpPr fitToPage="1"/>
  </sheetPr>
  <dimension ref="A1:P76"/>
  <sheetViews>
    <sheetView zoomScale="75" workbookViewId="0">
      <pane xSplit="2" ySplit="10" topLeftCell="H65" activePane="bottomRight" state="frozen"/>
      <selection activeCell="L55" sqref="L55"/>
      <selection pane="topRight" activeCell="L55" sqref="L55"/>
      <selection pane="bottomLeft" activeCell="L55" sqref="L55"/>
      <selection pane="bottomRight" activeCell="L55" sqref="L55"/>
    </sheetView>
  </sheetViews>
  <sheetFormatPr defaultRowHeight="12.75" x14ac:dyDescent="0.2"/>
  <cols>
    <col min="1" max="1" width="4.5703125" style="1039" customWidth="1"/>
    <col min="2" max="2" width="60.7109375" style="1039" customWidth="1"/>
    <col min="3" max="3" width="23.85546875" style="1188" customWidth="1"/>
    <col min="4" max="4" width="21.140625" style="1188" customWidth="1"/>
    <col min="5" max="5" width="21.140625" style="1039" customWidth="1"/>
    <col min="6" max="6" width="20.42578125" style="1039" customWidth="1"/>
    <col min="7" max="7" width="21" style="1039" customWidth="1"/>
    <col min="8" max="8" width="20.85546875" style="1039" customWidth="1"/>
    <col min="9" max="9" width="20.7109375" style="1039" customWidth="1"/>
    <col min="10" max="10" width="23.85546875" style="1039" bestFit="1" customWidth="1"/>
    <col min="11" max="11" width="20.85546875" style="1039" customWidth="1"/>
    <col min="12" max="12" width="20.7109375" style="1039" customWidth="1"/>
    <col min="13" max="13" width="9.140625" style="1039"/>
    <col min="14" max="14" width="23.140625" style="1039" customWidth="1"/>
    <col min="15" max="15" width="9.140625" style="1039"/>
    <col min="16" max="16" width="12.5703125" style="1039" customWidth="1"/>
    <col min="17" max="16384" width="9.140625" style="1039"/>
  </cols>
  <sheetData>
    <row r="1" spans="1:14" ht="23.25" x14ac:dyDescent="0.35">
      <c r="B1" s="1279"/>
      <c r="C1" s="1413"/>
      <c r="D1" s="1413"/>
      <c r="E1" s="1279"/>
      <c r="F1" s="1279"/>
      <c r="G1" s="1279"/>
      <c r="H1" s="1279"/>
    </row>
    <row r="2" spans="1:14" ht="20.25" customHeight="1" x14ac:dyDescent="0.3">
      <c r="B2" s="2946" t="s">
        <v>435</v>
      </c>
      <c r="C2" s="2946"/>
      <c r="D2" s="2946"/>
      <c r="E2" s="2946"/>
      <c r="F2" s="2946"/>
      <c r="G2" s="2946"/>
      <c r="H2" s="2946"/>
      <c r="I2" s="2946"/>
      <c r="J2" s="2946"/>
      <c r="K2" s="2946"/>
      <c r="L2" s="2946"/>
    </row>
    <row r="3" spans="1:14" ht="20.25" customHeight="1" x14ac:dyDescent="0.3">
      <c r="A3" s="1188"/>
      <c r="B3" s="2946" t="s">
        <v>436</v>
      </c>
      <c r="C3" s="2946"/>
      <c r="D3" s="2946"/>
      <c r="E3" s="2946"/>
      <c r="F3" s="2946"/>
      <c r="G3" s="2946"/>
      <c r="H3" s="2946"/>
      <c r="I3" s="2946"/>
      <c r="J3" s="2946"/>
      <c r="K3" s="2946"/>
      <c r="L3" s="2946"/>
    </row>
    <row r="4" spans="1:14" ht="20.25" customHeight="1" x14ac:dyDescent="0.3">
      <c r="A4" s="1188"/>
      <c r="B4" s="2946" t="s">
        <v>427</v>
      </c>
      <c r="C4" s="2946"/>
      <c r="D4" s="2946"/>
      <c r="E4" s="2946"/>
      <c r="F4" s="2946"/>
      <c r="G4" s="2946"/>
      <c r="H4" s="2946"/>
      <c r="I4" s="2946"/>
      <c r="J4" s="2946"/>
      <c r="K4" s="2946"/>
      <c r="L4" s="2946"/>
    </row>
    <row r="5" spans="1:14" ht="20.25" customHeight="1" thickBot="1" x14ac:dyDescent="0.35">
      <c r="A5" s="1188"/>
      <c r="B5" s="1280"/>
      <c r="C5" s="1414"/>
      <c r="D5" s="1414"/>
      <c r="E5" s="1280"/>
      <c r="F5" s="1280"/>
      <c r="G5" s="1280"/>
      <c r="H5" s="1280"/>
      <c r="I5" s="1415"/>
      <c r="J5" s="1415"/>
      <c r="K5" s="1415"/>
      <c r="L5" s="1415"/>
    </row>
    <row r="6" spans="1:14" s="1417" customFormat="1" ht="17.25" customHeight="1" x14ac:dyDescent="0.25">
      <c r="A6" s="1192"/>
      <c r="B6" s="1281"/>
      <c r="C6" s="1416">
        <v>2006</v>
      </c>
      <c r="D6" s="1416">
        <v>2007</v>
      </c>
      <c r="E6" s="1416">
        <v>2008</v>
      </c>
      <c r="F6" s="1416">
        <v>2009</v>
      </c>
      <c r="G6" s="1416">
        <v>2010</v>
      </c>
      <c r="H6" s="1416">
        <v>2011</v>
      </c>
      <c r="I6" s="1416">
        <v>2012</v>
      </c>
      <c r="J6" s="1416">
        <v>2013</v>
      </c>
      <c r="K6" s="1416">
        <v>2014</v>
      </c>
      <c r="L6" s="1416">
        <v>2015</v>
      </c>
    </row>
    <row r="7" spans="1:14" ht="17.25" customHeight="1" x14ac:dyDescent="0.25">
      <c r="A7" s="1192"/>
      <c r="B7" s="1282"/>
      <c r="C7" s="1418" t="s">
        <v>186</v>
      </c>
      <c r="D7" s="1418" t="s">
        <v>186</v>
      </c>
      <c r="E7" s="1418" t="s">
        <v>186</v>
      </c>
      <c r="F7" s="1418" t="s">
        <v>186</v>
      </c>
      <c r="G7" s="1418" t="s">
        <v>186</v>
      </c>
      <c r="H7" s="1419" t="s">
        <v>186</v>
      </c>
      <c r="I7" s="1419" t="s">
        <v>331</v>
      </c>
      <c r="J7" s="1419" t="s">
        <v>287</v>
      </c>
      <c r="K7" s="1419" t="s">
        <v>287</v>
      </c>
      <c r="L7" s="1419" t="s">
        <v>287</v>
      </c>
    </row>
    <row r="8" spans="1:14" ht="16.5" customHeight="1" x14ac:dyDescent="0.25">
      <c r="A8" s="1192"/>
      <c r="B8" s="1283" t="s">
        <v>428</v>
      </c>
      <c r="C8" s="1419"/>
      <c r="D8" s="1419"/>
      <c r="E8" s="1419"/>
      <c r="F8" s="1419"/>
      <c r="G8" s="1419"/>
      <c r="H8" s="1419"/>
      <c r="I8" s="1419"/>
      <c r="J8" s="1419"/>
      <c r="K8" s="1419"/>
      <c r="L8" s="1419"/>
    </row>
    <row r="9" spans="1:14" ht="16.5" thickBot="1" x14ac:dyDescent="0.3">
      <c r="A9" s="1192"/>
      <c r="B9" s="1284"/>
      <c r="C9" s="1420"/>
      <c r="D9" s="1421"/>
      <c r="E9" s="1421"/>
      <c r="F9" s="1421"/>
      <c r="G9" s="1421"/>
      <c r="H9" s="1422"/>
      <c r="I9" s="1422"/>
      <c r="J9" s="1422"/>
      <c r="K9" s="1422"/>
      <c r="L9" s="1422"/>
    </row>
    <row r="10" spans="1:14" s="1199" customFormat="1" ht="17.25" customHeight="1" thickBot="1" x14ac:dyDescent="0.3">
      <c r="A10" s="1192"/>
      <c r="B10" s="697" t="s">
        <v>115</v>
      </c>
      <c r="C10" s="697"/>
      <c r="D10" s="697"/>
      <c r="E10" s="697"/>
      <c r="F10" s="697"/>
      <c r="G10" s="697"/>
      <c r="H10" s="698"/>
      <c r="I10" s="1188"/>
      <c r="J10" s="1188"/>
      <c r="K10" s="1188"/>
      <c r="L10" s="1188"/>
    </row>
    <row r="11" spans="1:14" s="1192" customFormat="1" ht="15.75" thickBot="1" x14ac:dyDescent="0.25">
      <c r="A11" s="1285" t="s">
        <v>3</v>
      </c>
      <c r="B11" s="1293" t="s">
        <v>222</v>
      </c>
      <c r="C11" s="1514">
        <v>45734</v>
      </c>
      <c r="D11" s="1514">
        <v>101407</v>
      </c>
      <c r="E11" s="1514">
        <v>94054</v>
      </c>
      <c r="F11" s="1514">
        <v>195280</v>
      </c>
      <c r="G11" s="1514">
        <v>194946</v>
      </c>
      <c r="H11" s="1570">
        <v>359607</v>
      </c>
      <c r="I11" s="1570">
        <v>315965</v>
      </c>
      <c r="J11" s="1570">
        <f>'YGS Income Eligible '!K20</f>
        <v>511007.71796961169</v>
      </c>
      <c r="K11" s="1570">
        <f>'YGS Income Eligible '!L20</f>
        <v>549292.98202343134</v>
      </c>
      <c r="L11" s="1570">
        <f>'YGS Income Eligible '!M20</f>
        <v>560916.84590846358</v>
      </c>
      <c r="N11" s="1424"/>
    </row>
    <row r="12" spans="1:14" s="1188" customFormat="1" ht="15" x14ac:dyDescent="0.2">
      <c r="A12" s="1285" t="s">
        <v>9</v>
      </c>
      <c r="B12" s="1288" t="s">
        <v>149</v>
      </c>
      <c r="C12" s="1516">
        <v>11295</v>
      </c>
      <c r="D12" s="1516">
        <v>86333</v>
      </c>
      <c r="E12" s="1516">
        <v>98698</v>
      </c>
      <c r="F12" s="1516">
        <v>55728</v>
      </c>
      <c r="G12" s="1516">
        <v>222581</v>
      </c>
      <c r="H12" s="1570">
        <v>172026</v>
      </c>
      <c r="I12" s="1570">
        <v>490733</v>
      </c>
      <c r="J12" s="1570">
        <f>'YGS HES '!K20</f>
        <v>537602.68820395495</v>
      </c>
      <c r="K12" s="1570">
        <f>'YGS HES '!L20</f>
        <v>613332.99121519877</v>
      </c>
      <c r="L12" s="1570">
        <f>'YGS HES '!M20</f>
        <v>714166.28874890122</v>
      </c>
      <c r="N12" s="1426"/>
    </row>
    <row r="13" spans="1:14" s="1188" customFormat="1" ht="15" x14ac:dyDescent="0.2">
      <c r="A13" s="1285"/>
      <c r="B13" s="1288" t="s">
        <v>430</v>
      </c>
      <c r="C13" s="1571">
        <v>0</v>
      </c>
      <c r="D13" s="1571">
        <v>0</v>
      </c>
      <c r="E13" s="1571">
        <v>0</v>
      </c>
      <c r="F13" s="1571">
        <v>0</v>
      </c>
      <c r="G13" s="1571">
        <v>0</v>
      </c>
      <c r="H13" s="1571">
        <v>0</v>
      </c>
      <c r="I13" s="1571">
        <v>0</v>
      </c>
      <c r="J13" s="1571">
        <v>0</v>
      </c>
      <c r="K13" s="1571">
        <v>0</v>
      </c>
      <c r="L13" s="1571">
        <v>0</v>
      </c>
      <c r="N13" s="1426"/>
    </row>
    <row r="14" spans="1:14" s="1188" customFormat="1" ht="15" x14ac:dyDescent="0.2">
      <c r="A14" s="1285"/>
      <c r="B14" s="1288" t="s">
        <v>431</v>
      </c>
      <c r="C14" s="1571">
        <v>0</v>
      </c>
      <c r="D14" s="1571">
        <v>0</v>
      </c>
      <c r="E14" s="1571">
        <v>0</v>
      </c>
      <c r="F14" s="1571">
        <v>0</v>
      </c>
      <c r="G14" s="1571">
        <v>0</v>
      </c>
      <c r="H14" s="1571">
        <v>0</v>
      </c>
      <c r="I14" s="1571">
        <v>0</v>
      </c>
      <c r="J14" s="1571">
        <v>0</v>
      </c>
      <c r="K14" s="1571">
        <v>0</v>
      </c>
      <c r="L14" s="1571">
        <v>0</v>
      </c>
      <c r="N14" s="1426"/>
    </row>
    <row r="15" spans="1:14" s="1188" customFormat="1" ht="15" x14ac:dyDescent="0.2">
      <c r="A15" s="1285"/>
      <c r="B15" s="1288" t="s">
        <v>432</v>
      </c>
      <c r="C15" s="1571">
        <v>0</v>
      </c>
      <c r="D15" s="1571">
        <v>0</v>
      </c>
      <c r="E15" s="1571">
        <v>0</v>
      </c>
      <c r="F15" s="1571">
        <v>0</v>
      </c>
      <c r="G15" s="1571">
        <v>0</v>
      </c>
      <c r="H15" s="1571">
        <v>0</v>
      </c>
      <c r="I15" s="1571">
        <v>0</v>
      </c>
      <c r="J15" s="1571">
        <v>0</v>
      </c>
      <c r="K15" s="1571">
        <v>0</v>
      </c>
      <c r="L15" s="1571">
        <v>0</v>
      </c>
      <c r="N15" s="1426"/>
    </row>
    <row r="16" spans="1:14" s="1188" customFormat="1" ht="15.75" thickBot="1" x14ac:dyDescent="0.25">
      <c r="A16" s="1285"/>
      <c r="B16" s="1519" t="s">
        <v>433</v>
      </c>
      <c r="C16" s="1571">
        <v>0</v>
      </c>
      <c r="D16" s="1571">
        <v>0</v>
      </c>
      <c r="E16" s="1571">
        <v>0</v>
      </c>
      <c r="F16" s="1571">
        <v>0</v>
      </c>
      <c r="G16" s="1571">
        <v>0</v>
      </c>
      <c r="H16" s="1571">
        <v>0</v>
      </c>
      <c r="I16" s="1571">
        <v>0</v>
      </c>
      <c r="J16" s="1571">
        <v>0</v>
      </c>
      <c r="K16" s="1571">
        <v>0</v>
      </c>
      <c r="L16" s="1571">
        <v>0</v>
      </c>
      <c r="N16" s="1426"/>
    </row>
    <row r="17" spans="1:14" s="1188" customFormat="1" ht="16.5" thickBot="1" x14ac:dyDescent="0.3">
      <c r="A17" s="1285"/>
      <c r="B17" s="1521" t="s">
        <v>434</v>
      </c>
      <c r="C17" s="1523">
        <f>SUM(C12:C16)</f>
        <v>11295</v>
      </c>
      <c r="D17" s="1523">
        <f t="shared" ref="D17:L17" si="0">SUM(D12:D16)</f>
        <v>86333</v>
      </c>
      <c r="E17" s="1523">
        <f t="shared" si="0"/>
        <v>98698</v>
      </c>
      <c r="F17" s="1523">
        <f t="shared" si="0"/>
        <v>55728</v>
      </c>
      <c r="G17" s="1523">
        <f t="shared" si="0"/>
        <v>222581</v>
      </c>
      <c r="H17" s="1524">
        <f t="shared" si="0"/>
        <v>172026</v>
      </c>
      <c r="I17" s="1525">
        <f t="shared" si="0"/>
        <v>490733</v>
      </c>
      <c r="J17" s="1525">
        <f t="shared" si="0"/>
        <v>537602.68820395495</v>
      </c>
      <c r="K17" s="1525">
        <f t="shared" si="0"/>
        <v>613332.99121519877</v>
      </c>
      <c r="L17" s="1525">
        <f t="shared" si="0"/>
        <v>714166.28874890122</v>
      </c>
      <c r="N17" s="1426"/>
    </row>
    <row r="18" spans="1:14" s="1188" customFormat="1" ht="15" x14ac:dyDescent="0.2">
      <c r="A18" s="1285" t="s">
        <v>9</v>
      </c>
      <c r="B18" s="1526" t="s">
        <v>227</v>
      </c>
      <c r="C18" s="1572"/>
      <c r="D18" s="1573"/>
      <c r="E18" s="1572"/>
      <c r="F18" s="1572">
        <v>31287</v>
      </c>
      <c r="G18" s="1573">
        <v>41991</v>
      </c>
      <c r="H18" s="1574">
        <v>47744</v>
      </c>
      <c r="I18" s="1575">
        <v>49085</v>
      </c>
      <c r="J18" s="1575">
        <f>'YGS New Construction'!K20</f>
        <v>61490.448728571428</v>
      </c>
      <c r="K18" s="1575">
        <f>'YGS New Construction'!L20</f>
        <v>66364.653537662336</v>
      </c>
      <c r="L18" s="1575">
        <f>'YGS New Construction'!M20</f>
        <v>76048.535064935073</v>
      </c>
      <c r="M18" s="1428"/>
      <c r="N18" s="1426"/>
    </row>
    <row r="19" spans="1:14" s="1188" customFormat="1" ht="15" x14ac:dyDescent="0.2">
      <c r="A19" s="1285" t="s">
        <v>9</v>
      </c>
      <c r="B19" s="1294" t="s">
        <v>110</v>
      </c>
      <c r="C19" s="1573"/>
      <c r="D19" s="1573"/>
      <c r="E19" s="1573">
        <v>9728</v>
      </c>
      <c r="F19" s="1573">
        <v>18422</v>
      </c>
      <c r="G19" s="1573">
        <v>10883</v>
      </c>
      <c r="H19" s="1574">
        <v>7168</v>
      </c>
      <c r="I19" s="1574">
        <v>24361</v>
      </c>
      <c r="J19" s="1574">
        <f>'YGS Water Heating'!K20</f>
        <v>6069</v>
      </c>
      <c r="K19" s="1574">
        <f>'YGS Water Heating'!L20</f>
        <v>6069</v>
      </c>
      <c r="L19" s="1574">
        <f>'YGS Water Heating'!M20</f>
        <v>6069</v>
      </c>
      <c r="N19" s="1426"/>
    </row>
    <row r="20" spans="1:14" ht="16.5" thickBot="1" x14ac:dyDescent="0.3">
      <c r="A20" s="1192"/>
      <c r="B20" s="1531" t="s">
        <v>30</v>
      </c>
      <c r="C20" s="1576">
        <f>SUM(C11,C17,C18:C19)</f>
        <v>57029</v>
      </c>
      <c r="D20" s="1576">
        <f t="shared" ref="D20:L20" si="1">SUM(D11,D17,D18:D19)</f>
        <v>187740</v>
      </c>
      <c r="E20" s="1576">
        <f t="shared" si="1"/>
        <v>202480</v>
      </c>
      <c r="F20" s="1576">
        <f t="shared" si="1"/>
        <v>300717</v>
      </c>
      <c r="G20" s="1576">
        <f t="shared" si="1"/>
        <v>470401</v>
      </c>
      <c r="H20" s="1576">
        <f t="shared" si="1"/>
        <v>586545</v>
      </c>
      <c r="I20" s="1576">
        <f t="shared" si="1"/>
        <v>880144</v>
      </c>
      <c r="J20" s="1576">
        <f>SUM(J11,J17,J18:J19)</f>
        <v>1116169.854902138</v>
      </c>
      <c r="K20" s="1576">
        <f t="shared" si="1"/>
        <v>1235059.6267762925</v>
      </c>
      <c r="L20" s="1576">
        <f t="shared" si="1"/>
        <v>1357200.6697222998</v>
      </c>
      <c r="M20" s="1433"/>
      <c r="N20" s="1426"/>
    </row>
    <row r="21" spans="1:14" s="1188" customFormat="1" ht="15.75" x14ac:dyDescent="0.25">
      <c r="A21" s="1192"/>
      <c r="B21" s="1434"/>
      <c r="C21" s="1434"/>
      <c r="D21" s="1434"/>
      <c r="E21" s="1434"/>
      <c r="F21" s="1434"/>
      <c r="G21" s="1434"/>
      <c r="H21" s="161"/>
      <c r="I21" s="161"/>
      <c r="J21" s="1435"/>
      <c r="K21" s="1435"/>
      <c r="L21" s="161"/>
      <c r="N21" s="1426"/>
    </row>
    <row r="22" spans="1:14" s="1188" customFormat="1" ht="15.75" x14ac:dyDescent="0.25">
      <c r="A22" s="1199"/>
      <c r="B22" s="1434" t="s">
        <v>6</v>
      </c>
      <c r="C22" s="1434"/>
      <c r="D22" s="1434"/>
      <c r="E22" s="1434"/>
      <c r="F22" s="1434"/>
      <c r="G22" s="1434"/>
      <c r="H22" s="161"/>
      <c r="N22" s="1426"/>
    </row>
    <row r="23" spans="1:14" ht="17.25" customHeight="1" thickBot="1" x14ac:dyDescent="0.3">
      <c r="A23" s="1199"/>
      <c r="B23" s="2853" t="s">
        <v>111</v>
      </c>
      <c r="C23" s="2853"/>
      <c r="D23" s="2853"/>
      <c r="E23" s="2853"/>
      <c r="F23" s="2853"/>
      <c r="G23" s="2853"/>
      <c r="H23" s="2853"/>
      <c r="N23" s="1426"/>
    </row>
    <row r="24" spans="1:14" ht="15.75" thickBot="1" x14ac:dyDescent="0.25">
      <c r="A24" s="1290" t="s">
        <v>10</v>
      </c>
      <c r="B24" s="1436" t="s">
        <v>112</v>
      </c>
      <c r="C24" s="1533"/>
      <c r="D24" s="1533"/>
      <c r="E24" s="1533">
        <v>43558</v>
      </c>
      <c r="F24" s="1533">
        <v>112046</v>
      </c>
      <c r="G24" s="1533">
        <v>287670</v>
      </c>
      <c r="H24" s="1515">
        <v>359929</v>
      </c>
      <c r="I24" s="1515">
        <v>672820</v>
      </c>
      <c r="J24" s="1515">
        <f>'YGS ECB  '!K20</f>
        <v>306585.49171854713</v>
      </c>
      <c r="K24" s="1515">
        <f>'YGS ECB  '!L20</f>
        <v>356325.64265201159</v>
      </c>
      <c r="L24" s="1515">
        <f>'YGS ECB  '!M20</f>
        <v>426128.06321221043</v>
      </c>
      <c r="N24" s="1426"/>
    </row>
    <row r="25" spans="1:14" s="1292" customFormat="1" ht="16.5" thickBot="1" x14ac:dyDescent="0.3">
      <c r="A25" s="1192"/>
      <c r="B25" s="1438" t="s">
        <v>113</v>
      </c>
      <c r="C25" s="1534">
        <f t="shared" ref="C25:L25" si="2">SUM(C24)</f>
        <v>0</v>
      </c>
      <c r="D25" s="1534">
        <f t="shared" si="2"/>
        <v>0</v>
      </c>
      <c r="E25" s="1534">
        <f t="shared" si="2"/>
        <v>43558</v>
      </c>
      <c r="F25" s="1534">
        <f t="shared" si="2"/>
        <v>112046</v>
      </c>
      <c r="G25" s="1534">
        <f t="shared" si="2"/>
        <v>287670</v>
      </c>
      <c r="H25" s="1534">
        <f t="shared" si="2"/>
        <v>359929</v>
      </c>
      <c r="I25" s="1534">
        <f t="shared" si="2"/>
        <v>672820</v>
      </c>
      <c r="J25" s="1534">
        <f t="shared" si="2"/>
        <v>306585.49171854713</v>
      </c>
      <c r="K25" s="1534">
        <f t="shared" si="2"/>
        <v>356325.64265201159</v>
      </c>
      <c r="L25" s="1534">
        <f t="shared" si="2"/>
        <v>426128.06321221043</v>
      </c>
      <c r="N25" s="1426"/>
    </row>
    <row r="26" spans="1:14" s="1292" customFormat="1" ht="16.5" thickBot="1" x14ac:dyDescent="0.3">
      <c r="A26" s="1192"/>
      <c r="B26" s="1439" t="s">
        <v>114</v>
      </c>
      <c r="C26" s="1535"/>
      <c r="D26" s="1535"/>
      <c r="E26" s="1535"/>
      <c r="F26" s="1535"/>
      <c r="G26" s="1535"/>
      <c r="H26" s="1536"/>
      <c r="I26" s="1536"/>
      <c r="J26" s="1537"/>
      <c r="K26" s="1536"/>
      <c r="L26" s="1538"/>
      <c r="N26" s="1426"/>
    </row>
    <row r="27" spans="1:14" ht="17.25" customHeight="1" x14ac:dyDescent="0.2">
      <c r="A27" s="1290" t="s">
        <v>10</v>
      </c>
      <c r="B27" s="1337" t="s">
        <v>116</v>
      </c>
      <c r="C27" s="1539"/>
      <c r="D27" s="1539"/>
      <c r="E27" s="1539">
        <v>17218</v>
      </c>
      <c r="F27" s="1539">
        <v>639931</v>
      </c>
      <c r="G27" s="1539">
        <v>205653</v>
      </c>
      <c r="H27" s="1515">
        <v>404921</v>
      </c>
      <c r="I27" s="1515">
        <v>888623</v>
      </c>
      <c r="J27" s="1515">
        <f>'YGS ENOPP '!K20</f>
        <v>329738.76875187107</v>
      </c>
      <c r="K27" s="1515">
        <v>385100.24512516829</v>
      </c>
      <c r="L27" s="1515">
        <v>467412.17041070329</v>
      </c>
      <c r="N27" s="1426"/>
    </row>
    <row r="28" spans="1:14" ht="17.25" customHeight="1" thickBot="1" x14ac:dyDescent="0.25">
      <c r="A28" s="1290" t="s">
        <v>10</v>
      </c>
      <c r="B28" s="1304" t="s">
        <v>117</v>
      </c>
      <c r="C28" s="1540"/>
      <c r="D28" s="1540"/>
      <c r="E28" s="1540">
        <v>27997</v>
      </c>
      <c r="F28" s="1541">
        <v>6683</v>
      </c>
      <c r="G28" s="1540">
        <v>66979</v>
      </c>
      <c r="H28" s="1542">
        <v>15429</v>
      </c>
      <c r="I28" s="1542">
        <v>143392</v>
      </c>
      <c r="J28" s="1542">
        <f>'YGS O&amp;M'!K20</f>
        <v>40800.523412933908</v>
      </c>
      <c r="K28" s="1542">
        <v>103726.58249709476</v>
      </c>
      <c r="L28" s="1542">
        <v>126830.23481596577</v>
      </c>
      <c r="N28" s="1426"/>
    </row>
    <row r="29" spans="1:14" ht="16.5" thickBot="1" x14ac:dyDescent="0.3">
      <c r="A29" s="1192"/>
      <c r="B29" s="1443" t="s">
        <v>118</v>
      </c>
      <c r="C29" s="1543">
        <f t="shared" ref="C29:L29" si="3">SUM(C27:C28)</f>
        <v>0</v>
      </c>
      <c r="D29" s="1543">
        <f t="shared" si="3"/>
        <v>0</v>
      </c>
      <c r="E29" s="1543">
        <f t="shared" si="3"/>
        <v>45215</v>
      </c>
      <c r="F29" s="1544">
        <f t="shared" si="3"/>
        <v>646614</v>
      </c>
      <c r="G29" s="1543">
        <f t="shared" si="3"/>
        <v>272632</v>
      </c>
      <c r="H29" s="1543">
        <f t="shared" si="3"/>
        <v>420350</v>
      </c>
      <c r="I29" s="1543">
        <f t="shared" si="3"/>
        <v>1032015</v>
      </c>
      <c r="J29" s="1543">
        <f t="shared" si="3"/>
        <v>370539.292164805</v>
      </c>
      <c r="K29" s="1543">
        <f t="shared" si="3"/>
        <v>488826.82762226305</v>
      </c>
      <c r="L29" s="1543">
        <f t="shared" si="3"/>
        <v>594242.40522666904</v>
      </c>
      <c r="N29" s="1426"/>
    </row>
    <row r="30" spans="1:14" ht="15.75" thickBot="1" x14ac:dyDescent="0.25">
      <c r="A30" s="1290" t="s">
        <v>10</v>
      </c>
      <c r="B30" s="1346" t="s">
        <v>245</v>
      </c>
      <c r="C30" s="1545"/>
      <c r="D30" s="1545"/>
      <c r="E30" s="1545"/>
      <c r="F30" s="1545"/>
      <c r="G30" s="1545"/>
      <c r="H30" s="1546">
        <v>0</v>
      </c>
      <c r="I30" s="1546">
        <v>78912</v>
      </c>
      <c r="J30" s="1546">
        <f>'YGS SBEA '!K20</f>
        <v>80864.230850060383</v>
      </c>
      <c r="K30" s="1546">
        <v>95229.797427612066</v>
      </c>
      <c r="L30" s="1546">
        <v>117160.18219620183</v>
      </c>
      <c r="N30" s="1426"/>
    </row>
    <row r="31" spans="1:14" s="1040" customFormat="1" ht="16.5" thickBot="1" x14ac:dyDescent="0.3">
      <c r="A31" s="1297"/>
      <c r="B31" s="1307" t="s">
        <v>206</v>
      </c>
      <c r="C31" s="1547">
        <f t="shared" ref="C31:L31" si="4">SUM(C25+C29+C30)</f>
        <v>0</v>
      </c>
      <c r="D31" s="1547">
        <f t="shared" si="4"/>
        <v>0</v>
      </c>
      <c r="E31" s="1548">
        <f t="shared" si="4"/>
        <v>88773</v>
      </c>
      <c r="F31" s="1548">
        <f t="shared" si="4"/>
        <v>758660</v>
      </c>
      <c r="G31" s="1548">
        <f t="shared" si="4"/>
        <v>560302</v>
      </c>
      <c r="H31" s="1548">
        <f t="shared" si="4"/>
        <v>780279</v>
      </c>
      <c r="I31" s="1548">
        <f t="shared" si="4"/>
        <v>1783747</v>
      </c>
      <c r="J31" s="1548">
        <f t="shared" si="4"/>
        <v>757989.01473341242</v>
      </c>
      <c r="K31" s="1548">
        <f t="shared" si="4"/>
        <v>940382.26770188683</v>
      </c>
      <c r="L31" s="1548">
        <f t="shared" si="4"/>
        <v>1137530.6506350813</v>
      </c>
      <c r="N31" s="1426"/>
    </row>
    <row r="32" spans="1:14" s="1040" customFormat="1" ht="15.75" x14ac:dyDescent="0.25">
      <c r="A32" s="1297"/>
      <c r="B32" s="1439"/>
      <c r="C32" s="1439"/>
      <c r="D32" s="1439"/>
      <c r="E32" s="1439"/>
      <c r="F32" s="1439"/>
      <c r="G32" s="1439"/>
      <c r="H32" s="161"/>
      <c r="I32" s="1448"/>
      <c r="J32" s="1448"/>
      <c r="K32" s="1448"/>
      <c r="L32" s="1448"/>
      <c r="N32" s="1426"/>
    </row>
    <row r="33" spans="1:16" s="1292" customFormat="1" ht="16.5" thickBot="1" x14ac:dyDescent="0.3">
      <c r="A33" s="1199"/>
      <c r="B33" s="1857" t="s">
        <v>123</v>
      </c>
      <c r="C33" s="1549"/>
      <c r="D33" s="1549"/>
      <c r="E33" s="1549"/>
      <c r="F33" s="1549"/>
      <c r="G33" s="1549"/>
      <c r="H33" s="1550"/>
      <c r="I33" s="1557"/>
      <c r="J33" s="1557"/>
      <c r="K33" s="1557"/>
      <c r="L33" s="1557"/>
      <c r="N33" s="1426"/>
    </row>
    <row r="34" spans="1:16" s="1305" customFormat="1" ht="15.75" x14ac:dyDescent="0.25">
      <c r="A34" s="1303"/>
      <c r="B34" s="1499" t="s">
        <v>7</v>
      </c>
      <c r="C34" s="1577">
        <f>C20</f>
        <v>57029</v>
      </c>
      <c r="D34" s="1577">
        <f t="shared" ref="D34:L34" si="5">D20</f>
        <v>187740</v>
      </c>
      <c r="E34" s="1577">
        <f t="shared" si="5"/>
        <v>202480</v>
      </c>
      <c r="F34" s="1577">
        <f t="shared" si="5"/>
        <v>300717</v>
      </c>
      <c r="G34" s="1577">
        <f t="shared" si="5"/>
        <v>470401</v>
      </c>
      <c r="H34" s="1577">
        <f t="shared" si="5"/>
        <v>586545</v>
      </c>
      <c r="I34" s="1577">
        <f t="shared" si="5"/>
        <v>880144</v>
      </c>
      <c r="J34" s="1577">
        <f t="shared" si="5"/>
        <v>1116169.854902138</v>
      </c>
      <c r="K34" s="1577">
        <f t="shared" si="5"/>
        <v>1235059.6267762925</v>
      </c>
      <c r="L34" s="1577">
        <f t="shared" si="5"/>
        <v>1357200.6697222998</v>
      </c>
      <c r="M34" s="1502"/>
      <c r="N34" s="1426"/>
      <c r="P34" s="1503"/>
    </row>
    <row r="35" spans="1:16" s="1305" customFormat="1" ht="16.5" thickBot="1" x14ac:dyDescent="0.3">
      <c r="A35" s="1303"/>
      <c r="B35" s="1369" t="s">
        <v>8</v>
      </c>
      <c r="C35" s="1578">
        <f>C31</f>
        <v>0</v>
      </c>
      <c r="D35" s="1578">
        <f t="shared" ref="D35:L35" si="6">D31</f>
        <v>0</v>
      </c>
      <c r="E35" s="1578">
        <f t="shared" si="6"/>
        <v>88773</v>
      </c>
      <c r="F35" s="1578">
        <f t="shared" si="6"/>
        <v>758660</v>
      </c>
      <c r="G35" s="1578">
        <f t="shared" si="6"/>
        <v>560302</v>
      </c>
      <c r="H35" s="1578">
        <f t="shared" si="6"/>
        <v>780279</v>
      </c>
      <c r="I35" s="1578">
        <f t="shared" si="6"/>
        <v>1783747</v>
      </c>
      <c r="J35" s="1578">
        <f t="shared" si="6"/>
        <v>757989.01473341242</v>
      </c>
      <c r="K35" s="1578">
        <f t="shared" si="6"/>
        <v>940382.26770188683</v>
      </c>
      <c r="L35" s="1578">
        <f t="shared" si="6"/>
        <v>1137530.6506350813</v>
      </c>
      <c r="M35" s="1502"/>
      <c r="N35" s="1426"/>
    </row>
    <row r="36" spans="1:16" s="1305" customFormat="1" ht="16.5" thickBot="1" x14ac:dyDescent="0.3">
      <c r="A36" s="1199"/>
      <c r="B36" s="1507" t="s">
        <v>12</v>
      </c>
      <c r="C36" s="1579">
        <v>0</v>
      </c>
      <c r="D36" s="1579">
        <v>0</v>
      </c>
      <c r="E36" s="1579">
        <v>0</v>
      </c>
      <c r="F36" s="1579">
        <v>0</v>
      </c>
      <c r="G36" s="1579">
        <v>0</v>
      </c>
      <c r="H36" s="1579">
        <v>0</v>
      </c>
      <c r="I36" s="1579">
        <v>0</v>
      </c>
      <c r="J36" s="1579">
        <v>0</v>
      </c>
      <c r="K36" s="1579">
        <v>0</v>
      </c>
      <c r="L36" s="1579">
        <v>0</v>
      </c>
      <c r="M36" s="1502"/>
      <c r="N36" s="1426"/>
    </row>
    <row r="37" spans="1:16" s="1040" customFormat="1" ht="16.5" thickBot="1" x14ac:dyDescent="0.3">
      <c r="A37" s="1199"/>
      <c r="B37" s="1307" t="s">
        <v>33</v>
      </c>
      <c r="C37" s="1566">
        <f t="shared" ref="C37:L37" si="7">SUM(C34:C36)</f>
        <v>57029</v>
      </c>
      <c r="D37" s="1566">
        <f t="shared" si="7"/>
        <v>187740</v>
      </c>
      <c r="E37" s="1566">
        <f t="shared" si="7"/>
        <v>291253</v>
      </c>
      <c r="F37" s="1566">
        <f t="shared" si="7"/>
        <v>1059377</v>
      </c>
      <c r="G37" s="1566">
        <f t="shared" si="7"/>
        <v>1030703</v>
      </c>
      <c r="H37" s="1566">
        <f t="shared" si="7"/>
        <v>1366824</v>
      </c>
      <c r="I37" s="1567">
        <f t="shared" si="7"/>
        <v>2663891</v>
      </c>
      <c r="J37" s="1567">
        <f t="shared" si="7"/>
        <v>1874158.8696355503</v>
      </c>
      <c r="K37" s="1567">
        <f t="shared" si="7"/>
        <v>2175441.8944781795</v>
      </c>
      <c r="L37" s="1567">
        <f t="shared" si="7"/>
        <v>2494731.3203573814</v>
      </c>
      <c r="N37" s="1426"/>
    </row>
    <row r="38" spans="1:16" x14ac:dyDescent="0.2">
      <c r="A38" s="1297"/>
      <c r="H38" s="1241"/>
      <c r="I38" s="1311"/>
      <c r="J38" s="1512"/>
      <c r="K38" s="1512"/>
      <c r="L38" s="1311"/>
    </row>
    <row r="39" spans="1:16" ht="15" x14ac:dyDescent="0.2">
      <c r="B39" s="1192"/>
      <c r="C39" s="1192"/>
      <c r="D39" s="1192"/>
      <c r="E39" s="1192"/>
      <c r="F39" s="1192"/>
      <c r="G39" s="1192"/>
      <c r="H39" s="1513"/>
    </row>
    <row r="40" spans="1:16" ht="20.25" customHeight="1" x14ac:dyDescent="0.3">
      <c r="B40" s="2946" t="s">
        <v>435</v>
      </c>
      <c r="C40" s="2946"/>
      <c r="D40" s="2946"/>
      <c r="E40" s="2946"/>
      <c r="F40" s="2946"/>
      <c r="G40" s="2946"/>
      <c r="H40" s="2946"/>
      <c r="I40" s="2946"/>
      <c r="J40" s="2946"/>
      <c r="K40" s="2946"/>
      <c r="L40" s="2946"/>
    </row>
    <row r="41" spans="1:16" ht="20.25" customHeight="1" x14ac:dyDescent="0.3">
      <c r="A41" s="1188"/>
      <c r="B41" s="2946" t="s">
        <v>437</v>
      </c>
      <c r="C41" s="2946"/>
      <c r="D41" s="2946"/>
      <c r="E41" s="2946"/>
      <c r="F41" s="2946"/>
      <c r="G41" s="2946"/>
      <c r="H41" s="2946"/>
      <c r="I41" s="2946"/>
      <c r="J41" s="2946"/>
      <c r="K41" s="2946"/>
      <c r="L41" s="2946"/>
    </row>
    <row r="42" spans="1:16" ht="20.25" customHeight="1" x14ac:dyDescent="0.3">
      <c r="A42" s="1188"/>
      <c r="B42" s="2946" t="s">
        <v>427</v>
      </c>
      <c r="C42" s="2946"/>
      <c r="D42" s="2946"/>
      <c r="E42" s="2946"/>
      <c r="F42" s="2946"/>
      <c r="G42" s="2946"/>
      <c r="H42" s="2946"/>
      <c r="I42" s="2946"/>
      <c r="J42" s="2946"/>
      <c r="K42" s="2946"/>
      <c r="L42" s="2946"/>
    </row>
    <row r="43" spans="1:16" ht="20.25" customHeight="1" thickBot="1" x14ac:dyDescent="0.35">
      <c r="A43" s="1188"/>
      <c r="B43" s="1280"/>
      <c r="C43" s="1414"/>
      <c r="D43" s="1414"/>
      <c r="E43" s="1280"/>
      <c r="F43" s="1280"/>
      <c r="G43" s="1280"/>
      <c r="H43" s="1280"/>
      <c r="I43" s="1415"/>
      <c r="J43" s="1415"/>
      <c r="K43" s="1415"/>
      <c r="L43" s="1415"/>
    </row>
    <row r="44" spans="1:16" s="1417" customFormat="1" ht="17.25" customHeight="1" x14ac:dyDescent="0.25">
      <c r="A44" s="1192"/>
      <c r="B44" s="1281"/>
      <c r="C44" s="1416">
        <v>2006</v>
      </c>
      <c r="D44" s="1416">
        <v>2007</v>
      </c>
      <c r="E44" s="1416">
        <v>2008</v>
      </c>
      <c r="F44" s="1416">
        <v>2009</v>
      </c>
      <c r="G44" s="1416">
        <v>2010</v>
      </c>
      <c r="H44" s="1416">
        <v>2011</v>
      </c>
      <c r="I44" s="1416">
        <v>2012</v>
      </c>
      <c r="J44" s="1580">
        <v>2013</v>
      </c>
      <c r="K44" s="1580">
        <v>2014</v>
      </c>
      <c r="L44" s="1580">
        <v>2015</v>
      </c>
    </row>
    <row r="45" spans="1:16" ht="17.25" customHeight="1" x14ac:dyDescent="0.25">
      <c r="A45" s="1192"/>
      <c r="B45" s="1282"/>
      <c r="C45" s="1418" t="s">
        <v>186</v>
      </c>
      <c r="D45" s="1418" t="s">
        <v>186</v>
      </c>
      <c r="E45" s="1418" t="s">
        <v>186</v>
      </c>
      <c r="F45" s="1418" t="s">
        <v>186</v>
      </c>
      <c r="G45" s="1418" t="s">
        <v>186</v>
      </c>
      <c r="H45" s="1419" t="s">
        <v>186</v>
      </c>
      <c r="I45" s="1419" t="s">
        <v>331</v>
      </c>
      <c r="J45" s="1581" t="s">
        <v>287</v>
      </c>
      <c r="K45" s="1581" t="s">
        <v>287</v>
      </c>
      <c r="L45" s="1581" t="s">
        <v>287</v>
      </c>
    </row>
    <row r="46" spans="1:16" ht="16.5" customHeight="1" x14ac:dyDescent="0.25">
      <c r="A46" s="1192"/>
      <c r="B46" s="1283" t="s">
        <v>428</v>
      </c>
      <c r="C46" s="1419"/>
      <c r="D46" s="1419"/>
      <c r="E46" s="1419"/>
      <c r="F46" s="1419"/>
      <c r="G46" s="1419"/>
      <c r="H46" s="1419"/>
      <c r="I46" s="1419"/>
      <c r="J46" s="1581"/>
      <c r="K46" s="1581"/>
      <c r="L46" s="1581"/>
    </row>
    <row r="47" spans="1:16" ht="16.5" thickBot="1" x14ac:dyDescent="0.3">
      <c r="A47" s="1192"/>
      <c r="B47" s="1284"/>
      <c r="C47" s="1420"/>
      <c r="D47" s="1421"/>
      <c r="E47" s="1421"/>
      <c r="F47" s="1421"/>
      <c r="G47" s="1421"/>
      <c r="H47" s="1422"/>
      <c r="I47" s="1422"/>
      <c r="J47" s="1582"/>
      <c r="K47" s="1582"/>
      <c r="L47" s="1582"/>
    </row>
    <row r="48" spans="1:16" s="1199" customFormat="1" ht="17.25" customHeight="1" thickBot="1" x14ac:dyDescent="0.3">
      <c r="A48" s="1192"/>
      <c r="B48" s="697" t="s">
        <v>115</v>
      </c>
      <c r="C48" s="697"/>
      <c r="D48" s="697"/>
      <c r="E48" s="697"/>
      <c r="F48" s="697"/>
      <c r="G48" s="697"/>
      <c r="H48" s="698"/>
      <c r="I48" s="1188"/>
      <c r="J48" s="1188"/>
      <c r="K48" s="1188"/>
      <c r="L48" s="1188"/>
    </row>
    <row r="49" spans="1:14" s="1192" customFormat="1" ht="15.75" thickBot="1" x14ac:dyDescent="0.25">
      <c r="A49" s="1285" t="s">
        <v>3</v>
      </c>
      <c r="B49" s="1293" t="s">
        <v>222</v>
      </c>
      <c r="C49" s="1514">
        <v>941555</v>
      </c>
      <c r="D49" s="1514">
        <v>1396219</v>
      </c>
      <c r="E49" s="1514">
        <v>1617301</v>
      </c>
      <c r="F49" s="1514">
        <v>3534308</v>
      </c>
      <c r="G49" s="1514">
        <v>2616614</v>
      </c>
      <c r="H49" s="1515">
        <v>6081081</v>
      </c>
      <c r="I49" s="1515">
        <v>5920875</v>
      </c>
      <c r="J49" s="1570">
        <v>10221175.610011879</v>
      </c>
      <c r="K49" s="1570">
        <v>10986957.404315496</v>
      </c>
      <c r="L49" s="1570">
        <v>11219457.912346676</v>
      </c>
      <c r="N49" s="1424"/>
    </row>
    <row r="50" spans="1:14" s="1188" customFormat="1" ht="15" x14ac:dyDescent="0.2">
      <c r="A50" s="1285" t="s">
        <v>9</v>
      </c>
      <c r="B50" s="1288" t="s">
        <v>149</v>
      </c>
      <c r="C50" s="1516">
        <v>213599</v>
      </c>
      <c r="D50" s="1516">
        <v>1324880</v>
      </c>
      <c r="E50" s="1516">
        <v>1770065</v>
      </c>
      <c r="F50" s="1516">
        <v>1172933</v>
      </c>
      <c r="G50" s="1516">
        <v>4768051</v>
      </c>
      <c r="H50" s="1515">
        <v>3118836</v>
      </c>
      <c r="I50" s="1515">
        <v>8975876</v>
      </c>
      <c r="J50" s="1530">
        <v>10763827.541621631</v>
      </c>
      <c r="K50" s="1530">
        <v>12408233.530521275</v>
      </c>
      <c r="L50" s="1530">
        <v>14602820.149593182</v>
      </c>
      <c r="N50" s="1426"/>
    </row>
    <row r="51" spans="1:14" s="1188" customFormat="1" ht="15" x14ac:dyDescent="0.2">
      <c r="A51" s="1285"/>
      <c r="B51" s="1288" t="s">
        <v>430</v>
      </c>
      <c r="C51" s="1516"/>
      <c r="D51" s="1516"/>
      <c r="E51" s="1516"/>
      <c r="F51" s="1516"/>
      <c r="G51" s="1516"/>
      <c r="H51" s="1529"/>
      <c r="I51" s="1529"/>
      <c r="J51" s="1583"/>
      <c r="K51" s="1584"/>
      <c r="L51" s="1585"/>
      <c r="N51" s="1426"/>
    </row>
    <row r="52" spans="1:14" s="1188" customFormat="1" ht="15" x14ac:dyDescent="0.2">
      <c r="A52" s="1285"/>
      <c r="B52" s="1288" t="s">
        <v>431</v>
      </c>
      <c r="C52" s="1516"/>
      <c r="D52" s="1516"/>
      <c r="E52" s="1516"/>
      <c r="F52" s="1516"/>
      <c r="G52" s="1516"/>
      <c r="H52" s="1529"/>
      <c r="I52" s="1529"/>
      <c r="J52" s="1586"/>
      <c r="K52" s="1584"/>
      <c r="L52" s="1585"/>
      <c r="N52" s="1426"/>
    </row>
    <row r="53" spans="1:14" s="1188" customFormat="1" ht="15" x14ac:dyDescent="0.2">
      <c r="A53" s="1285"/>
      <c r="B53" s="1288" t="s">
        <v>432</v>
      </c>
      <c r="C53" s="1516"/>
      <c r="D53" s="1516"/>
      <c r="E53" s="1516"/>
      <c r="F53" s="1516"/>
      <c r="G53" s="1516"/>
      <c r="H53" s="1529"/>
      <c r="I53" s="1529"/>
      <c r="J53" s="1587"/>
      <c r="K53" s="1584"/>
      <c r="L53" s="1585"/>
      <c r="N53" s="1426"/>
    </row>
    <row r="54" spans="1:14" s="1188" customFormat="1" ht="15.75" thickBot="1" x14ac:dyDescent="0.25">
      <c r="A54" s="1285"/>
      <c r="B54" s="1519" t="s">
        <v>433</v>
      </c>
      <c r="C54" s="1588"/>
      <c r="D54" s="1588"/>
      <c r="E54" s="1589"/>
      <c r="F54" s="1590"/>
      <c r="G54" s="1589"/>
      <c r="H54" s="1591"/>
      <c r="I54" s="1591"/>
      <c r="J54" s="1592"/>
      <c r="K54" s="1593"/>
      <c r="L54" s="1594"/>
      <c r="N54" s="1426"/>
    </row>
    <row r="55" spans="1:14" s="1188" customFormat="1" ht="16.5" thickBot="1" x14ac:dyDescent="0.3">
      <c r="A55" s="1285"/>
      <c r="B55" s="1521" t="s">
        <v>434</v>
      </c>
      <c r="C55" s="1522">
        <f>SUM(C50:C54)</f>
        <v>213599</v>
      </c>
      <c r="D55" s="1523">
        <f t="shared" ref="D55:L55" si="8">SUM(D50:D54)</f>
        <v>1324880</v>
      </c>
      <c r="E55" s="1522">
        <f t="shared" si="8"/>
        <v>1770065</v>
      </c>
      <c r="F55" s="1523">
        <f t="shared" si="8"/>
        <v>1172933</v>
      </c>
      <c r="G55" s="1523">
        <f t="shared" si="8"/>
        <v>4768051</v>
      </c>
      <c r="H55" s="1524">
        <f t="shared" si="8"/>
        <v>3118836</v>
      </c>
      <c r="I55" s="1525">
        <f t="shared" si="8"/>
        <v>8975876</v>
      </c>
      <c r="J55" s="1525">
        <f t="shared" si="8"/>
        <v>10763827.541621631</v>
      </c>
      <c r="K55" s="1525">
        <f t="shared" si="8"/>
        <v>12408233.530521275</v>
      </c>
      <c r="L55" s="1525">
        <f t="shared" si="8"/>
        <v>14602820.149593182</v>
      </c>
      <c r="N55" s="1426"/>
    </row>
    <row r="56" spans="1:14" s="1188" customFormat="1" ht="15" x14ac:dyDescent="0.2">
      <c r="A56" s="1285" t="s">
        <v>9</v>
      </c>
      <c r="B56" s="1526" t="s">
        <v>227</v>
      </c>
      <c r="C56" s="1527"/>
      <c r="D56" s="1528"/>
      <c r="E56" s="1527"/>
      <c r="F56" s="1527">
        <v>782194</v>
      </c>
      <c r="G56" s="1528">
        <v>1049784</v>
      </c>
      <c r="H56" s="1529">
        <v>1193609</v>
      </c>
      <c r="I56" s="1530">
        <v>1227134</v>
      </c>
      <c r="J56" s="1595">
        <v>1343325.6722142859</v>
      </c>
      <c r="K56" s="1595">
        <v>1545171.5144415584</v>
      </c>
      <c r="L56" s="1595">
        <v>1847126.3766233767</v>
      </c>
      <c r="M56" s="1428"/>
      <c r="N56" s="1426"/>
    </row>
    <row r="57" spans="1:14" s="1188" customFormat="1" ht="15" x14ac:dyDescent="0.2">
      <c r="A57" s="1285" t="s">
        <v>9</v>
      </c>
      <c r="B57" s="1294" t="s">
        <v>110</v>
      </c>
      <c r="C57" s="1528"/>
      <c r="D57" s="1528"/>
      <c r="E57" s="1528">
        <v>194560</v>
      </c>
      <c r="F57" s="1528">
        <v>368448</v>
      </c>
      <c r="G57" s="1528">
        <v>217664</v>
      </c>
      <c r="H57" s="1529">
        <v>143360</v>
      </c>
      <c r="I57" s="1529">
        <v>292328</v>
      </c>
      <c r="J57" s="1596">
        <v>179817.31618604637</v>
      </c>
      <c r="K57" s="1596">
        <v>212957.70893023242</v>
      </c>
      <c r="L57" s="1596">
        <v>261440.87609302308</v>
      </c>
      <c r="N57" s="1426"/>
    </row>
    <row r="58" spans="1:14" ht="16.5" thickBot="1" x14ac:dyDescent="0.3">
      <c r="A58" s="1192"/>
      <c r="B58" s="1531" t="s">
        <v>30</v>
      </c>
      <c r="C58" s="1576">
        <f>SUM(C49,C55,C56:C57)</f>
        <v>1155154</v>
      </c>
      <c r="D58" s="1576">
        <f t="shared" ref="D58:L58" si="9">SUM(D49,D55,D56:D57)</f>
        <v>2721099</v>
      </c>
      <c r="E58" s="1576">
        <f t="shared" si="9"/>
        <v>3581926</v>
      </c>
      <c r="F58" s="1576">
        <f t="shared" si="9"/>
        <v>5857883</v>
      </c>
      <c r="G58" s="1576">
        <f t="shared" si="9"/>
        <v>8652113</v>
      </c>
      <c r="H58" s="1576">
        <f t="shared" si="9"/>
        <v>10536886</v>
      </c>
      <c r="I58" s="1576">
        <f t="shared" si="9"/>
        <v>16416213</v>
      </c>
      <c r="J58" s="1576">
        <f t="shared" si="9"/>
        <v>22508146.140033841</v>
      </c>
      <c r="K58" s="1576">
        <f t="shared" si="9"/>
        <v>25153320.15820856</v>
      </c>
      <c r="L58" s="1576">
        <f t="shared" si="9"/>
        <v>27930845.314656258</v>
      </c>
      <c r="M58" s="1433"/>
      <c r="N58" s="1426"/>
    </row>
    <row r="59" spans="1:14" s="1188" customFormat="1" ht="15.75" x14ac:dyDescent="0.25">
      <c r="A59" s="1192"/>
      <c r="B59" s="1434"/>
      <c r="C59" s="1434"/>
      <c r="D59" s="1434"/>
      <c r="E59" s="1434"/>
      <c r="F59" s="1434"/>
      <c r="G59" s="1434"/>
      <c r="H59" s="161"/>
      <c r="I59" s="161"/>
      <c r="J59" s="1435"/>
      <c r="K59" s="1435"/>
      <c r="L59" s="161"/>
      <c r="N59" s="1426"/>
    </row>
    <row r="60" spans="1:14" s="1188" customFormat="1" ht="15.75" x14ac:dyDescent="0.25">
      <c r="A60" s="1199"/>
      <c r="B60" s="1434" t="s">
        <v>6</v>
      </c>
      <c r="C60" s="1434"/>
      <c r="D60" s="1434"/>
      <c r="E60" s="1434"/>
      <c r="F60" s="1434"/>
      <c r="G60" s="1434"/>
      <c r="H60" s="161"/>
      <c r="N60" s="1426"/>
    </row>
    <row r="61" spans="1:14" ht="17.25" customHeight="1" thickBot="1" x14ac:dyDescent="0.3">
      <c r="A61" s="1199"/>
      <c r="B61" s="2853" t="s">
        <v>111</v>
      </c>
      <c r="C61" s="2853"/>
      <c r="D61" s="2853"/>
      <c r="E61" s="2853"/>
      <c r="F61" s="2853"/>
      <c r="G61" s="2853"/>
      <c r="H61" s="2853"/>
      <c r="N61" s="1426"/>
    </row>
    <row r="62" spans="1:14" ht="15.75" thickBot="1" x14ac:dyDescent="0.25">
      <c r="A62" s="1290" t="s">
        <v>10</v>
      </c>
      <c r="B62" s="1436" t="s">
        <v>112</v>
      </c>
      <c r="C62" s="1533"/>
      <c r="D62" s="1533"/>
      <c r="E62" s="1533">
        <v>670160</v>
      </c>
      <c r="F62" s="1533">
        <v>1770613</v>
      </c>
      <c r="G62" s="1533">
        <v>4371511</v>
      </c>
      <c r="H62" s="1515">
        <v>5637483</v>
      </c>
      <c r="I62" s="1515">
        <v>10190977</v>
      </c>
      <c r="J62" s="1515">
        <v>4709137.1835290538</v>
      </c>
      <c r="K62" s="1515">
        <v>5473143.3110276014</v>
      </c>
      <c r="L62" s="1515">
        <v>6545304.8549995786</v>
      </c>
      <c r="N62" s="1426"/>
    </row>
    <row r="63" spans="1:14" s="1292" customFormat="1" ht="16.5" thickBot="1" x14ac:dyDescent="0.3">
      <c r="A63" s="1192"/>
      <c r="B63" s="1438" t="s">
        <v>113</v>
      </c>
      <c r="C63" s="1534">
        <f t="shared" ref="C63:L63" si="10">SUM(C62)</f>
        <v>0</v>
      </c>
      <c r="D63" s="1534">
        <f t="shared" si="10"/>
        <v>0</v>
      </c>
      <c r="E63" s="1534">
        <f t="shared" si="10"/>
        <v>670160</v>
      </c>
      <c r="F63" s="1534">
        <f t="shared" si="10"/>
        <v>1770613</v>
      </c>
      <c r="G63" s="1534">
        <f t="shared" si="10"/>
        <v>4371511</v>
      </c>
      <c r="H63" s="1534">
        <f t="shared" si="10"/>
        <v>5637483</v>
      </c>
      <c r="I63" s="1534">
        <f t="shared" si="10"/>
        <v>10190977</v>
      </c>
      <c r="J63" s="1534">
        <f t="shared" si="10"/>
        <v>4709137.1835290538</v>
      </c>
      <c r="K63" s="1534">
        <f t="shared" si="10"/>
        <v>5473143.3110276014</v>
      </c>
      <c r="L63" s="1534">
        <f t="shared" si="10"/>
        <v>6545304.8549995786</v>
      </c>
      <c r="N63" s="1426"/>
    </row>
    <row r="64" spans="1:14" s="1292" customFormat="1" ht="16.5" thickBot="1" x14ac:dyDescent="0.3">
      <c r="A64" s="1192"/>
      <c r="B64" s="1439" t="s">
        <v>114</v>
      </c>
      <c r="C64" s="1535"/>
      <c r="D64" s="1535"/>
      <c r="E64" s="1535"/>
      <c r="F64" s="1535"/>
      <c r="G64" s="1535"/>
      <c r="H64" s="1536"/>
      <c r="I64" s="1536"/>
      <c r="J64" s="1537"/>
      <c r="K64" s="1536"/>
      <c r="L64" s="1538"/>
      <c r="N64" s="1426"/>
    </row>
    <row r="65" spans="1:16" ht="17.25" customHeight="1" x14ac:dyDescent="0.2">
      <c r="A65" s="1290" t="s">
        <v>10</v>
      </c>
      <c r="B65" s="1337" t="s">
        <v>116</v>
      </c>
      <c r="C65" s="1539"/>
      <c r="D65" s="1539"/>
      <c r="E65" s="1539">
        <v>191374</v>
      </c>
      <c r="F65" s="1539">
        <v>9216030</v>
      </c>
      <c r="G65" s="1539">
        <v>2347874</v>
      </c>
      <c r="H65" s="1515">
        <v>4168922</v>
      </c>
      <c r="I65" s="1515">
        <v>10221524</v>
      </c>
      <c r="J65" s="1595">
        <v>3711875.2094795601</v>
      </c>
      <c r="K65" s="1595">
        <v>4335080.3378545791</v>
      </c>
      <c r="L65" s="1595">
        <v>5261667.151010978</v>
      </c>
      <c r="N65" s="1426"/>
    </row>
    <row r="66" spans="1:16" ht="17.25" customHeight="1" thickBot="1" x14ac:dyDescent="0.25">
      <c r="A66" s="1290" t="s">
        <v>10</v>
      </c>
      <c r="B66" s="1597" t="s">
        <v>117</v>
      </c>
      <c r="C66" s="1540"/>
      <c r="D66" s="1540"/>
      <c r="E66" s="1540">
        <v>559940</v>
      </c>
      <c r="F66" s="1541">
        <v>66830</v>
      </c>
      <c r="G66" s="1540">
        <v>669798</v>
      </c>
      <c r="H66" s="1542">
        <v>77145</v>
      </c>
      <c r="I66" s="1542">
        <v>1433932</v>
      </c>
      <c r="J66" s="1596">
        <v>576424.79794385307</v>
      </c>
      <c r="K66" s="1596">
        <v>671426.15703510074</v>
      </c>
      <c r="L66" s="1596">
        <v>803139.43107580254</v>
      </c>
      <c r="N66" s="1426"/>
    </row>
    <row r="67" spans="1:16" ht="16.5" thickBot="1" x14ac:dyDescent="0.3">
      <c r="A67" s="1192"/>
      <c r="B67" s="1443" t="s">
        <v>118</v>
      </c>
      <c r="C67" s="1543">
        <f t="shared" ref="C67:L67" si="11">SUM(C65:C66)</f>
        <v>0</v>
      </c>
      <c r="D67" s="1543">
        <f t="shared" si="11"/>
        <v>0</v>
      </c>
      <c r="E67" s="1543">
        <f t="shared" si="11"/>
        <v>751314</v>
      </c>
      <c r="F67" s="1544">
        <f t="shared" si="11"/>
        <v>9282860</v>
      </c>
      <c r="G67" s="1543">
        <f t="shared" si="11"/>
        <v>3017672</v>
      </c>
      <c r="H67" s="1543">
        <f t="shared" si="11"/>
        <v>4246067</v>
      </c>
      <c r="I67" s="1543">
        <f t="shared" si="11"/>
        <v>11655456</v>
      </c>
      <c r="J67" s="1543">
        <f t="shared" si="11"/>
        <v>4288300.007423413</v>
      </c>
      <c r="K67" s="1543">
        <f t="shared" si="11"/>
        <v>5006506.4948896803</v>
      </c>
      <c r="L67" s="1543">
        <f t="shared" si="11"/>
        <v>6064806.582086781</v>
      </c>
      <c r="N67" s="1426"/>
    </row>
    <row r="68" spans="1:16" ht="15.75" thickBot="1" x14ac:dyDescent="0.25">
      <c r="A68" s="1290" t="s">
        <v>10</v>
      </c>
      <c r="B68" s="1346" t="s">
        <v>245</v>
      </c>
      <c r="C68" s="1545"/>
      <c r="D68" s="1545"/>
      <c r="E68" s="1545"/>
      <c r="F68" s="1545"/>
      <c r="G68" s="1545"/>
      <c r="H68" s="1546">
        <v>0</v>
      </c>
      <c r="I68" s="1546">
        <v>907700</v>
      </c>
      <c r="J68" s="1598">
        <v>910290.09103822033</v>
      </c>
      <c r="K68" s="1598">
        <v>1072003.5305927545</v>
      </c>
      <c r="L68" s="1598">
        <v>1318874.2636430508</v>
      </c>
      <c r="N68" s="1426"/>
    </row>
    <row r="69" spans="1:16" s="1040" customFormat="1" ht="16.5" thickBot="1" x14ac:dyDescent="0.3">
      <c r="A69" s="1297"/>
      <c r="B69" s="1307" t="s">
        <v>206</v>
      </c>
      <c r="C69" s="1547">
        <f t="shared" ref="C69:L69" si="12">SUM(C63+C67+C68)</f>
        <v>0</v>
      </c>
      <c r="D69" s="1547">
        <f t="shared" si="12"/>
        <v>0</v>
      </c>
      <c r="E69" s="1548">
        <f t="shared" si="12"/>
        <v>1421474</v>
      </c>
      <c r="F69" s="1548">
        <f t="shared" si="12"/>
        <v>11053473</v>
      </c>
      <c r="G69" s="1548">
        <f t="shared" si="12"/>
        <v>7389183</v>
      </c>
      <c r="H69" s="1548">
        <f t="shared" si="12"/>
        <v>9883550</v>
      </c>
      <c r="I69" s="1548">
        <f t="shared" si="12"/>
        <v>22754133</v>
      </c>
      <c r="J69" s="1548">
        <f t="shared" si="12"/>
        <v>9907727.2819906864</v>
      </c>
      <c r="K69" s="1548">
        <f t="shared" si="12"/>
        <v>11551653.336510036</v>
      </c>
      <c r="L69" s="1548">
        <f t="shared" si="12"/>
        <v>13928985.700729409</v>
      </c>
      <c r="N69" s="1426"/>
    </row>
    <row r="70" spans="1:16" s="1040" customFormat="1" ht="16.5" thickBot="1" x14ac:dyDescent="0.3">
      <c r="A70" s="1297"/>
      <c r="B70" s="1439"/>
      <c r="C70" s="1549"/>
      <c r="D70" s="1549"/>
      <c r="E70" s="1549"/>
      <c r="F70" s="1549"/>
      <c r="G70" s="1549"/>
      <c r="H70" s="1550"/>
      <c r="I70" s="1551"/>
      <c r="J70" s="1552"/>
      <c r="K70" s="1551"/>
      <c r="L70" s="1552"/>
      <c r="N70" s="1426"/>
    </row>
    <row r="71" spans="1:16" s="1292" customFormat="1" ht="16.5" thickBot="1" x14ac:dyDescent="0.3">
      <c r="A71" s="1199"/>
      <c r="B71" s="1553" t="s">
        <v>123</v>
      </c>
      <c r="C71" s="1554"/>
      <c r="D71" s="1555"/>
      <c r="E71" s="1555"/>
      <c r="F71" s="1555"/>
      <c r="G71" s="1555"/>
      <c r="H71" s="1556"/>
      <c r="I71" s="1557"/>
      <c r="J71" s="1558"/>
      <c r="K71" s="1557"/>
      <c r="L71" s="1558"/>
      <c r="M71" s="1559"/>
      <c r="N71" s="1426"/>
    </row>
    <row r="72" spans="1:16" s="1305" customFormat="1" ht="15.75" x14ac:dyDescent="0.25">
      <c r="A72" s="1303"/>
      <c r="B72" s="1499" t="s">
        <v>7</v>
      </c>
      <c r="C72" s="1560">
        <f>C58</f>
        <v>1155154</v>
      </c>
      <c r="D72" s="1560">
        <f t="shared" ref="D72:L72" si="13">D58</f>
        <v>2721099</v>
      </c>
      <c r="E72" s="1560">
        <f t="shared" si="13"/>
        <v>3581926</v>
      </c>
      <c r="F72" s="1560">
        <f t="shared" si="13"/>
        <v>5857883</v>
      </c>
      <c r="G72" s="1560">
        <f t="shared" si="13"/>
        <v>8652113</v>
      </c>
      <c r="H72" s="1560">
        <f t="shared" si="13"/>
        <v>10536886</v>
      </c>
      <c r="I72" s="1560">
        <f t="shared" si="13"/>
        <v>16416213</v>
      </c>
      <c r="J72" s="1560">
        <f t="shared" si="13"/>
        <v>22508146.140033841</v>
      </c>
      <c r="K72" s="1560">
        <f t="shared" si="13"/>
        <v>25153320.15820856</v>
      </c>
      <c r="L72" s="1560">
        <f t="shared" si="13"/>
        <v>27930845.314656258</v>
      </c>
      <c r="M72" s="1502"/>
      <c r="N72" s="1426"/>
      <c r="P72" s="1503"/>
    </row>
    <row r="73" spans="1:16" s="1305" customFormat="1" ht="16.5" thickBot="1" x14ac:dyDescent="0.3">
      <c r="A73" s="1303"/>
      <c r="B73" s="1369" t="s">
        <v>8</v>
      </c>
      <c r="C73" s="1561">
        <f>C69</f>
        <v>0</v>
      </c>
      <c r="D73" s="1561">
        <f t="shared" ref="D73:L73" si="14">D69</f>
        <v>0</v>
      </c>
      <c r="E73" s="1561">
        <f t="shared" si="14"/>
        <v>1421474</v>
      </c>
      <c r="F73" s="1561">
        <f t="shared" si="14"/>
        <v>11053473</v>
      </c>
      <c r="G73" s="1561">
        <f t="shared" si="14"/>
        <v>7389183</v>
      </c>
      <c r="H73" s="1561">
        <f t="shared" si="14"/>
        <v>9883550</v>
      </c>
      <c r="I73" s="1561">
        <f t="shared" si="14"/>
        <v>22754133</v>
      </c>
      <c r="J73" s="1561">
        <f t="shared" si="14"/>
        <v>9907727.2819906864</v>
      </c>
      <c r="K73" s="1561">
        <f t="shared" si="14"/>
        <v>11551653.336510036</v>
      </c>
      <c r="L73" s="1561">
        <f t="shared" si="14"/>
        <v>13928985.700729409</v>
      </c>
      <c r="M73" s="1502"/>
      <c r="N73" s="1426"/>
    </row>
    <row r="74" spans="1:16" s="1305" customFormat="1" ht="16.5" thickBot="1" x14ac:dyDescent="0.3">
      <c r="A74" s="1199"/>
      <c r="B74" s="1507" t="s">
        <v>12</v>
      </c>
      <c r="C74" s="1562"/>
      <c r="D74" s="1563"/>
      <c r="E74" s="1561"/>
      <c r="F74" s="1564"/>
      <c r="G74" s="1563"/>
      <c r="H74" s="1565"/>
      <c r="I74" s="1563"/>
      <c r="J74" s="1561"/>
      <c r="K74" s="1561"/>
      <c r="L74" s="1565"/>
      <c r="M74" s="1502"/>
      <c r="N74" s="1426"/>
    </row>
    <row r="75" spans="1:16" s="1040" customFormat="1" ht="16.5" thickBot="1" x14ac:dyDescent="0.3">
      <c r="A75" s="1199"/>
      <c r="B75" s="1307" t="s">
        <v>33</v>
      </c>
      <c r="C75" s="1566">
        <f t="shared" ref="C75:L75" si="15">SUM(C72:C74)</f>
        <v>1155154</v>
      </c>
      <c r="D75" s="1566">
        <f t="shared" si="15"/>
        <v>2721099</v>
      </c>
      <c r="E75" s="1566">
        <f t="shared" si="15"/>
        <v>5003400</v>
      </c>
      <c r="F75" s="1566">
        <f t="shared" si="15"/>
        <v>16911356</v>
      </c>
      <c r="G75" s="1566">
        <f t="shared" si="15"/>
        <v>16041296</v>
      </c>
      <c r="H75" s="1566">
        <f t="shared" si="15"/>
        <v>20420436</v>
      </c>
      <c r="I75" s="1567">
        <f t="shared" si="15"/>
        <v>39170346</v>
      </c>
      <c r="J75" s="1567">
        <f t="shared" si="15"/>
        <v>32415873.422024526</v>
      </c>
      <c r="K75" s="1567">
        <f t="shared" si="15"/>
        <v>36704973.494718596</v>
      </c>
      <c r="L75" s="1567">
        <f t="shared" si="15"/>
        <v>41859831.015385665</v>
      </c>
      <c r="N75" s="1426"/>
    </row>
    <row r="76" spans="1:16" x14ac:dyDescent="0.2">
      <c r="C76" s="1568"/>
      <c r="D76" s="1568"/>
      <c r="E76" s="1569"/>
      <c r="F76" s="1569"/>
      <c r="G76" s="1569"/>
      <c r="H76" s="1569"/>
      <c r="I76" s="1569"/>
      <c r="J76" s="1569"/>
      <c r="K76" s="1569"/>
      <c r="L76" s="1569"/>
    </row>
  </sheetData>
  <mergeCells count="8">
    <mergeCell ref="B42:L42"/>
    <mergeCell ref="B61:H61"/>
    <mergeCell ref="B2:L2"/>
    <mergeCell ref="B3:L3"/>
    <mergeCell ref="B4:L4"/>
    <mergeCell ref="B23:H23"/>
    <mergeCell ref="B40:L40"/>
    <mergeCell ref="B41:L41"/>
  </mergeCells>
  <printOptions horizontalCentered="1" verticalCentered="1"/>
  <pageMargins left="0.5" right="0.5" top="0.22" bottom="1.18" header="0.22" footer="0.23"/>
  <pageSetup scale="45" fitToHeight="2" orientation="landscape" r:id="rId1"/>
  <headerFooter alignWithMargins="0">
    <oddFooter>&amp;R&amp;14
&amp;C&amp;"Arial"&amp;11&amp;K000000
Totals may vary due to rounding_x000D_&amp;1#&amp;"Calibri"&amp;12&amp;K008000Internal Use</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indexed="44"/>
    <pageSetUpPr fitToPage="1"/>
  </sheetPr>
  <dimension ref="A1:X79"/>
  <sheetViews>
    <sheetView topLeftCell="B1" zoomScale="75" workbookViewId="0">
      <pane xSplit="1" topLeftCell="C1" activePane="topRight" state="frozen"/>
      <selection activeCell="C9" sqref="C9"/>
      <selection pane="topRight" activeCell="F12" sqref="F12"/>
    </sheetView>
  </sheetViews>
  <sheetFormatPr defaultRowHeight="12.75" x14ac:dyDescent="0.2"/>
  <cols>
    <col min="1" max="1" width="7.140625" style="49" customWidth="1"/>
    <col min="2" max="2" width="60.140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3" width="30.42578125" style="50" customWidth="1"/>
    <col min="14"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625</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26330</v>
      </c>
      <c r="D12" s="633">
        <v>720</v>
      </c>
      <c r="E12" s="2435">
        <f>336535-291773-20000-20000</f>
        <v>4762</v>
      </c>
      <c r="F12" s="2435">
        <f>500800+38000+170000+100000-200000-6000</f>
        <v>602800</v>
      </c>
      <c r="G12" s="2435">
        <f>7080+15000-18000+6000</f>
        <v>10080</v>
      </c>
      <c r="H12" s="633">
        <v>1500</v>
      </c>
      <c r="I12" s="634">
        <f t="shared" ref="I12:I17" si="0">SUM(C12:H12)</f>
        <v>646192</v>
      </c>
      <c r="J12" s="85"/>
      <c r="K12" s="2198"/>
      <c r="L12" s="2247"/>
      <c r="M12" s="581"/>
      <c r="N12" s="581"/>
      <c r="O12" s="581"/>
      <c r="P12" s="581"/>
      <c r="Q12" s="581"/>
      <c r="R12" s="582"/>
      <c r="S12" s="582"/>
      <c r="T12" s="582"/>
    </row>
    <row r="13" spans="1:20" ht="24.6" customHeight="1" x14ac:dyDescent="0.3">
      <c r="A13" s="83"/>
      <c r="B13" s="614" t="s">
        <v>149</v>
      </c>
      <c r="C13" s="638">
        <v>164227</v>
      </c>
      <c r="D13" s="638">
        <v>0</v>
      </c>
      <c r="E13" s="2436">
        <f>76634+50000</f>
        <v>126634</v>
      </c>
      <c r="F13" s="2436">
        <f>1702762-50000-100000+2167813-1918783+2202896-2167813+1925796-2202896-45053+1834793-1821050+1728512-1834793-15000+100000</f>
        <v>1507184</v>
      </c>
      <c r="G13" s="2436">
        <f>15000+15000</f>
        <v>30000</v>
      </c>
      <c r="H13" s="638">
        <v>467</v>
      </c>
      <c r="I13" s="640">
        <f t="shared" si="0"/>
        <v>1828512</v>
      </c>
      <c r="J13" s="796"/>
      <c r="K13" s="796"/>
      <c r="L13" s="796"/>
      <c r="M13" s="796"/>
      <c r="N13" s="796"/>
      <c r="O13" s="796"/>
      <c r="P13" s="581"/>
      <c r="Q13" s="581"/>
      <c r="R13" s="582"/>
      <c r="S13" s="582"/>
      <c r="T13" s="582"/>
    </row>
    <row r="14" spans="1:20" ht="24.6" customHeight="1" x14ac:dyDescent="0.3">
      <c r="A14" s="83"/>
      <c r="B14" s="614" t="s">
        <v>596</v>
      </c>
      <c r="C14" s="638">
        <f>22224+16065</f>
        <v>38289</v>
      </c>
      <c r="D14" s="638">
        <f>2300+4000</f>
        <v>6300</v>
      </c>
      <c r="E14" s="2436">
        <f>38000+90000+10000</f>
        <v>138000</v>
      </c>
      <c r="F14" s="2436">
        <f>1645432.9-86000+128810+1363782-1904109-100000</f>
        <v>1047915.8999999999</v>
      </c>
      <c r="G14" s="2436">
        <f>28000-8000-10000</f>
        <v>10000</v>
      </c>
      <c r="H14" s="638">
        <v>3000</v>
      </c>
      <c r="I14" s="640">
        <f t="shared" si="0"/>
        <v>1243504.8999999999</v>
      </c>
      <c r="J14" s="796"/>
      <c r="K14" s="585"/>
      <c r="L14" s="1178"/>
      <c r="M14" s="581"/>
      <c r="N14" s="581"/>
      <c r="O14" s="581"/>
      <c r="P14" s="581"/>
      <c r="Q14" s="581"/>
      <c r="R14" s="582"/>
      <c r="S14" s="582"/>
      <c r="T14" s="582"/>
    </row>
    <row r="15" spans="1:20" ht="24.6" customHeight="1" x14ac:dyDescent="0.3">
      <c r="A15" s="83"/>
      <c r="B15" s="614" t="s">
        <v>222</v>
      </c>
      <c r="C15" s="638">
        <v>178243</v>
      </c>
      <c r="D15" s="638">
        <v>2500</v>
      </c>
      <c r="E15" s="638">
        <f>50000-40000+10000</f>
        <v>20000</v>
      </c>
      <c r="F15" s="638">
        <f>3223104-10000+2762689-3452174+1923695-2727862+200000</f>
        <v>1919452</v>
      </c>
      <c r="G15" s="638">
        <f>9500-5000-2500</f>
        <v>2000</v>
      </c>
      <c r="H15" s="638">
        <v>1500</v>
      </c>
      <c r="I15" s="640">
        <f t="shared" si="0"/>
        <v>2123695</v>
      </c>
      <c r="J15" s="749"/>
      <c r="K15" s="585"/>
      <c r="L15" s="1178"/>
      <c r="M15" s="581"/>
      <c r="N15" s="581"/>
      <c r="O15" s="581"/>
      <c r="P15" s="581"/>
      <c r="Q15" s="581"/>
      <c r="R15" s="582"/>
      <c r="S15" s="582"/>
      <c r="T15" s="582"/>
    </row>
    <row r="16" spans="1:20" ht="24.6" customHeight="1" thickBot="1" x14ac:dyDescent="0.35">
      <c r="A16" s="83"/>
      <c r="B16" s="617" t="s">
        <v>529</v>
      </c>
      <c r="C16" s="641">
        <v>0</v>
      </c>
      <c r="D16" s="641">
        <v>0</v>
      </c>
      <c r="E16" s="641">
        <v>0</v>
      </c>
      <c r="F16" s="641">
        <v>0</v>
      </c>
      <c r="G16" s="641">
        <v>0</v>
      </c>
      <c r="H16" s="641">
        <v>0</v>
      </c>
      <c r="I16" s="643">
        <f t="shared" si="0"/>
        <v>0</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f t="shared" si="0"/>
        <v>0</v>
      </c>
      <c r="J17" s="85"/>
      <c r="K17" s="517"/>
      <c r="L17" s="2046"/>
      <c r="M17" s="2046"/>
      <c r="N17" s="2046"/>
      <c r="O17" s="2046"/>
      <c r="P17" s="2046"/>
      <c r="Q17" s="581"/>
      <c r="R17" s="582"/>
      <c r="S17" s="582"/>
      <c r="T17" s="582"/>
    </row>
    <row r="18" spans="1:20" ht="24.6" customHeight="1" thickBot="1" x14ac:dyDescent="0.35">
      <c r="A18" s="84"/>
      <c r="B18" s="232" t="s">
        <v>30</v>
      </c>
      <c r="C18" s="662">
        <f>SUM(C12:C17)</f>
        <v>407089</v>
      </c>
      <c r="D18" s="662">
        <f t="shared" ref="D18:I18" si="1">SUM(D12:D17)</f>
        <v>9520</v>
      </c>
      <c r="E18" s="662">
        <f t="shared" si="1"/>
        <v>289396</v>
      </c>
      <c r="F18" s="662">
        <f t="shared" si="1"/>
        <v>5077351.9000000004</v>
      </c>
      <c r="G18" s="662">
        <f t="shared" si="1"/>
        <v>52080</v>
      </c>
      <c r="H18" s="662">
        <f t="shared" si="1"/>
        <v>6467</v>
      </c>
      <c r="I18" s="662">
        <f t="shared" si="1"/>
        <v>5841903.9000000004</v>
      </c>
      <c r="J18" s="85"/>
      <c r="K18" s="2302"/>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2297"/>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180628</v>
      </c>
      <c r="D21" s="644">
        <v>2000</v>
      </c>
      <c r="E21" s="644">
        <v>12000</v>
      </c>
      <c r="F21" s="644">
        <f>1785380+1487782-1957180+1272829-1525410</f>
        <v>1063401</v>
      </c>
      <c r="G21" s="644">
        <f>23600+1957180-1973980</f>
        <v>6800</v>
      </c>
      <c r="H21" s="644">
        <v>8000</v>
      </c>
      <c r="I21" s="634">
        <f>SUM(C21:H21)</f>
        <v>1272829</v>
      </c>
      <c r="J21" s="825"/>
      <c r="K21" s="825"/>
      <c r="L21" s="825"/>
      <c r="M21" s="825"/>
      <c r="N21" s="581"/>
      <c r="O21" s="581"/>
      <c r="P21" s="581"/>
      <c r="Q21" s="581"/>
      <c r="R21" s="582"/>
      <c r="S21" s="582"/>
      <c r="T21" s="582"/>
    </row>
    <row r="22" spans="1:20" ht="24.6" customHeight="1" thickBot="1" x14ac:dyDescent="0.35">
      <c r="A22" s="84"/>
      <c r="B22" s="26" t="s">
        <v>152</v>
      </c>
      <c r="C22" s="645">
        <f>SUM(C21)</f>
        <v>180628</v>
      </c>
      <c r="D22" s="645">
        <f t="shared" ref="D22:I22" si="2">SUM(D21)</f>
        <v>2000</v>
      </c>
      <c r="E22" s="645">
        <f t="shared" si="2"/>
        <v>12000</v>
      </c>
      <c r="F22" s="645">
        <f t="shared" si="2"/>
        <v>1063401</v>
      </c>
      <c r="G22" s="645">
        <f t="shared" si="2"/>
        <v>6800</v>
      </c>
      <c r="H22" s="645">
        <f t="shared" si="2"/>
        <v>8000</v>
      </c>
      <c r="I22" s="645">
        <f t="shared" si="2"/>
        <v>1272829</v>
      </c>
      <c r="J22" s="85"/>
      <c r="L22" s="745"/>
      <c r="M22" s="745"/>
      <c r="N22" s="581"/>
      <c r="O22" s="582"/>
      <c r="P22" s="582"/>
      <c r="Q22" s="582"/>
    </row>
    <row r="23" spans="1:20" s="51" customFormat="1" ht="24.6" customHeight="1" x14ac:dyDescent="0.3">
      <c r="A23" s="83"/>
      <c r="B23" s="2894"/>
      <c r="C23" s="2895"/>
      <c r="D23" s="2895"/>
      <c r="E23" s="2895"/>
      <c r="F23" s="2895"/>
      <c r="G23" s="2895"/>
      <c r="H23" s="2895"/>
      <c r="I23" s="2896"/>
      <c r="J23" s="142"/>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139553</v>
      </c>
      <c r="D25" s="633">
        <v>2000</v>
      </c>
      <c r="E25" s="633">
        <v>12000</v>
      </c>
      <c r="F25" s="633">
        <f>856266+961416-990780+838736-999469</f>
        <v>666169</v>
      </c>
      <c r="G25" s="633">
        <f>10500+990780-986466</f>
        <v>14814</v>
      </c>
      <c r="H25" s="633">
        <v>4200</v>
      </c>
      <c r="I25" s="634">
        <f>SUM(C25:H25)</f>
        <v>838736</v>
      </c>
      <c r="J25" s="85"/>
      <c r="K25" s="142"/>
      <c r="L25" s="746"/>
      <c r="M25" s="746"/>
      <c r="N25" s="746"/>
      <c r="O25" s="746"/>
      <c r="P25" s="746"/>
      <c r="Q25" s="746"/>
    </row>
    <row r="26" spans="1:20" ht="24.6" customHeight="1" thickBot="1" x14ac:dyDescent="0.35">
      <c r="A26" s="83"/>
      <c r="B26" s="1024" t="s">
        <v>581</v>
      </c>
      <c r="C26" s="635">
        <v>24097</v>
      </c>
      <c r="D26" s="635">
        <v>2000</v>
      </c>
      <c r="E26" s="635">
        <v>12000</v>
      </c>
      <c r="F26" s="635">
        <f>347524+251000-384524+213173-259097</f>
        <v>168076</v>
      </c>
      <c r="G26" s="635">
        <v>5000</v>
      </c>
      <c r="H26" s="635">
        <v>2000</v>
      </c>
      <c r="I26" s="1025">
        <f>SUM(C26:H26)</f>
        <v>213173</v>
      </c>
      <c r="J26" s="85"/>
      <c r="K26" s="603"/>
      <c r="L26" s="746"/>
      <c r="M26" s="746"/>
      <c r="N26" s="746"/>
      <c r="O26" s="746"/>
      <c r="P26" s="746"/>
      <c r="Q26" s="746"/>
    </row>
    <row r="27" spans="1:20" ht="24.6" customHeight="1" thickBot="1" x14ac:dyDescent="0.35">
      <c r="A27" s="84"/>
      <c r="B27" s="921" t="s">
        <v>152</v>
      </c>
      <c r="C27" s="645">
        <f>SUM(C25:C26)</f>
        <v>163650</v>
      </c>
      <c r="D27" s="645">
        <f>D25+D26</f>
        <v>4000</v>
      </c>
      <c r="E27" s="645">
        <f>E25+E26</f>
        <v>24000</v>
      </c>
      <c r="F27" s="645">
        <f>F25+F26</f>
        <v>834245</v>
      </c>
      <c r="G27" s="645">
        <f>G25+G26</f>
        <v>19814</v>
      </c>
      <c r="H27" s="645">
        <f>H25+H26</f>
        <v>6200</v>
      </c>
      <c r="I27" s="932">
        <f>SUM(I25:I26)</f>
        <v>1051909</v>
      </c>
      <c r="J27" s="85"/>
      <c r="K27" s="603"/>
      <c r="L27" s="581"/>
      <c r="M27" s="581"/>
      <c r="N27" s="581"/>
      <c r="O27" s="582"/>
      <c r="P27" s="582"/>
      <c r="Q27" s="582"/>
    </row>
    <row r="28" spans="1:20" ht="24.6" customHeight="1" thickBot="1" x14ac:dyDescent="0.35">
      <c r="A28" s="84"/>
      <c r="B28" s="930" t="s">
        <v>245</v>
      </c>
      <c r="C28" s="703">
        <v>8032</v>
      </c>
      <c r="D28" s="703">
        <v>1000</v>
      </c>
      <c r="E28" s="703">
        <v>5000</v>
      </c>
      <c r="F28" s="644">
        <f>240081+246510-279581</f>
        <v>207010</v>
      </c>
      <c r="G28" s="703">
        <v>2500</v>
      </c>
      <c r="H28" s="703">
        <v>2000</v>
      </c>
      <c r="I28" s="931">
        <f>SUM(C28:H28)</f>
        <v>225542</v>
      </c>
      <c r="J28" s="85"/>
      <c r="L28" s="581"/>
      <c r="M28" s="581"/>
      <c r="N28" s="581"/>
      <c r="O28" s="582"/>
      <c r="P28" s="582"/>
      <c r="Q28" s="582"/>
    </row>
    <row r="29" spans="1:20" ht="24.6" customHeight="1" thickBot="1" x14ac:dyDescent="0.35">
      <c r="A29" s="84"/>
      <c r="B29" s="26" t="s">
        <v>31</v>
      </c>
      <c r="C29" s="645">
        <f>C22+C27+C28</f>
        <v>352310</v>
      </c>
      <c r="D29" s="645">
        <f t="shared" ref="D29:I29" si="3">D22+D27+D28</f>
        <v>7000</v>
      </c>
      <c r="E29" s="645">
        <f t="shared" si="3"/>
        <v>41000</v>
      </c>
      <c r="F29" s="645">
        <f t="shared" si="3"/>
        <v>2104656</v>
      </c>
      <c r="G29" s="645">
        <f t="shared" si="3"/>
        <v>29114</v>
      </c>
      <c r="H29" s="645">
        <f t="shared" si="3"/>
        <v>16200</v>
      </c>
      <c r="I29" s="645">
        <f t="shared" si="3"/>
        <v>2550280</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f t="shared" ref="I32:I39" si="4">SUM(C32:H32)</f>
        <v>0</v>
      </c>
      <c r="J32" s="1152"/>
      <c r="K32" s="1153"/>
      <c r="L32" s="1154"/>
      <c r="M32" s="1154"/>
      <c r="N32" s="1155"/>
      <c r="O32" s="1155"/>
      <c r="P32" s="1156"/>
      <c r="Q32" s="1149"/>
    </row>
    <row r="33" spans="1:19" s="9" customFormat="1" ht="16.5" customHeight="1" x14ac:dyDescent="0.25">
      <c r="A33" s="1150"/>
      <c r="B33" s="693" t="s">
        <v>600</v>
      </c>
      <c r="C33" s="1854">
        <f>12138+51386</f>
        <v>63524</v>
      </c>
      <c r="D33" s="669">
        <v>890</v>
      </c>
      <c r="E33" s="669">
        <f>56965+20000+36750</f>
        <v>113715</v>
      </c>
      <c r="F33" s="669">
        <v>3000</v>
      </c>
      <c r="G33" s="669">
        <v>4448</v>
      </c>
      <c r="H33" s="669">
        <v>500</v>
      </c>
      <c r="I33" s="1899">
        <f t="shared" si="4"/>
        <v>186077</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f t="shared" si="4"/>
        <v>150000</v>
      </c>
      <c r="J34" s="1152"/>
      <c r="K34" s="1153"/>
      <c r="L34" s="1154"/>
      <c r="M34" s="1154"/>
      <c r="N34" s="1155"/>
      <c r="O34" s="1155"/>
      <c r="P34" s="1156"/>
      <c r="Q34" s="1149"/>
    </row>
    <row r="35" spans="1:19" s="9" customFormat="1" ht="16.5" customHeight="1" x14ac:dyDescent="0.25">
      <c r="A35" s="1150"/>
      <c r="B35" s="693" t="s">
        <v>601</v>
      </c>
      <c r="C35" s="1854">
        <v>9971</v>
      </c>
      <c r="D35" s="669">
        <v>771</v>
      </c>
      <c r="E35" s="669">
        <f>34096+8000</f>
        <v>42096</v>
      </c>
      <c r="F35" s="669">
        <v>0</v>
      </c>
      <c r="G35" s="669">
        <v>1780</v>
      </c>
      <c r="H35" s="669">
        <v>593</v>
      </c>
      <c r="I35" s="1899">
        <f t="shared" si="4"/>
        <v>55211</v>
      </c>
      <c r="J35" s="1152"/>
      <c r="K35" s="1153"/>
      <c r="L35" s="1154"/>
      <c r="M35" s="1154"/>
      <c r="N35" s="1155"/>
      <c r="O35" s="1155"/>
      <c r="P35" s="1156"/>
      <c r="Q35" s="1149"/>
    </row>
    <row r="36" spans="1:19" s="9" customFormat="1" ht="16.5" customHeight="1" thickBot="1" x14ac:dyDescent="0.3">
      <c r="A36" s="1150"/>
      <c r="B36" s="693" t="s">
        <v>602</v>
      </c>
      <c r="C36" s="1854">
        <v>3327</v>
      </c>
      <c r="D36" s="669">
        <v>291</v>
      </c>
      <c r="E36" s="669">
        <f>19000+4750</f>
        <v>23750</v>
      </c>
      <c r="F36" s="669">
        <v>0</v>
      </c>
      <c r="G36" s="669">
        <v>1384</v>
      </c>
      <c r="H36" s="669">
        <v>224</v>
      </c>
      <c r="I36" s="1899">
        <f t="shared" si="4"/>
        <v>28976</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f t="shared" si="4"/>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f t="shared" si="4"/>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f t="shared" si="4"/>
        <v>0</v>
      </c>
      <c r="J39" s="1146"/>
      <c r="K39" s="1158"/>
      <c r="M39" s="1147"/>
      <c r="N39" s="1147"/>
      <c r="O39" s="1156"/>
      <c r="P39" s="1156"/>
      <c r="Q39" s="1156"/>
      <c r="R39" s="1156"/>
      <c r="S39" s="1159"/>
    </row>
    <row r="40" spans="1:19" s="9" customFormat="1" ht="16.5" customHeight="1" thickBot="1" x14ac:dyDescent="0.3">
      <c r="A40" s="1150"/>
      <c r="B40" s="1160" t="s">
        <v>395</v>
      </c>
      <c r="C40" s="1161">
        <f>SUM(C32:C39)</f>
        <v>76822</v>
      </c>
      <c r="D40" s="1161">
        <f t="shared" ref="D40:I40" si="5">SUM(D32:D39)</f>
        <v>1952</v>
      </c>
      <c r="E40" s="1161">
        <f t="shared" si="5"/>
        <v>329561</v>
      </c>
      <c r="F40" s="1161">
        <f t="shared" si="5"/>
        <v>3000</v>
      </c>
      <c r="G40" s="1161">
        <f t="shared" si="5"/>
        <v>7612</v>
      </c>
      <c r="H40" s="1161">
        <f t="shared" si="5"/>
        <v>1317</v>
      </c>
      <c r="I40" s="2271">
        <f t="shared" si="5"/>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t="e">
        <f>+'SCG Table A'!#REF!-C43</f>
        <v>#REF!</v>
      </c>
      <c r="F43" s="1166">
        <v>0</v>
      </c>
      <c r="G43" s="1166">
        <v>0</v>
      </c>
      <c r="H43" s="1166">
        <v>0</v>
      </c>
      <c r="I43" s="668" t="e">
        <f>SUM(E43:H43)</f>
        <v>#REF!</v>
      </c>
      <c r="J43" s="1146"/>
      <c r="K43" s="852"/>
      <c r="L43" s="1147"/>
      <c r="M43" s="1147"/>
      <c r="N43" s="1147"/>
      <c r="O43" s="1156"/>
      <c r="P43" s="1156"/>
      <c r="R43" s="1149"/>
    </row>
    <row r="44" spans="1:19" s="9" customFormat="1" ht="16.5" customHeight="1" x14ac:dyDescent="0.25">
      <c r="A44" s="1150"/>
      <c r="B44" s="2264" t="s">
        <v>607</v>
      </c>
      <c r="C44" s="1166">
        <v>0</v>
      </c>
      <c r="D44" s="1166">
        <v>0</v>
      </c>
      <c r="E44" s="1901">
        <f>186292-100000</f>
        <v>86292</v>
      </c>
      <c r="F44" s="1166">
        <v>0</v>
      </c>
      <c r="G44" s="1166">
        <v>0</v>
      </c>
      <c r="H44" s="1166">
        <v>0</v>
      </c>
      <c r="I44" s="1899">
        <f>SUM(C44:H44)</f>
        <v>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f>SUM(C45:H45)</f>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f>SUM(C46:H46)</f>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t="e">
        <f>+'SCG Table A'!#REF!-C47</f>
        <v>#REF!</v>
      </c>
      <c r="F47" s="1166">
        <v>0</v>
      </c>
      <c r="G47" s="1166">
        <v>0</v>
      </c>
      <c r="H47" s="1166">
        <v>0</v>
      </c>
      <c r="I47" s="670" t="e">
        <f>SUM(E47:H47)</f>
        <v>#REF!</v>
      </c>
      <c r="J47" s="1146"/>
      <c r="K47" s="852"/>
      <c r="L47" s="1147"/>
      <c r="M47" s="1147"/>
      <c r="N47" s="1147"/>
      <c r="O47" s="1156"/>
      <c r="P47" s="1156"/>
      <c r="R47" s="1149"/>
    </row>
    <row r="48" spans="1:19" s="9" customFormat="1" ht="16.5" hidden="1" customHeight="1" x14ac:dyDescent="0.25">
      <c r="A48" s="1150"/>
      <c r="B48" s="693" t="s">
        <v>586</v>
      </c>
      <c r="C48" s="1900">
        <v>0</v>
      </c>
      <c r="D48" s="1900">
        <v>0</v>
      </c>
      <c r="E48" s="1901" t="e">
        <f>+'SCG Table A'!#REF!-C48</f>
        <v>#REF!</v>
      </c>
      <c r="F48" s="1900">
        <v>0</v>
      </c>
      <c r="G48" s="1900">
        <v>0</v>
      </c>
      <c r="H48" s="1900">
        <v>0</v>
      </c>
      <c r="I48" s="1899" t="e">
        <f>SUM(E48:H48)</f>
        <v>#REF!</v>
      </c>
      <c r="J48" s="852"/>
      <c r="K48" s="1147"/>
      <c r="L48" s="1147"/>
      <c r="M48" s="1147"/>
      <c r="N48" s="1156"/>
      <c r="O48" s="1156"/>
      <c r="Q48" s="1149"/>
    </row>
    <row r="49" spans="1:18" s="9" customFormat="1" ht="16.5" hidden="1" customHeight="1" x14ac:dyDescent="0.25">
      <c r="A49" s="1150"/>
      <c r="B49" s="693" t="s">
        <v>579</v>
      </c>
      <c r="C49" s="1166">
        <v>0</v>
      </c>
      <c r="D49" s="1166">
        <v>0</v>
      </c>
      <c r="E49" s="669" t="e">
        <f>+'SCG Table A'!#REF!-C49</f>
        <v>#REF!</v>
      </c>
      <c r="F49" s="1166">
        <v>0</v>
      </c>
      <c r="G49" s="1166">
        <v>0</v>
      </c>
      <c r="H49" s="1166">
        <v>0</v>
      </c>
      <c r="I49" s="670" t="e">
        <f>SUM(E49:H49)</f>
        <v>#REF!</v>
      </c>
      <c r="J49" s="852"/>
      <c r="K49" s="1147"/>
      <c r="L49" s="1147"/>
      <c r="M49" s="1147"/>
      <c r="N49" s="1156"/>
      <c r="O49" s="1156"/>
      <c r="Q49" s="1149"/>
    </row>
    <row r="50" spans="1:18" s="9" customFormat="1" ht="16.5" hidden="1" customHeight="1" thickBot="1" x14ac:dyDescent="0.3">
      <c r="A50" s="1150"/>
      <c r="B50" s="694" t="s">
        <v>587</v>
      </c>
      <c r="C50" s="1166">
        <v>0</v>
      </c>
      <c r="D50" s="1166">
        <v>0</v>
      </c>
      <c r="E50" s="913" t="e">
        <f>+'SCG Table A'!#REF!-C50</f>
        <v>#REF!</v>
      </c>
      <c r="F50" s="1166">
        <v>0</v>
      </c>
      <c r="G50" s="1166">
        <v>0</v>
      </c>
      <c r="H50" s="1166">
        <v>0</v>
      </c>
      <c r="I50" s="1157" t="e">
        <f>SUM(C50:H50)</f>
        <v>#REF!</v>
      </c>
      <c r="J50" s="852"/>
      <c r="K50" s="1147"/>
      <c r="L50" s="1147"/>
      <c r="M50" s="1147"/>
      <c r="N50" s="1156"/>
      <c r="O50" s="1156"/>
      <c r="Q50" s="1149"/>
    </row>
    <row r="51" spans="1:18" s="1164" customFormat="1" ht="16.5" customHeight="1" thickBot="1" x14ac:dyDescent="0.3">
      <c r="A51" s="1150"/>
      <c r="B51" s="1168" t="s">
        <v>397</v>
      </c>
      <c r="C51" s="1169">
        <f>SUM(C43:C50)</f>
        <v>0</v>
      </c>
      <c r="D51" s="1169">
        <f t="shared" ref="D51:I51" si="6">SUM(D43:D50)</f>
        <v>0</v>
      </c>
      <c r="E51" s="1169" t="e">
        <f t="shared" si="6"/>
        <v>#REF!</v>
      </c>
      <c r="F51" s="1169">
        <f t="shared" si="6"/>
        <v>0</v>
      </c>
      <c r="G51" s="1169">
        <f t="shared" si="6"/>
        <v>0</v>
      </c>
      <c r="H51" s="1169">
        <f t="shared" si="6"/>
        <v>0</v>
      </c>
      <c r="I51" s="2272" t="e">
        <f t="shared" si="6"/>
        <v>#REF!</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t="e">
        <f>+'SCG Table A'!#REF!-C53</f>
        <v>#REF!</v>
      </c>
      <c r="F53" s="1171">
        <v>0</v>
      </c>
      <c r="G53" s="1171">
        <v>0</v>
      </c>
      <c r="H53" s="1171">
        <v>0</v>
      </c>
      <c r="I53" s="668" t="e">
        <f>SUM(C53:H53)</f>
        <v>#REF!</v>
      </c>
      <c r="J53" s="1172"/>
      <c r="K53" s="1172"/>
      <c r="L53" s="1172"/>
      <c r="M53" s="1172"/>
      <c r="N53" s="1172"/>
      <c r="O53" s="1172"/>
      <c r="P53" s="1172"/>
      <c r="Q53" s="1172"/>
      <c r="R53" s="1172"/>
    </row>
    <row r="54" spans="1:18" s="9" customFormat="1" ht="16.5" hidden="1" customHeight="1" thickBot="1" x14ac:dyDescent="0.3">
      <c r="A54" s="1150"/>
      <c r="B54" s="1173" t="s">
        <v>400</v>
      </c>
      <c r="C54" s="1174">
        <f>SUM(C53)</f>
        <v>0</v>
      </c>
      <c r="D54" s="1174">
        <f t="shared" ref="D54:I54" si="7">SUM(D53)</f>
        <v>0</v>
      </c>
      <c r="E54" s="1174" t="e">
        <f t="shared" si="7"/>
        <v>#REF!</v>
      </c>
      <c r="F54" s="1174">
        <f t="shared" si="7"/>
        <v>0</v>
      </c>
      <c r="G54" s="1174">
        <f t="shared" si="7"/>
        <v>0</v>
      </c>
      <c r="H54" s="1174">
        <f t="shared" si="7"/>
        <v>0</v>
      </c>
      <c r="I54" s="1174" t="e">
        <f t="shared" si="7"/>
        <v>#REF!</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f>SUM(C58:H58)</f>
        <v>0</v>
      </c>
      <c r="J58" s="852"/>
      <c r="K58" s="1147"/>
      <c r="L58" s="1147"/>
      <c r="M58" s="1147"/>
      <c r="N58" s="1156"/>
      <c r="O58" s="1156"/>
      <c r="Q58" s="1149"/>
    </row>
    <row r="59" spans="1:18" s="9" customFormat="1" ht="16.5" hidden="1" customHeight="1" thickBot="1" x14ac:dyDescent="0.3">
      <c r="A59" s="1150"/>
      <c r="B59" s="1168" t="s">
        <v>632</v>
      </c>
      <c r="C59" s="1169">
        <f>SUM(C58)</f>
        <v>0</v>
      </c>
      <c r="D59" s="1169">
        <f t="shared" ref="D59:I59" si="8">SUM(D58)</f>
        <v>0</v>
      </c>
      <c r="E59" s="1169">
        <f t="shared" si="8"/>
        <v>0</v>
      </c>
      <c r="F59" s="1169">
        <f t="shared" si="8"/>
        <v>0</v>
      </c>
      <c r="G59" s="1169">
        <f t="shared" si="8"/>
        <v>0</v>
      </c>
      <c r="H59" s="1169">
        <f t="shared" si="8"/>
        <v>0</v>
      </c>
      <c r="I59" s="2272">
        <f t="shared" si="8"/>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121951</v>
      </c>
      <c r="D61" s="638">
        <v>0</v>
      </c>
      <c r="E61" s="638">
        <v>20675</v>
      </c>
      <c r="F61" s="638">
        <v>0</v>
      </c>
      <c r="G61" s="638">
        <v>0</v>
      </c>
      <c r="H61" s="638">
        <v>0</v>
      </c>
      <c r="I61" s="640">
        <f>SUM(C61:H61)</f>
        <v>142626</v>
      </c>
      <c r="J61" s="582"/>
      <c r="K61" s="582"/>
      <c r="L61" s="582"/>
      <c r="M61" s="582"/>
      <c r="N61" s="582"/>
      <c r="O61" s="584"/>
      <c r="P61" s="1156"/>
      <c r="Q61" s="1149"/>
    </row>
    <row r="62" spans="1:18" s="9" customFormat="1" ht="16.5" customHeight="1" x14ac:dyDescent="0.25">
      <c r="A62" s="1150"/>
      <c r="B62" s="615" t="s">
        <v>546</v>
      </c>
      <c r="C62" s="638">
        <f>+'CNG Table C 2013'!C39</f>
        <v>0</v>
      </c>
      <c r="D62" s="638">
        <v>0</v>
      </c>
      <c r="E62" s="638" t="e">
        <f>+'CNG Table A'!#REF!</f>
        <v>#REF!</v>
      </c>
      <c r="F62" s="638">
        <v>0</v>
      </c>
      <c r="G62" s="638">
        <v>0</v>
      </c>
      <c r="H62" s="638">
        <v>0</v>
      </c>
      <c r="I62" s="640" t="e">
        <f t="shared" ref="I62:I69" si="9">SUM(C62:H62)</f>
        <v>#REF!</v>
      </c>
      <c r="J62" s="582"/>
      <c r="K62" s="582"/>
      <c r="L62" s="582"/>
      <c r="M62" s="582"/>
      <c r="N62" s="582"/>
      <c r="O62" s="584"/>
      <c r="P62" s="1156"/>
      <c r="Q62" s="1149"/>
    </row>
    <row r="63" spans="1:18" s="9" customFormat="1" ht="16.5" customHeight="1" x14ac:dyDescent="0.25">
      <c r="A63" s="1150"/>
      <c r="B63" s="615" t="s">
        <v>547</v>
      </c>
      <c r="C63" s="638">
        <v>19291</v>
      </c>
      <c r="D63" s="638">
        <v>0</v>
      </c>
      <c r="E63" s="638">
        <v>120000</v>
      </c>
      <c r="F63" s="638">
        <v>0</v>
      </c>
      <c r="G63" s="638">
        <v>0</v>
      </c>
      <c r="H63" s="638">
        <v>0</v>
      </c>
      <c r="I63" s="640">
        <f t="shared" si="9"/>
        <v>139291</v>
      </c>
      <c r="J63" s="582"/>
      <c r="K63" s="582"/>
      <c r="L63" s="582"/>
      <c r="M63" s="582"/>
      <c r="N63" s="582"/>
      <c r="O63" s="584"/>
      <c r="P63" s="1156"/>
    </row>
    <row r="64" spans="1:18" s="9" customFormat="1" ht="16.5" customHeight="1" x14ac:dyDescent="0.25">
      <c r="A64" s="1150"/>
      <c r="B64" s="615" t="s">
        <v>548</v>
      </c>
      <c r="C64" s="638">
        <v>123720</v>
      </c>
      <c r="D64" s="638">
        <v>0</v>
      </c>
      <c r="E64" s="638">
        <v>0</v>
      </c>
      <c r="F64" s="638">
        <v>0</v>
      </c>
      <c r="G64" s="638">
        <v>0</v>
      </c>
      <c r="H64" s="638">
        <v>0</v>
      </c>
      <c r="I64" s="640">
        <f t="shared" si="9"/>
        <v>123720</v>
      </c>
      <c r="J64" s="582"/>
      <c r="K64" s="582"/>
      <c r="L64" s="582"/>
      <c r="M64" s="582"/>
      <c r="N64" s="582"/>
      <c r="O64" s="584"/>
      <c r="P64" s="1156"/>
      <c r="Q64" s="1164"/>
      <c r="R64" s="1159"/>
    </row>
    <row r="65" spans="1:24" s="1159" customFormat="1" ht="16.5" customHeight="1" x14ac:dyDescent="0.25">
      <c r="A65" s="1145"/>
      <c r="B65" s="615" t="s">
        <v>639</v>
      </c>
      <c r="C65" s="638">
        <v>0</v>
      </c>
      <c r="D65" s="638">
        <v>0</v>
      </c>
      <c r="E65" s="638" t="e">
        <f>+'SCG Table A'!#REF!-C65</f>
        <v>#REF!</v>
      </c>
      <c r="F65" s="638">
        <v>0</v>
      </c>
      <c r="G65" s="638">
        <v>0</v>
      </c>
      <c r="H65" s="638">
        <v>0</v>
      </c>
      <c r="I65" s="640" t="e">
        <f t="shared" si="9"/>
        <v>#REF!</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t="e">
        <f>+'SCG Table A'!#REF!-C66</f>
        <v>#REF!</v>
      </c>
      <c r="F66" s="638">
        <v>0</v>
      </c>
      <c r="G66" s="638">
        <v>0</v>
      </c>
      <c r="H66" s="638">
        <v>0</v>
      </c>
      <c r="I66" s="640" t="e">
        <f>SUM(C66:H66)</f>
        <v>#REF!</v>
      </c>
      <c r="J66" s="1146"/>
      <c r="K66" s="1159"/>
      <c r="L66" s="1159"/>
      <c r="M66" s="848"/>
      <c r="P66" s="1176"/>
    </row>
    <row r="67" spans="1:24" s="9" customFormat="1" ht="16.5" customHeight="1" x14ac:dyDescent="0.25">
      <c r="A67" s="1145"/>
      <c r="B67" s="615" t="s">
        <v>641</v>
      </c>
      <c r="C67" s="638">
        <v>0</v>
      </c>
      <c r="D67" s="638">
        <v>0</v>
      </c>
      <c r="E67" s="638" t="e">
        <f>+'SCG Table A'!#REF!-C67</f>
        <v>#REF!</v>
      </c>
      <c r="F67" s="638">
        <v>0</v>
      </c>
      <c r="G67" s="638">
        <v>0</v>
      </c>
      <c r="H67" s="638">
        <v>0</v>
      </c>
      <c r="I67" s="640" t="e">
        <f t="shared" si="9"/>
        <v>#REF!</v>
      </c>
      <c r="J67" s="1159"/>
      <c r="K67" s="1159"/>
      <c r="L67" s="848"/>
      <c r="O67" s="1176"/>
    </row>
    <row r="68" spans="1:24" s="9" customFormat="1" ht="16.5" customHeight="1" x14ac:dyDescent="0.25">
      <c r="A68" s="1145"/>
      <c r="B68" s="615" t="s">
        <v>642</v>
      </c>
      <c r="C68" s="638">
        <v>0</v>
      </c>
      <c r="D68" s="638">
        <v>0</v>
      </c>
      <c r="E68" s="638" t="e">
        <f>+'SCG Table A'!#REF!-C68</f>
        <v>#REF!</v>
      </c>
      <c r="F68" s="638">
        <v>0</v>
      </c>
      <c r="G68" s="638">
        <v>0</v>
      </c>
      <c r="H68" s="638">
        <v>0</v>
      </c>
      <c r="I68" s="640" t="e">
        <f>SUM(C68:H68)</f>
        <v>#REF!</v>
      </c>
      <c r="J68" s="1159"/>
      <c r="K68" s="1159"/>
      <c r="L68" s="848"/>
      <c r="O68" s="1176"/>
    </row>
    <row r="69" spans="1:24" s="9" customFormat="1" ht="16.5" customHeight="1" thickBot="1" x14ac:dyDescent="0.3">
      <c r="A69" s="1145"/>
      <c r="B69" s="2432" t="s">
        <v>643</v>
      </c>
      <c r="C69" s="925">
        <v>0</v>
      </c>
      <c r="D69" s="925">
        <v>0</v>
      </c>
      <c r="E69" s="925">
        <v>0</v>
      </c>
      <c r="F69" s="925">
        <v>0</v>
      </c>
      <c r="G69" s="925">
        <v>0</v>
      </c>
      <c r="H69" s="925" t="e">
        <f>+'SCG Table A'!#REF!</f>
        <v>#REF!</v>
      </c>
      <c r="I69" s="789" t="e">
        <f t="shared" si="9"/>
        <v>#REF!</v>
      </c>
      <c r="J69" s="1159"/>
      <c r="K69" s="1159"/>
      <c r="L69" s="848"/>
    </row>
    <row r="70" spans="1:24" s="9" customFormat="1" ht="16.5" customHeight="1" thickBot="1" x14ac:dyDescent="0.3">
      <c r="A70" s="1145"/>
      <c r="B70" s="648" t="s">
        <v>43</v>
      </c>
      <c r="C70" s="2433">
        <f t="shared" ref="C70:I70" si="10">SUM(C61:C69)</f>
        <v>264962</v>
      </c>
      <c r="D70" s="2433">
        <f t="shared" si="10"/>
        <v>0</v>
      </c>
      <c r="E70" s="2433" t="e">
        <f t="shared" si="10"/>
        <v>#REF!</v>
      </c>
      <c r="F70" s="2433">
        <f t="shared" si="10"/>
        <v>0</v>
      </c>
      <c r="G70" s="2433">
        <f t="shared" si="10"/>
        <v>0</v>
      </c>
      <c r="H70" s="2433" t="e">
        <f t="shared" si="10"/>
        <v>#REF!</v>
      </c>
      <c r="I70" s="2433" t="e">
        <f t="shared" si="10"/>
        <v>#REF!</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f>C18+C32*0.8+C33*0.5+C34*0.8+C35*0.8+C36*0.5+C37*0.8+C38+C39*0.8+C44+C48+C62*0.8</f>
        <v>448491.3</v>
      </c>
      <c r="D72" s="655">
        <f t="shared" ref="D72:I72" si="11">D18+D32*0.8+D33*0.5+D34*0.8+D35*0.8+D36*0.5+D37*0.8+D38+D39*0.8+D44+D48+D62*0.8</f>
        <v>10727.3</v>
      </c>
      <c r="E72" s="655" t="e">
        <f t="shared" si="11"/>
        <v>#REF!</v>
      </c>
      <c r="F72" s="655">
        <f t="shared" si="11"/>
        <v>5078851.9000000004</v>
      </c>
      <c r="G72" s="655">
        <f t="shared" si="11"/>
        <v>56420</v>
      </c>
      <c r="H72" s="655">
        <f t="shared" si="11"/>
        <v>7303.4</v>
      </c>
      <c r="I72" s="1033" t="e">
        <f t="shared" si="11"/>
        <v>#REF!</v>
      </c>
      <c r="L72" s="141"/>
      <c r="M72" s="49"/>
      <c r="N72" s="49"/>
    </row>
    <row r="73" spans="1:24" ht="21" hidden="1" customHeight="1" x14ac:dyDescent="0.3">
      <c r="A73" s="21"/>
      <c r="B73" s="1034" t="s">
        <v>8</v>
      </c>
      <c r="C73" s="657">
        <f>C29+C32*0.2+C33*0.5+C34*0.2+C35*0.2+C36*0.5+C37*0.2+C39*0.2+C45+C47+C49+C50+C58+C62*0.2</f>
        <v>387729.7</v>
      </c>
      <c r="D73" s="657">
        <f t="shared" ref="D73:I73" si="12">D29+D32*0.2+D33*0.5+D34*0.2+D35*0.2+D36*0.5+D37*0.2+D39*0.2+D45+D47+D49+D50+D58+D62*0.2</f>
        <v>7744.7</v>
      </c>
      <c r="E73" s="657" t="e">
        <f t="shared" si="12"/>
        <v>#REF!</v>
      </c>
      <c r="F73" s="657">
        <f t="shared" si="12"/>
        <v>2106156</v>
      </c>
      <c r="G73" s="657">
        <f t="shared" si="12"/>
        <v>32386</v>
      </c>
      <c r="H73" s="657">
        <f t="shared" si="12"/>
        <v>16680.599999999999</v>
      </c>
      <c r="I73" s="1035" t="e">
        <f t="shared" si="12"/>
        <v>#REF!</v>
      </c>
      <c r="J73" s="521"/>
      <c r="L73" s="141"/>
      <c r="M73" s="49"/>
      <c r="N73" s="49"/>
    </row>
    <row r="74" spans="1:24" ht="21" hidden="1" customHeight="1" thickBot="1" x14ac:dyDescent="0.35">
      <c r="A74" s="86"/>
      <c r="B74" s="1036" t="s">
        <v>12</v>
      </c>
      <c r="C74" s="659">
        <f>C43+C46+C53+C61+C63+C64+C65+C66+C67+C68+C69</f>
        <v>264962</v>
      </c>
      <c r="D74" s="659">
        <f t="shared" ref="D74:I74" si="13">D43+D46+D53+D61+D63+D64+D65+D66+D67+D68+D69</f>
        <v>0</v>
      </c>
      <c r="E74" s="659" t="e">
        <f t="shared" si="13"/>
        <v>#REF!</v>
      </c>
      <c r="F74" s="659">
        <f t="shared" si="13"/>
        <v>0</v>
      </c>
      <c r="G74" s="659">
        <f t="shared" si="13"/>
        <v>0</v>
      </c>
      <c r="H74" s="659" t="e">
        <f t="shared" si="13"/>
        <v>#REF!</v>
      </c>
      <c r="I74" s="1037" t="e">
        <f t="shared" si="13"/>
        <v>#REF!</v>
      </c>
      <c r="L74" s="141"/>
      <c r="M74" s="49"/>
      <c r="N74" s="49"/>
    </row>
    <row r="75" spans="1:24" ht="21" thickBot="1" x14ac:dyDescent="0.35">
      <c r="A75" s="83"/>
      <c r="B75" s="648" t="s">
        <v>58</v>
      </c>
      <c r="C75" s="649">
        <f>C18+C29+C40+C51+C70</f>
        <v>1101183</v>
      </c>
      <c r="D75" s="649">
        <f t="shared" ref="D75:I75" si="14">D18+D29+D40+D51+D70</f>
        <v>18472</v>
      </c>
      <c r="E75" s="649" t="e">
        <f t="shared" si="14"/>
        <v>#REF!</v>
      </c>
      <c r="F75" s="649">
        <f t="shared" si="14"/>
        <v>7185007.9000000004</v>
      </c>
      <c r="G75" s="649">
        <f t="shared" si="14"/>
        <v>88806</v>
      </c>
      <c r="H75" s="649" t="e">
        <f t="shared" si="14"/>
        <v>#REF!</v>
      </c>
      <c r="I75" s="649" t="e">
        <f t="shared" si="14"/>
        <v>#REF!</v>
      </c>
      <c r="J75" s="141"/>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30:I30"/>
    <mergeCell ref="B31:I31"/>
    <mergeCell ref="B1:I1"/>
    <mergeCell ref="B2:I2"/>
    <mergeCell ref="B11:I11"/>
    <mergeCell ref="B20:I20"/>
    <mergeCell ref="B23:I23"/>
    <mergeCell ref="B42:I42"/>
    <mergeCell ref="B52:I52"/>
    <mergeCell ref="B60:I60"/>
    <mergeCell ref="B71:I71"/>
    <mergeCell ref="B57:I57"/>
  </mergeCells>
  <printOptions horizontalCentered="1" verticalCentered="1"/>
  <pageMargins left="0.5" right="0.06" top="0.2" bottom="0.18" header="0.2" footer="0.25"/>
  <pageSetup scale="54" orientation="landscape" r:id="rId1"/>
  <headerFooter alignWithMargins="0">
    <oddFooter>&amp;C&amp;"Arial"&amp;11&amp;K000000&amp;14
Totals may vary due to rounding&amp;12
_x000D_&amp;1#&amp;"Calibri"&amp;12&amp;K008000Internal Use</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indexed="44"/>
    <pageSetUpPr fitToPage="1"/>
  </sheetPr>
  <dimension ref="A1:X79"/>
  <sheetViews>
    <sheetView topLeftCell="B8" zoomScale="75" workbookViewId="0">
      <pane xSplit="1" topLeftCell="C1" activePane="topRight" state="frozen"/>
      <selection activeCell="C9" sqref="C9"/>
      <selection pane="topRight" activeCell="H69" sqref="H69"/>
    </sheetView>
  </sheetViews>
  <sheetFormatPr defaultRowHeight="12.75" x14ac:dyDescent="0.2"/>
  <cols>
    <col min="1" max="1" width="7.140625" style="49" customWidth="1"/>
    <col min="2" max="2" width="60.140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3" width="30.42578125" style="50" customWidth="1"/>
    <col min="14"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625</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v>4762</v>
      </c>
      <c r="F12" s="633">
        <v>708800</v>
      </c>
      <c r="G12" s="633">
        <v>4080</v>
      </c>
      <c r="H12" s="633">
        <v>1500</v>
      </c>
      <c r="I12" s="634">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v>126634</v>
      </c>
      <c r="F13" s="638">
        <v>1836875</v>
      </c>
      <c r="G13" s="638">
        <v>15000</v>
      </c>
      <c r="H13" s="638">
        <v>467</v>
      </c>
      <c r="I13" s="640">
        <v>2202895.9</v>
      </c>
      <c r="J13" s="796"/>
      <c r="K13" s="796"/>
      <c r="L13" s="796"/>
      <c r="M13" s="796"/>
      <c r="N13" s="796"/>
      <c r="O13" s="796"/>
      <c r="P13" s="581"/>
      <c r="Q13" s="581"/>
      <c r="R13" s="582"/>
      <c r="S13" s="582"/>
      <c r="T13" s="582"/>
    </row>
    <row r="14" spans="1:20" ht="24.6" customHeight="1" x14ac:dyDescent="0.3">
      <c r="A14" s="83"/>
      <c r="B14" s="614" t="s">
        <v>596</v>
      </c>
      <c r="C14" s="638">
        <v>58566</v>
      </c>
      <c r="D14" s="638">
        <v>6300</v>
      </c>
      <c r="E14" s="638">
        <v>128000</v>
      </c>
      <c r="F14" s="638">
        <v>1559432.9</v>
      </c>
      <c r="G14" s="638">
        <v>20000</v>
      </c>
      <c r="H14" s="638">
        <v>3000</v>
      </c>
      <c r="I14" s="640">
        <v>1775298.9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v>20000</v>
      </c>
      <c r="F15" s="638">
        <v>3213104</v>
      </c>
      <c r="G15" s="638">
        <v>2000</v>
      </c>
      <c r="H15" s="638">
        <v>1500</v>
      </c>
      <c r="I15" s="640">
        <v>3452174</v>
      </c>
      <c r="J15" s="749"/>
      <c r="K15" s="585"/>
      <c r="L15" s="1178"/>
      <c r="M15" s="581"/>
      <c r="N15" s="581"/>
      <c r="O15" s="581"/>
      <c r="P15" s="581"/>
      <c r="Q15" s="581"/>
      <c r="R15" s="582"/>
      <c r="S15" s="582"/>
      <c r="T15" s="582"/>
    </row>
    <row r="16" spans="1:20" ht="24.6" customHeight="1" thickBot="1" x14ac:dyDescent="0.35">
      <c r="A16" s="83"/>
      <c r="B16" s="617" t="s">
        <v>529</v>
      </c>
      <c r="C16" s="641">
        <v>0</v>
      </c>
      <c r="D16" s="641">
        <v>0</v>
      </c>
      <c r="E16" s="641">
        <v>140565</v>
      </c>
      <c r="F16" s="641">
        <v>0</v>
      </c>
      <c r="G16" s="641">
        <v>0</v>
      </c>
      <c r="H16" s="641">
        <v>0</v>
      </c>
      <c r="I16" s="643">
        <v>140565</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v>0</v>
      </c>
      <c r="J17" s="85"/>
      <c r="K17" s="517"/>
      <c r="L17" s="2046"/>
      <c r="M17" s="2046"/>
      <c r="N17" s="2046"/>
      <c r="O17" s="2046"/>
      <c r="P17" s="2046"/>
      <c r="Q17" s="581"/>
      <c r="R17" s="582"/>
      <c r="S17" s="582"/>
      <c r="T17" s="582"/>
    </row>
    <row r="18" spans="1:20" ht="24.6" customHeight="1" thickBot="1" x14ac:dyDescent="0.35">
      <c r="A18" s="84"/>
      <c r="B18" s="232" t="s">
        <v>30</v>
      </c>
      <c r="C18" s="662">
        <v>526483.9</v>
      </c>
      <c r="D18" s="662">
        <v>9520</v>
      </c>
      <c r="E18" s="662">
        <v>419961</v>
      </c>
      <c r="F18" s="662">
        <v>7318211.9000000004</v>
      </c>
      <c r="G18" s="662">
        <v>41080</v>
      </c>
      <c r="H18" s="662">
        <v>6467</v>
      </c>
      <c r="I18" s="662">
        <v>8321723.7999999998</v>
      </c>
      <c r="J18" s="85"/>
      <c r="K18" s="2302"/>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2297"/>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2000</v>
      </c>
      <c r="E21" s="644">
        <v>12000</v>
      </c>
      <c r="F21" s="644">
        <v>1785380</v>
      </c>
      <c r="G21" s="644">
        <v>6800</v>
      </c>
      <c r="H21" s="644">
        <v>8000</v>
      </c>
      <c r="I21" s="634">
        <v>1957180</v>
      </c>
      <c r="J21" s="825"/>
      <c r="K21" s="825"/>
      <c r="L21" s="825"/>
      <c r="M21" s="825"/>
      <c r="N21" s="581"/>
      <c r="O21" s="581"/>
      <c r="P21" s="581"/>
      <c r="Q21" s="581"/>
      <c r="R21" s="582"/>
      <c r="S21" s="582"/>
      <c r="T21" s="582"/>
    </row>
    <row r="22" spans="1:20" ht="24.6" customHeight="1" thickBot="1" x14ac:dyDescent="0.35">
      <c r="A22" s="84"/>
      <c r="B22" s="26" t="s">
        <v>152</v>
      </c>
      <c r="C22" s="645">
        <v>143000</v>
      </c>
      <c r="D22" s="645">
        <v>2000</v>
      </c>
      <c r="E22" s="645">
        <v>12000</v>
      </c>
      <c r="F22" s="645">
        <v>1785380</v>
      </c>
      <c r="G22" s="645">
        <v>6800</v>
      </c>
      <c r="H22" s="645">
        <v>8000</v>
      </c>
      <c r="I22" s="645">
        <v>1957180</v>
      </c>
      <c r="J22" s="85"/>
      <c r="L22" s="745"/>
      <c r="M22" s="745"/>
      <c r="N22" s="581"/>
      <c r="O22" s="582"/>
      <c r="P22" s="582"/>
      <c r="Q22" s="582"/>
    </row>
    <row r="23" spans="1:20" s="51" customFormat="1" ht="24.6" customHeight="1" x14ac:dyDescent="0.3">
      <c r="A23" s="83"/>
      <c r="B23" s="2894"/>
      <c r="C23" s="2895"/>
      <c r="D23" s="2895"/>
      <c r="E23" s="2895"/>
      <c r="F23" s="2895"/>
      <c r="G23" s="2895"/>
      <c r="H23" s="2895"/>
      <c r="I23" s="2896"/>
      <c r="J23" s="142"/>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2000</v>
      </c>
      <c r="E25" s="633">
        <v>12000</v>
      </c>
      <c r="F25" s="633">
        <v>856266</v>
      </c>
      <c r="G25" s="633">
        <v>14814</v>
      </c>
      <c r="H25" s="633">
        <v>4200</v>
      </c>
      <c r="I25" s="634">
        <v>990780</v>
      </c>
      <c r="J25" s="85"/>
      <c r="K25" s="142"/>
      <c r="L25" s="746"/>
      <c r="M25" s="746"/>
      <c r="N25" s="746"/>
      <c r="O25" s="746"/>
      <c r="P25" s="746"/>
      <c r="Q25" s="746"/>
    </row>
    <row r="26" spans="1:20" ht="24.6" customHeight="1" thickBot="1" x14ac:dyDescent="0.35">
      <c r="A26" s="83"/>
      <c r="B26" s="1024" t="s">
        <v>581</v>
      </c>
      <c r="C26" s="635">
        <v>16000</v>
      </c>
      <c r="D26" s="635">
        <v>2000</v>
      </c>
      <c r="E26" s="635">
        <v>12000</v>
      </c>
      <c r="F26" s="635">
        <v>347524</v>
      </c>
      <c r="G26" s="635">
        <v>5000</v>
      </c>
      <c r="H26" s="635">
        <v>2000</v>
      </c>
      <c r="I26" s="1025">
        <v>384524</v>
      </c>
      <c r="J26" s="85"/>
      <c r="K26" s="603"/>
      <c r="L26" s="746"/>
      <c r="M26" s="746"/>
      <c r="N26" s="746"/>
      <c r="O26" s="746"/>
      <c r="P26" s="746"/>
      <c r="Q26" s="746"/>
    </row>
    <row r="27" spans="1:20" ht="24.6" customHeight="1" thickBot="1" x14ac:dyDescent="0.35">
      <c r="A27" s="84"/>
      <c r="B27" s="921" t="s">
        <v>152</v>
      </c>
      <c r="C27" s="645">
        <v>117500</v>
      </c>
      <c r="D27" s="645">
        <v>4000</v>
      </c>
      <c r="E27" s="645">
        <v>24000</v>
      </c>
      <c r="F27" s="645">
        <v>1203790</v>
      </c>
      <c r="G27" s="645">
        <v>19814</v>
      </c>
      <c r="H27" s="645">
        <v>6200</v>
      </c>
      <c r="I27" s="932">
        <v>1375304</v>
      </c>
      <c r="J27" s="85"/>
      <c r="K27" s="603"/>
      <c r="L27" s="581"/>
      <c r="M27" s="581"/>
      <c r="N27" s="581"/>
      <c r="O27" s="582"/>
      <c r="P27" s="582"/>
      <c r="Q27" s="582"/>
    </row>
    <row r="28" spans="1:20" ht="24.6" customHeight="1" thickBot="1" x14ac:dyDescent="0.35">
      <c r="A28" s="84"/>
      <c r="B28" s="930" t="s">
        <v>245</v>
      </c>
      <c r="C28" s="703">
        <v>29000</v>
      </c>
      <c r="D28" s="703">
        <v>1000</v>
      </c>
      <c r="E28" s="703">
        <v>5000</v>
      </c>
      <c r="F28" s="644">
        <v>240081</v>
      </c>
      <c r="G28" s="703">
        <v>2500</v>
      </c>
      <c r="H28" s="703">
        <v>2000</v>
      </c>
      <c r="I28" s="931">
        <v>279581</v>
      </c>
      <c r="J28" s="85"/>
      <c r="L28" s="581"/>
      <c r="M28" s="581"/>
      <c r="N28" s="581"/>
      <c r="O28" s="582"/>
      <c r="P28" s="582"/>
      <c r="Q28" s="582"/>
    </row>
    <row r="29" spans="1:20" ht="24.6" customHeight="1" thickBot="1" x14ac:dyDescent="0.35">
      <c r="A29" s="84"/>
      <c r="B29" s="26" t="s">
        <v>31</v>
      </c>
      <c r="C29" s="645">
        <v>289500</v>
      </c>
      <c r="D29" s="645">
        <v>7000</v>
      </c>
      <c r="E29" s="645">
        <v>41000</v>
      </c>
      <c r="F29" s="645">
        <v>3229251</v>
      </c>
      <c r="G29" s="645">
        <v>29114</v>
      </c>
      <c r="H29" s="645">
        <v>16200</v>
      </c>
      <c r="I29" s="645">
        <v>3612065</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v>22833</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259582</v>
      </c>
      <c r="F65" s="638">
        <v>0</v>
      </c>
      <c r="G65" s="638">
        <v>0</v>
      </c>
      <c r="H65" s="638">
        <v>0</v>
      </c>
      <c r="I65" s="640">
        <v>280000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30800</v>
      </c>
      <c r="F66" s="638">
        <v>0</v>
      </c>
      <c r="G66" s="638">
        <v>0</v>
      </c>
      <c r="H66" s="638">
        <v>0</v>
      </c>
      <c r="I66" s="640">
        <v>30800</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41">
        <v>0</v>
      </c>
      <c r="E69" s="641">
        <v>0</v>
      </c>
      <c r="F69" s="641">
        <v>0</v>
      </c>
      <c r="G69" s="641">
        <v>0</v>
      </c>
      <c r="H69" s="641">
        <v>601248</v>
      </c>
      <c r="I69" s="643">
        <v>601248</v>
      </c>
      <c r="J69" s="1159"/>
      <c r="K69" s="1159"/>
      <c r="L69" s="848"/>
    </row>
    <row r="70" spans="1:24" s="9" customFormat="1" ht="16.5" customHeight="1" thickBot="1" x14ac:dyDescent="0.3">
      <c r="A70" s="1145"/>
      <c r="B70" s="232" t="s">
        <v>43</v>
      </c>
      <c r="C70" s="1177">
        <v>212235</v>
      </c>
      <c r="D70" s="1177">
        <v>0</v>
      </c>
      <c r="E70" s="1177">
        <v>574300</v>
      </c>
      <c r="F70" s="1177">
        <v>0</v>
      </c>
      <c r="G70" s="1177">
        <v>0</v>
      </c>
      <c r="H70" s="1177">
        <v>601248</v>
      </c>
      <c r="I70" s="1177">
        <v>1387783</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555705.08111999999</v>
      </c>
      <c r="D72" s="655">
        <v>10904</v>
      </c>
      <c r="E72" s="655">
        <v>903038.6</v>
      </c>
      <c r="F72" s="655">
        <v>7318211.9000000004</v>
      </c>
      <c r="G72" s="655">
        <v>45620</v>
      </c>
      <c r="H72" s="655">
        <v>7397</v>
      </c>
      <c r="I72" s="1033">
        <v>8840876.5811199993</v>
      </c>
      <c r="L72" s="141"/>
      <c r="M72" s="49"/>
      <c r="N72" s="49"/>
    </row>
    <row r="73" spans="1:24" ht="21" customHeight="1" x14ac:dyDescent="0.3">
      <c r="A73" s="21"/>
      <c r="B73" s="1034" t="s">
        <v>8</v>
      </c>
      <c r="C73" s="657">
        <v>313190.81887999998</v>
      </c>
      <c r="D73" s="657">
        <v>7916</v>
      </c>
      <c r="E73" s="657">
        <v>255824.4</v>
      </c>
      <c r="F73" s="657">
        <v>3229251</v>
      </c>
      <c r="G73" s="657">
        <v>32574</v>
      </c>
      <c r="H73" s="657">
        <v>16770</v>
      </c>
      <c r="I73" s="1035">
        <v>3855526.2188800001</v>
      </c>
      <c r="J73" s="521"/>
      <c r="L73" s="141"/>
      <c r="M73" s="49"/>
      <c r="N73" s="49"/>
    </row>
    <row r="74" spans="1:24" ht="21" customHeight="1" thickBot="1" x14ac:dyDescent="0.35">
      <c r="A74" s="86"/>
      <c r="B74" s="1036" t="s">
        <v>12</v>
      </c>
      <c r="C74" s="659">
        <v>212235</v>
      </c>
      <c r="D74" s="659">
        <v>0</v>
      </c>
      <c r="E74" s="659">
        <v>543242</v>
      </c>
      <c r="F74" s="659">
        <v>0</v>
      </c>
      <c r="G74" s="659">
        <v>0</v>
      </c>
      <c r="H74" s="659">
        <v>601248</v>
      </c>
      <c r="I74" s="1037">
        <v>1356725</v>
      </c>
      <c r="L74" s="141"/>
      <c r="M74" s="49"/>
      <c r="N74" s="49"/>
    </row>
    <row r="75" spans="1:24" ht="21" thickBot="1" x14ac:dyDescent="0.35">
      <c r="A75" s="83"/>
      <c r="B75" s="648" t="s">
        <v>58</v>
      </c>
      <c r="C75" s="649">
        <v>1081130.8999999999</v>
      </c>
      <c r="D75" s="649">
        <v>18820</v>
      </c>
      <c r="E75" s="649">
        <v>1702105</v>
      </c>
      <c r="F75" s="649">
        <v>10547462.9</v>
      </c>
      <c r="G75" s="649">
        <v>78194</v>
      </c>
      <c r="H75" s="649">
        <v>625415</v>
      </c>
      <c r="I75" s="649">
        <v>14053127.799999999</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5" right="0.06" top="0.2" bottom="0.18" header="0.2" footer="0.25"/>
  <pageSetup scale="54" orientation="landscape" r:id="rId1"/>
  <headerFooter alignWithMargins="0">
    <oddFooter>&amp;C&amp;"Arial"&amp;11&amp;K000000&amp;14
Totals may vary due to rounding&amp;12
_x000D_&amp;1#&amp;"Calibri"&amp;12&amp;K008000Internal Use</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indexed="44"/>
    <pageSetUpPr fitToPage="1"/>
  </sheetPr>
  <dimension ref="A1:X79"/>
  <sheetViews>
    <sheetView topLeftCell="B18" zoomScale="75" workbookViewId="0">
      <pane xSplit="1" topLeftCell="C1" activePane="topRight" state="frozen"/>
      <selection activeCell="C9" sqref="C9"/>
      <selection pane="topRight" activeCell="E61" sqref="E61"/>
    </sheetView>
  </sheetViews>
  <sheetFormatPr defaultRowHeight="12.75" x14ac:dyDescent="0.2"/>
  <cols>
    <col min="1" max="1" width="7.140625" style="49" customWidth="1"/>
    <col min="2" max="2" width="60.140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3" width="30.42578125" style="50" customWidth="1"/>
    <col min="14"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625</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v>4762</v>
      </c>
      <c r="F12" s="633">
        <v>708800</v>
      </c>
      <c r="G12" s="633">
        <v>4080</v>
      </c>
      <c r="H12" s="633">
        <v>1500</v>
      </c>
      <c r="I12" s="634">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v>126634</v>
      </c>
      <c r="F13" s="638">
        <v>1559775</v>
      </c>
      <c r="G13" s="638">
        <v>15000</v>
      </c>
      <c r="H13" s="638">
        <v>467</v>
      </c>
      <c r="I13" s="640">
        <v>1925795.9</v>
      </c>
      <c r="J13" s="796"/>
      <c r="K13" s="796"/>
      <c r="L13" s="796"/>
      <c r="M13" s="796"/>
      <c r="N13" s="796"/>
      <c r="O13" s="796"/>
      <c r="P13" s="581"/>
      <c r="Q13" s="581"/>
      <c r="R13" s="582"/>
      <c r="S13" s="582"/>
      <c r="T13" s="582"/>
    </row>
    <row r="14" spans="1:20" ht="24.6" customHeight="1" x14ac:dyDescent="0.3">
      <c r="A14" s="83"/>
      <c r="B14" s="614" t="s">
        <v>596</v>
      </c>
      <c r="C14" s="638">
        <v>58566</v>
      </c>
      <c r="D14" s="638">
        <v>6300</v>
      </c>
      <c r="E14" s="638">
        <v>128000</v>
      </c>
      <c r="F14" s="638">
        <v>1147915.8999999999</v>
      </c>
      <c r="G14" s="638">
        <v>20000</v>
      </c>
      <c r="H14" s="638">
        <v>3000</v>
      </c>
      <c r="I14" s="640">
        <v>1363781.9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v>20000</v>
      </c>
      <c r="F15" s="638">
        <v>2523619</v>
      </c>
      <c r="G15" s="638">
        <v>2000</v>
      </c>
      <c r="H15" s="638">
        <v>1500</v>
      </c>
      <c r="I15" s="640">
        <v>2762689</v>
      </c>
      <c r="J15" s="749"/>
      <c r="K15" s="585"/>
      <c r="L15" s="1178"/>
      <c r="M15" s="581"/>
      <c r="N15" s="581"/>
      <c r="O15" s="581"/>
      <c r="P15" s="581"/>
      <c r="Q15" s="581"/>
      <c r="R15" s="582"/>
      <c r="S15" s="582"/>
      <c r="T15" s="582"/>
    </row>
    <row r="16" spans="1:20" ht="24.6" customHeight="1" thickBot="1" x14ac:dyDescent="0.35">
      <c r="A16" s="83"/>
      <c r="B16" s="617" t="s">
        <v>529</v>
      </c>
      <c r="C16" s="641">
        <v>0</v>
      </c>
      <c r="D16" s="641">
        <v>0</v>
      </c>
      <c r="E16" s="641">
        <v>106598</v>
      </c>
      <c r="F16" s="641">
        <v>0</v>
      </c>
      <c r="G16" s="641">
        <v>0</v>
      </c>
      <c r="H16" s="641">
        <v>0</v>
      </c>
      <c r="I16" s="643">
        <v>106598</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v>0</v>
      </c>
      <c r="J17" s="85"/>
      <c r="K17" s="517"/>
      <c r="L17" s="2046"/>
      <c r="M17" s="2046"/>
      <c r="N17" s="2046"/>
      <c r="O17" s="2046"/>
      <c r="P17" s="2046"/>
      <c r="Q17" s="581"/>
      <c r="R17" s="582"/>
      <c r="S17" s="582"/>
      <c r="T17" s="582"/>
    </row>
    <row r="18" spans="1:20" ht="24.6" customHeight="1" thickBot="1" x14ac:dyDescent="0.35">
      <c r="A18" s="84"/>
      <c r="B18" s="232" t="s">
        <v>30</v>
      </c>
      <c r="C18" s="662">
        <v>526483.9</v>
      </c>
      <c r="D18" s="662">
        <v>9520</v>
      </c>
      <c r="E18" s="662">
        <v>385994</v>
      </c>
      <c r="F18" s="662">
        <v>5940109.9000000004</v>
      </c>
      <c r="G18" s="662">
        <v>41080</v>
      </c>
      <c r="H18" s="662">
        <v>6467</v>
      </c>
      <c r="I18" s="662">
        <v>6909654.7999999998</v>
      </c>
      <c r="J18" s="85"/>
      <c r="K18" s="2302"/>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2297"/>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2000</v>
      </c>
      <c r="E21" s="644">
        <v>12000</v>
      </c>
      <c r="F21" s="644">
        <v>1315982</v>
      </c>
      <c r="G21" s="644">
        <v>6800</v>
      </c>
      <c r="H21" s="644">
        <v>8000</v>
      </c>
      <c r="I21" s="634">
        <v>1487782</v>
      </c>
      <c r="J21" s="825"/>
      <c r="K21" s="825"/>
      <c r="L21" s="825"/>
      <c r="M21" s="825"/>
      <c r="N21" s="581"/>
      <c r="O21" s="581"/>
      <c r="P21" s="581"/>
      <c r="Q21" s="581"/>
      <c r="R21" s="582"/>
      <c r="S21" s="582"/>
      <c r="T21" s="582"/>
    </row>
    <row r="22" spans="1:20" ht="24.6" customHeight="1" thickBot="1" x14ac:dyDescent="0.35">
      <c r="A22" s="84"/>
      <c r="B22" s="26" t="s">
        <v>152</v>
      </c>
      <c r="C22" s="645">
        <v>143000</v>
      </c>
      <c r="D22" s="645">
        <v>2000</v>
      </c>
      <c r="E22" s="645">
        <v>12000</v>
      </c>
      <c r="F22" s="645">
        <v>1315982</v>
      </c>
      <c r="G22" s="645">
        <v>6800</v>
      </c>
      <c r="H22" s="645">
        <v>8000</v>
      </c>
      <c r="I22" s="645">
        <v>1487782</v>
      </c>
      <c r="J22" s="85"/>
      <c r="L22" s="745"/>
      <c r="M22" s="745"/>
      <c r="N22" s="581"/>
      <c r="O22" s="582"/>
      <c r="P22" s="582"/>
      <c r="Q22" s="582"/>
    </row>
    <row r="23" spans="1:20" s="51" customFormat="1" ht="24.6" customHeight="1" x14ac:dyDescent="0.3">
      <c r="A23" s="83"/>
      <c r="B23" s="2894"/>
      <c r="C23" s="2895"/>
      <c r="D23" s="2895"/>
      <c r="E23" s="2895"/>
      <c r="F23" s="2895"/>
      <c r="G23" s="2895"/>
      <c r="H23" s="2895"/>
      <c r="I23" s="2896"/>
      <c r="J23" s="142"/>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2000</v>
      </c>
      <c r="E25" s="633">
        <v>12000</v>
      </c>
      <c r="F25" s="633">
        <v>826902</v>
      </c>
      <c r="G25" s="633">
        <v>14814</v>
      </c>
      <c r="H25" s="633">
        <v>4200</v>
      </c>
      <c r="I25" s="634">
        <v>961416</v>
      </c>
      <c r="J25" s="85"/>
      <c r="K25" s="142"/>
      <c r="L25" s="746"/>
      <c r="M25" s="746"/>
      <c r="N25" s="746"/>
      <c r="O25" s="746"/>
      <c r="P25" s="746"/>
      <c r="Q25" s="746"/>
    </row>
    <row r="26" spans="1:20" ht="24.6" customHeight="1" thickBot="1" x14ac:dyDescent="0.35">
      <c r="A26" s="83"/>
      <c r="B26" s="1024" t="s">
        <v>581</v>
      </c>
      <c r="C26" s="635">
        <v>16000</v>
      </c>
      <c r="D26" s="635">
        <v>2000</v>
      </c>
      <c r="E26" s="635">
        <v>12000</v>
      </c>
      <c r="F26" s="635">
        <v>214000</v>
      </c>
      <c r="G26" s="635">
        <v>5000</v>
      </c>
      <c r="H26" s="635">
        <v>2000</v>
      </c>
      <c r="I26" s="1025">
        <v>251000</v>
      </c>
      <c r="J26" s="85"/>
      <c r="K26" s="603"/>
      <c r="L26" s="746"/>
      <c r="M26" s="746"/>
      <c r="N26" s="746"/>
      <c r="O26" s="746"/>
      <c r="P26" s="746"/>
      <c r="Q26" s="746"/>
    </row>
    <row r="27" spans="1:20" ht="24.6" customHeight="1" thickBot="1" x14ac:dyDescent="0.35">
      <c r="A27" s="84"/>
      <c r="B27" s="921" t="s">
        <v>152</v>
      </c>
      <c r="C27" s="645">
        <v>117500</v>
      </c>
      <c r="D27" s="645">
        <v>4000</v>
      </c>
      <c r="E27" s="645">
        <v>24000</v>
      </c>
      <c r="F27" s="645">
        <v>1040902</v>
      </c>
      <c r="G27" s="645">
        <v>19814</v>
      </c>
      <c r="H27" s="645">
        <v>6200</v>
      </c>
      <c r="I27" s="932">
        <v>1212416</v>
      </c>
      <c r="J27" s="85"/>
      <c r="K27" s="603"/>
      <c r="L27" s="581"/>
      <c r="M27" s="581"/>
      <c r="N27" s="581"/>
      <c r="O27" s="582"/>
      <c r="P27" s="582"/>
      <c r="Q27" s="582"/>
    </row>
    <row r="28" spans="1:20" ht="24.6" customHeight="1" thickBot="1" x14ac:dyDescent="0.35">
      <c r="A28" s="84"/>
      <c r="B28" s="930" t="s">
        <v>245</v>
      </c>
      <c r="C28" s="703">
        <v>29000</v>
      </c>
      <c r="D28" s="703">
        <v>1000</v>
      </c>
      <c r="E28" s="703">
        <v>5000</v>
      </c>
      <c r="F28" s="644">
        <v>207010</v>
      </c>
      <c r="G28" s="703">
        <v>2500</v>
      </c>
      <c r="H28" s="703">
        <v>2000</v>
      </c>
      <c r="I28" s="931">
        <v>246510</v>
      </c>
      <c r="J28" s="85"/>
      <c r="L28" s="581"/>
      <c r="M28" s="581"/>
      <c r="N28" s="581"/>
      <c r="O28" s="582"/>
      <c r="P28" s="582"/>
      <c r="Q28" s="582"/>
    </row>
    <row r="29" spans="1:20" ht="24.6" customHeight="1" thickBot="1" x14ac:dyDescent="0.35">
      <c r="A29" s="84"/>
      <c r="B29" s="26" t="s">
        <v>31</v>
      </c>
      <c r="C29" s="645">
        <v>289500</v>
      </c>
      <c r="D29" s="645">
        <v>7000</v>
      </c>
      <c r="E29" s="645">
        <v>41000</v>
      </c>
      <c r="F29" s="645">
        <v>2563894</v>
      </c>
      <c r="G29" s="645">
        <v>29114</v>
      </c>
      <c r="H29" s="645">
        <v>16200</v>
      </c>
      <c r="I29" s="645">
        <v>2946708</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1161">
        <v>1500</v>
      </c>
      <c r="I40" s="2271">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v>22833</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t="e">
        <f>+'CNG Table A'!#REF!</f>
        <v>#REF!</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179582</v>
      </c>
      <c r="F65" s="638">
        <v>0</v>
      </c>
      <c r="G65" s="638">
        <v>0</v>
      </c>
      <c r="H65" s="638">
        <v>0</v>
      </c>
      <c r="I65" s="640">
        <v>200000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20000</v>
      </c>
      <c r="F66" s="638">
        <v>0</v>
      </c>
      <c r="G66" s="638">
        <v>0</v>
      </c>
      <c r="H66" s="638">
        <v>0</v>
      </c>
      <c r="I66" s="640">
        <v>20000</v>
      </c>
      <c r="J66" s="1146"/>
      <c r="K66" s="1159"/>
      <c r="L66" s="1159"/>
      <c r="M66" s="848"/>
      <c r="P66" s="1176"/>
    </row>
    <row r="67" spans="1:24" s="9" customFormat="1" ht="16.5" customHeight="1" x14ac:dyDescent="0.25">
      <c r="A67" s="1145"/>
      <c r="B67" s="615" t="s">
        <v>641</v>
      </c>
      <c r="C67" s="638">
        <v>0</v>
      </c>
      <c r="D67" s="638">
        <v>0</v>
      </c>
      <c r="E67" s="638">
        <v>43333</v>
      </c>
      <c r="F67" s="638">
        <v>0</v>
      </c>
      <c r="G67" s="638">
        <v>0</v>
      </c>
      <c r="H67" s="638">
        <v>0</v>
      </c>
      <c r="I67" s="640">
        <v>43333</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2432" t="s">
        <v>643</v>
      </c>
      <c r="C69" s="925">
        <v>0</v>
      </c>
      <c r="D69" s="925">
        <v>0</v>
      </c>
      <c r="E69" s="925">
        <v>0</v>
      </c>
      <c r="F69" s="925">
        <v>0</v>
      </c>
      <c r="G69" s="925">
        <v>0</v>
      </c>
      <c r="H69" s="925">
        <v>476155</v>
      </c>
      <c r="I69" s="789">
        <v>476155</v>
      </c>
      <c r="J69" s="1159"/>
      <c r="K69" s="1159"/>
      <c r="L69" s="848"/>
    </row>
    <row r="70" spans="1:24" s="9" customFormat="1" ht="16.5" customHeight="1" thickBot="1" x14ac:dyDescent="0.3">
      <c r="A70" s="1145"/>
      <c r="B70" s="648" t="s">
        <v>43</v>
      </c>
      <c r="C70" s="2433">
        <v>212235</v>
      </c>
      <c r="D70" s="2433">
        <v>0</v>
      </c>
      <c r="E70" s="2433">
        <v>476818</v>
      </c>
      <c r="F70" s="2433">
        <v>0</v>
      </c>
      <c r="G70" s="2433">
        <v>0</v>
      </c>
      <c r="H70" s="2433">
        <v>476155</v>
      </c>
      <c r="I70" s="2433">
        <v>1165208</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v>555705.08111999999</v>
      </c>
      <c r="D72" s="655">
        <v>10904</v>
      </c>
      <c r="E72" s="655">
        <v>869071.6</v>
      </c>
      <c r="F72" s="655">
        <v>5940109.9000000004</v>
      </c>
      <c r="G72" s="655">
        <v>45620</v>
      </c>
      <c r="H72" s="655">
        <v>7397</v>
      </c>
      <c r="I72" s="1033">
        <v>7428807.5811200002</v>
      </c>
      <c r="L72" s="141"/>
      <c r="M72" s="49"/>
      <c r="N72" s="49"/>
    </row>
    <row r="73" spans="1:24" ht="21" hidden="1" customHeight="1" x14ac:dyDescent="0.3">
      <c r="A73" s="21"/>
      <c r="B73" s="1034" t="s">
        <v>8</v>
      </c>
      <c r="C73" s="657">
        <v>313190.81887999998</v>
      </c>
      <c r="D73" s="657">
        <v>7916</v>
      </c>
      <c r="E73" s="657">
        <v>255824.4</v>
      </c>
      <c r="F73" s="657">
        <v>2563894</v>
      </c>
      <c r="G73" s="657">
        <v>32574</v>
      </c>
      <c r="H73" s="657">
        <v>16770</v>
      </c>
      <c r="I73" s="1035">
        <v>3190169.2188800001</v>
      </c>
      <c r="J73" s="521"/>
      <c r="L73" s="141"/>
      <c r="M73" s="49"/>
      <c r="N73" s="49"/>
    </row>
    <row r="74" spans="1:24" ht="21" hidden="1" customHeight="1" thickBot="1" x14ac:dyDescent="0.35">
      <c r="A74" s="86"/>
      <c r="B74" s="1036" t="s">
        <v>12</v>
      </c>
      <c r="C74" s="659">
        <v>212235</v>
      </c>
      <c r="D74" s="659">
        <v>0</v>
      </c>
      <c r="E74" s="659">
        <v>445760</v>
      </c>
      <c r="F74" s="659">
        <v>0</v>
      </c>
      <c r="G74" s="659">
        <v>0</v>
      </c>
      <c r="H74" s="659">
        <v>476155</v>
      </c>
      <c r="I74" s="1037">
        <v>1134150</v>
      </c>
      <c r="L74" s="141"/>
      <c r="M74" s="49"/>
      <c r="N74" s="49"/>
    </row>
    <row r="75" spans="1:24" ht="21" thickBot="1" x14ac:dyDescent="0.35">
      <c r="A75" s="83"/>
      <c r="B75" s="648" t="s">
        <v>58</v>
      </c>
      <c r="C75" s="649">
        <v>1081130.8999999999</v>
      </c>
      <c r="D75" s="649">
        <v>18820</v>
      </c>
      <c r="E75" s="649">
        <v>1570656</v>
      </c>
      <c r="F75" s="649">
        <v>8504003.9000000004</v>
      </c>
      <c r="G75" s="649">
        <v>78194</v>
      </c>
      <c r="H75" s="649">
        <v>500322</v>
      </c>
      <c r="I75" s="649">
        <v>11753126.800000001</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71:I71"/>
    <mergeCell ref="B30:I30"/>
    <mergeCell ref="B31:I31"/>
    <mergeCell ref="B42:I42"/>
    <mergeCell ref="B52:I52"/>
    <mergeCell ref="B57:I57"/>
    <mergeCell ref="B60:I60"/>
    <mergeCell ref="B1:I1"/>
    <mergeCell ref="B2:I2"/>
    <mergeCell ref="B11:I11"/>
    <mergeCell ref="B20:I20"/>
    <mergeCell ref="B23:I23"/>
  </mergeCells>
  <printOptions horizontalCentered="1" verticalCentered="1"/>
  <pageMargins left="0.5" right="0.06" top="0.2" bottom="0.18" header="0.2" footer="0.25"/>
  <pageSetup scale="54" orientation="landscape" r:id="rId1"/>
  <headerFooter alignWithMargins="0">
    <oddFooter>&amp;C&amp;"Arial"&amp;11&amp;K000000&amp;14
Totals may vary due to rounding&amp;12
_x000D_&amp;1#&amp;"Calibri"&amp;12&amp;K008000Internal Use</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tabColor indexed="44"/>
  </sheetPr>
  <dimension ref="A1:F43"/>
  <sheetViews>
    <sheetView workbookViewId="0">
      <selection activeCell="S52" sqref="S52"/>
    </sheetView>
  </sheetViews>
  <sheetFormatPr defaultRowHeight="12.75" x14ac:dyDescent="0.2"/>
  <cols>
    <col min="1" max="1" width="22.7109375" customWidth="1"/>
    <col min="2" max="2" width="14.85546875" customWidth="1"/>
    <col min="3" max="3" width="10.7109375" customWidth="1"/>
    <col min="4" max="4" width="14.42578125" customWidth="1"/>
    <col min="5" max="5" width="22.7109375" customWidth="1"/>
    <col min="6" max="6" width="19.140625" customWidth="1"/>
  </cols>
  <sheetData>
    <row r="1" spans="1:6" ht="20.25" x14ac:dyDescent="0.3">
      <c r="A1" s="2883" t="s">
        <v>38</v>
      </c>
      <c r="B1" s="2883"/>
      <c r="C1" s="2883"/>
      <c r="D1" s="2883"/>
      <c r="E1" s="2883"/>
      <c r="F1" s="23"/>
    </row>
    <row r="2" spans="1:6" ht="20.25" x14ac:dyDescent="0.3">
      <c r="A2" s="2883" t="s">
        <v>628</v>
      </c>
      <c r="B2" s="2883"/>
      <c r="C2" s="2883"/>
      <c r="D2" s="2883"/>
      <c r="E2" s="2883"/>
      <c r="F2" s="23"/>
    </row>
    <row r="3" spans="1:6" ht="20.25" x14ac:dyDescent="0.3">
      <c r="A3" s="2883" t="s">
        <v>60</v>
      </c>
      <c r="B3" s="2883"/>
      <c r="C3" s="2883"/>
      <c r="D3" s="2883"/>
      <c r="E3" s="2883"/>
      <c r="F3" s="23"/>
    </row>
    <row r="32" spans="1:4" x14ac:dyDescent="0.2">
      <c r="A32" s="7" t="s">
        <v>17</v>
      </c>
      <c r="B32" s="211" t="s">
        <v>1</v>
      </c>
      <c r="C32" s="7"/>
      <c r="D32" s="212" t="s">
        <v>18</v>
      </c>
    </row>
    <row r="33" spans="1:4" x14ac:dyDescent="0.2">
      <c r="B33" s="24"/>
      <c r="D33" s="2"/>
    </row>
    <row r="34" spans="1:4" x14ac:dyDescent="0.2">
      <c r="A34" t="s">
        <v>53</v>
      </c>
      <c r="B34" s="14">
        <f>'SCG Table C 2017'!C75</f>
        <v>1101183</v>
      </c>
      <c r="C34" s="841"/>
      <c r="D34" s="236" t="e">
        <f t="shared" ref="D34:D39" si="0">SUM(B34/$B$41)</f>
        <v>#REF!</v>
      </c>
    </row>
    <row r="35" spans="1:4" x14ac:dyDescent="0.2">
      <c r="A35" t="s">
        <v>19</v>
      </c>
      <c r="B35" s="14">
        <f>'SCG Table C 2017'!D75</f>
        <v>18472</v>
      </c>
      <c r="D35" s="236" t="e">
        <f t="shared" si="0"/>
        <v>#REF!</v>
      </c>
    </row>
    <row r="36" spans="1:4" x14ac:dyDescent="0.2">
      <c r="A36" t="s">
        <v>4</v>
      </c>
      <c r="B36" s="14" t="e">
        <f>'SCG Table C 2017'!E75</f>
        <v>#REF!</v>
      </c>
      <c r="D36" s="236" t="e">
        <f t="shared" si="0"/>
        <v>#REF!</v>
      </c>
    </row>
    <row r="37" spans="1:4" x14ac:dyDescent="0.2">
      <c r="A37" t="s">
        <v>2</v>
      </c>
      <c r="B37" s="14">
        <f>'SCG Table C 2017'!F75</f>
        <v>7185007.9000000004</v>
      </c>
      <c r="D37" s="236" t="e">
        <f t="shared" si="0"/>
        <v>#REF!</v>
      </c>
    </row>
    <row r="38" spans="1:4" x14ac:dyDescent="0.2">
      <c r="A38" t="s">
        <v>14</v>
      </c>
      <c r="B38" s="14">
        <f>'SCG Table C 2017'!G75</f>
        <v>88806</v>
      </c>
      <c r="D38" s="236" t="e">
        <f t="shared" si="0"/>
        <v>#REF!</v>
      </c>
    </row>
    <row r="39" spans="1:4" x14ac:dyDescent="0.2">
      <c r="A39" t="s">
        <v>15</v>
      </c>
      <c r="B39" s="933" t="e">
        <f>'SCG Table C 2017'!H75</f>
        <v>#REF!</v>
      </c>
      <c r="D39" s="934" t="e">
        <f t="shared" si="0"/>
        <v>#REF!</v>
      </c>
    </row>
    <row r="40" spans="1:4" x14ac:dyDescent="0.2">
      <c r="D40" s="47"/>
    </row>
    <row r="41" spans="1:4" x14ac:dyDescent="0.2">
      <c r="A41" s="629" t="s">
        <v>0</v>
      </c>
      <c r="B41" s="178" t="e">
        <f>SUM(B34:B39)</f>
        <v>#REF!</v>
      </c>
      <c r="D41" s="127" t="e">
        <f>SUM(D34:D39)</f>
        <v>#REF!</v>
      </c>
    </row>
    <row r="43" spans="1:4" x14ac:dyDescent="0.2">
      <c r="A43" s="46"/>
    </row>
  </sheetData>
  <mergeCells count="3">
    <mergeCell ref="A1:E1"/>
    <mergeCell ref="A2:E2"/>
    <mergeCell ref="A3:E3"/>
  </mergeCells>
  <pageMargins left="0.75" right="0.75" top="1" bottom="1" header="0.5" footer="0.5"/>
  <pageSetup orientation="portrait" r:id="rId1"/>
  <headerFooter alignWithMargins="0">
    <oddHeader xml:space="preserve">&amp;R
</oddHeader>
    <oddFooter>&amp;R&amp;18
&amp;C&amp;"Arial"&amp;11&amp;K000000Totals may vary due to rounding
_x000D_&amp;1#&amp;"Calibri"&amp;12&amp;K008000Internal Use</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tabColor indexed="44"/>
    <pageSetUpPr fitToPage="1"/>
  </sheetPr>
  <dimension ref="A1:X79"/>
  <sheetViews>
    <sheetView topLeftCell="B1" zoomScale="75" workbookViewId="0">
      <pane xSplit="1" topLeftCell="C1" activePane="topRight" state="frozen"/>
      <selection activeCell="C9" sqref="C9"/>
      <selection pane="topRight" activeCell="F15" sqref="F15"/>
    </sheetView>
  </sheetViews>
  <sheetFormatPr defaultRowHeight="12.75" x14ac:dyDescent="0.2"/>
  <cols>
    <col min="1" max="1" width="7.140625" style="49" customWidth="1"/>
    <col min="2" max="2" width="60.28515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626</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v>4762</v>
      </c>
      <c r="F12" s="633">
        <v>708800</v>
      </c>
      <c r="G12" s="633">
        <v>4080</v>
      </c>
      <c r="H12" s="633">
        <v>1500</v>
      </c>
      <c r="I12" s="634">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v>126634</v>
      </c>
      <c r="F13" s="638">
        <v>1833517</v>
      </c>
      <c r="G13" s="638">
        <v>15000</v>
      </c>
      <c r="H13" s="638">
        <v>467</v>
      </c>
      <c r="I13" s="640">
        <v>2199537.9</v>
      </c>
      <c r="J13" s="796"/>
      <c r="K13" s="796"/>
      <c r="L13" s="796"/>
      <c r="M13" s="796"/>
      <c r="N13" s="796"/>
      <c r="O13" s="796"/>
      <c r="P13" s="581"/>
      <c r="Q13" s="581"/>
      <c r="R13" s="582"/>
      <c r="S13" s="582"/>
      <c r="T13" s="582"/>
    </row>
    <row r="14" spans="1:20" ht="24.6" customHeight="1" x14ac:dyDescent="0.3">
      <c r="A14" s="83"/>
      <c r="B14" s="614" t="s">
        <v>596</v>
      </c>
      <c r="C14" s="638">
        <v>58566</v>
      </c>
      <c r="D14" s="638">
        <v>6300</v>
      </c>
      <c r="E14" s="638">
        <v>128000</v>
      </c>
      <c r="F14" s="638">
        <v>1660821.9</v>
      </c>
      <c r="G14" s="638">
        <v>20000</v>
      </c>
      <c r="H14" s="638">
        <v>3000</v>
      </c>
      <c r="I14" s="640">
        <v>1876687.9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v>20000</v>
      </c>
      <c r="F15" s="638">
        <v>3410261</v>
      </c>
      <c r="G15" s="638">
        <v>2000</v>
      </c>
      <c r="H15" s="638">
        <v>1500</v>
      </c>
      <c r="I15" s="640">
        <v>3649331</v>
      </c>
      <c r="J15" s="749"/>
      <c r="K15" s="585"/>
      <c r="L15" s="1178"/>
      <c r="M15" s="581"/>
      <c r="N15" s="581"/>
      <c r="O15" s="581"/>
      <c r="P15" s="581"/>
      <c r="Q15" s="581"/>
      <c r="R15" s="582"/>
      <c r="S15" s="582"/>
      <c r="T15" s="582"/>
    </row>
    <row r="16" spans="1:20" ht="24.6" customHeight="1" thickBot="1" x14ac:dyDescent="0.35">
      <c r="A16" s="83"/>
      <c r="B16" s="617" t="s">
        <v>529</v>
      </c>
      <c r="C16" s="641">
        <v>0</v>
      </c>
      <c r="D16" s="641">
        <v>0</v>
      </c>
      <c r="E16" s="641">
        <v>241494</v>
      </c>
      <c r="F16" s="641">
        <v>0</v>
      </c>
      <c r="G16" s="641">
        <v>0</v>
      </c>
      <c r="H16" s="641">
        <v>0</v>
      </c>
      <c r="I16" s="643">
        <v>241494</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v>0</v>
      </c>
      <c r="J17" s="85"/>
      <c r="K17" s="517"/>
      <c r="L17" s="2046"/>
      <c r="M17" s="2046"/>
      <c r="N17" s="2046"/>
      <c r="O17" s="2046"/>
      <c r="P17" s="2046"/>
      <c r="Q17" s="581"/>
      <c r="R17" s="582"/>
      <c r="S17" s="582"/>
      <c r="T17" s="582"/>
    </row>
    <row r="18" spans="1:20" ht="24.6" customHeight="1" thickBot="1" x14ac:dyDescent="0.35">
      <c r="A18" s="84"/>
      <c r="B18" s="232" t="s">
        <v>30</v>
      </c>
      <c r="C18" s="662">
        <v>526483.9</v>
      </c>
      <c r="D18" s="662">
        <v>9520</v>
      </c>
      <c r="E18" s="662">
        <v>520890</v>
      </c>
      <c r="F18" s="662">
        <v>7613399.9000000004</v>
      </c>
      <c r="G18" s="662">
        <v>41080</v>
      </c>
      <c r="H18" s="662">
        <v>6467</v>
      </c>
      <c r="I18" s="662">
        <v>8717840.8000000007</v>
      </c>
      <c r="J18" s="85"/>
      <c r="K18" s="166"/>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52"/>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2000</v>
      </c>
      <c r="E21" s="644">
        <v>12000</v>
      </c>
      <c r="F21" s="644">
        <v>1900092</v>
      </c>
      <c r="G21" s="644">
        <v>6800</v>
      </c>
      <c r="H21" s="644">
        <v>8000</v>
      </c>
      <c r="I21" s="634">
        <v>2071892</v>
      </c>
      <c r="J21" s="85"/>
      <c r="K21" s="517"/>
      <c r="L21" s="581"/>
      <c r="M21" s="581"/>
      <c r="N21" s="581"/>
      <c r="O21" s="581"/>
      <c r="P21" s="581"/>
      <c r="Q21" s="581"/>
      <c r="R21" s="582"/>
      <c r="S21" s="582"/>
      <c r="T21" s="582"/>
    </row>
    <row r="22" spans="1:20" ht="24.6" customHeight="1" thickBot="1" x14ac:dyDescent="0.35">
      <c r="A22" s="84"/>
      <c r="B22" s="26" t="s">
        <v>152</v>
      </c>
      <c r="C22" s="645">
        <v>143000</v>
      </c>
      <c r="D22" s="645">
        <v>2000</v>
      </c>
      <c r="E22" s="645">
        <v>12000</v>
      </c>
      <c r="F22" s="645">
        <v>1900092</v>
      </c>
      <c r="G22" s="645">
        <v>6800</v>
      </c>
      <c r="H22" s="645">
        <v>8000</v>
      </c>
      <c r="I22" s="645">
        <v>2071892</v>
      </c>
      <c r="J22" s="85"/>
      <c r="L22" s="745"/>
      <c r="M22" s="745"/>
      <c r="N22" s="581"/>
      <c r="O22" s="582"/>
      <c r="P22" s="582"/>
      <c r="Q22" s="582"/>
    </row>
    <row r="23" spans="1:20" s="51" customFormat="1" ht="24.6" customHeight="1" x14ac:dyDescent="0.3">
      <c r="A23" s="83"/>
      <c r="B23" s="2894"/>
      <c r="C23" s="2895"/>
      <c r="D23" s="2895"/>
      <c r="E23" s="2895"/>
      <c r="F23" s="2895"/>
      <c r="G23" s="2895"/>
      <c r="H23" s="2895"/>
      <c r="I23" s="2896"/>
      <c r="J23" s="142"/>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2000</v>
      </c>
      <c r="E25" s="633">
        <v>12000</v>
      </c>
      <c r="F25" s="633">
        <v>914253</v>
      </c>
      <c r="G25" s="633">
        <v>14814</v>
      </c>
      <c r="H25" s="633">
        <v>4200</v>
      </c>
      <c r="I25" s="634">
        <v>1048767</v>
      </c>
      <c r="J25" s="85"/>
      <c r="K25" s="142"/>
      <c r="L25" s="746"/>
      <c r="M25" s="746"/>
      <c r="N25" s="746"/>
      <c r="O25" s="746"/>
      <c r="P25" s="746"/>
      <c r="Q25" s="746"/>
    </row>
    <row r="26" spans="1:20" ht="24.6" customHeight="1" thickBot="1" x14ac:dyDescent="0.35">
      <c r="A26" s="83"/>
      <c r="B26" s="1024" t="s">
        <v>581</v>
      </c>
      <c r="C26" s="635">
        <v>16000</v>
      </c>
      <c r="D26" s="635">
        <v>2000</v>
      </c>
      <c r="E26" s="635">
        <v>12000</v>
      </c>
      <c r="F26" s="635">
        <v>369557</v>
      </c>
      <c r="G26" s="635">
        <v>5000</v>
      </c>
      <c r="H26" s="635">
        <v>2000</v>
      </c>
      <c r="I26" s="1025">
        <v>406557</v>
      </c>
      <c r="J26" s="85"/>
      <c r="K26" s="603"/>
      <c r="L26" s="746"/>
      <c r="M26" s="746"/>
      <c r="N26" s="746"/>
      <c r="O26" s="746"/>
      <c r="P26" s="746"/>
      <c r="Q26" s="746"/>
    </row>
    <row r="27" spans="1:20" ht="24.6" customHeight="1" thickBot="1" x14ac:dyDescent="0.35">
      <c r="A27" s="84"/>
      <c r="B27" s="921" t="s">
        <v>152</v>
      </c>
      <c r="C27" s="645">
        <v>117500</v>
      </c>
      <c r="D27" s="645">
        <v>4000</v>
      </c>
      <c r="E27" s="645">
        <v>24000</v>
      </c>
      <c r="F27" s="645">
        <v>1283810</v>
      </c>
      <c r="G27" s="645">
        <v>19814</v>
      </c>
      <c r="H27" s="645">
        <v>6200</v>
      </c>
      <c r="I27" s="932">
        <v>1455324</v>
      </c>
      <c r="J27" s="85"/>
      <c r="K27" s="603"/>
      <c r="L27" s="581"/>
      <c r="M27" s="581"/>
      <c r="N27" s="581"/>
      <c r="O27" s="582"/>
      <c r="P27" s="582"/>
      <c r="Q27" s="582"/>
    </row>
    <row r="28" spans="1:20" ht="24.6" customHeight="1" thickBot="1" x14ac:dyDescent="0.35">
      <c r="A28" s="84"/>
      <c r="B28" s="930" t="s">
        <v>245</v>
      </c>
      <c r="C28" s="703">
        <v>29000</v>
      </c>
      <c r="D28" s="703">
        <v>1000</v>
      </c>
      <c r="E28" s="703">
        <v>5000</v>
      </c>
      <c r="F28" s="644">
        <v>255686</v>
      </c>
      <c r="G28" s="703">
        <v>2500</v>
      </c>
      <c r="H28" s="703">
        <v>2000</v>
      </c>
      <c r="I28" s="931">
        <v>295186</v>
      </c>
      <c r="J28" s="85"/>
      <c r="L28" s="581"/>
      <c r="M28" s="581"/>
      <c r="N28" s="581"/>
      <c r="O28" s="582"/>
      <c r="P28" s="582"/>
      <c r="Q28" s="582"/>
    </row>
    <row r="29" spans="1:20" ht="24.6" customHeight="1" thickBot="1" x14ac:dyDescent="0.35">
      <c r="A29" s="84"/>
      <c r="B29" s="26" t="s">
        <v>31</v>
      </c>
      <c r="C29" s="645">
        <v>289500</v>
      </c>
      <c r="D29" s="645">
        <v>7000</v>
      </c>
      <c r="E29" s="645">
        <v>41000</v>
      </c>
      <c r="F29" s="645">
        <v>3439588</v>
      </c>
      <c r="G29" s="645">
        <v>29114</v>
      </c>
      <c r="H29" s="645">
        <v>16200</v>
      </c>
      <c r="I29" s="645">
        <v>3822402</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2268">
        <v>1500</v>
      </c>
      <c r="I40" s="2269">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v>22833</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272915</v>
      </c>
      <c r="F65" s="638">
        <v>0</v>
      </c>
      <c r="G65" s="638">
        <v>0</v>
      </c>
      <c r="H65" s="638">
        <v>0</v>
      </c>
      <c r="I65" s="640">
        <v>293333</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32267</v>
      </c>
      <c r="F66" s="638">
        <v>0</v>
      </c>
      <c r="G66" s="638">
        <v>0</v>
      </c>
      <c r="H66" s="638">
        <v>0</v>
      </c>
      <c r="I66" s="640">
        <v>32267</v>
      </c>
      <c r="J66" s="1146"/>
      <c r="K66" s="1159"/>
      <c r="L66" s="1159"/>
      <c r="M66" s="848"/>
      <c r="P66" s="1176"/>
    </row>
    <row r="67" spans="1:24" s="9" customFormat="1" ht="16.5" customHeight="1" x14ac:dyDescent="0.25">
      <c r="A67" s="1145"/>
      <c r="B67" s="615" t="s">
        <v>641</v>
      </c>
      <c r="C67" s="638">
        <v>0</v>
      </c>
      <c r="D67" s="638">
        <v>0</v>
      </c>
      <c r="E67" s="638">
        <v>50015</v>
      </c>
      <c r="F67" s="638">
        <v>0</v>
      </c>
      <c r="G67" s="638">
        <v>0</v>
      </c>
      <c r="H67" s="638">
        <v>0</v>
      </c>
      <c r="I67" s="640">
        <v>50015</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616" t="s">
        <v>643</v>
      </c>
      <c r="C69" s="638">
        <v>0</v>
      </c>
      <c r="D69" s="641">
        <v>0</v>
      </c>
      <c r="E69" s="641">
        <v>0</v>
      </c>
      <c r="F69" s="641">
        <v>0</v>
      </c>
      <c r="G69" s="641">
        <v>0</v>
      </c>
      <c r="H69" s="641">
        <v>629138</v>
      </c>
      <c r="I69" s="643">
        <v>629138</v>
      </c>
      <c r="J69" s="1159"/>
      <c r="K69" s="1159"/>
      <c r="L69" s="848"/>
    </row>
    <row r="70" spans="1:24" s="9" customFormat="1" ht="16.5" customHeight="1" thickBot="1" x14ac:dyDescent="0.3">
      <c r="A70" s="1145"/>
      <c r="B70" s="232" t="s">
        <v>43</v>
      </c>
      <c r="C70" s="1177">
        <v>212235</v>
      </c>
      <c r="D70" s="1177">
        <v>0</v>
      </c>
      <c r="E70" s="1177">
        <v>589100</v>
      </c>
      <c r="F70" s="1177">
        <v>0</v>
      </c>
      <c r="G70" s="1177">
        <v>0</v>
      </c>
      <c r="H70" s="1177">
        <v>629138</v>
      </c>
      <c r="I70" s="1177">
        <v>1430473</v>
      </c>
      <c r="J70" s="1159"/>
      <c r="K70" s="1159"/>
      <c r="L70" s="848"/>
    </row>
    <row r="71" spans="1:24" ht="19.5" customHeight="1" thickBot="1" x14ac:dyDescent="0.35">
      <c r="A71" s="83"/>
      <c r="B71" s="2891" t="s">
        <v>28</v>
      </c>
      <c r="C71" s="2892"/>
      <c r="D71" s="2892"/>
      <c r="E71" s="2892"/>
      <c r="F71" s="2892"/>
      <c r="G71" s="2892"/>
      <c r="H71" s="2892"/>
      <c r="I71" s="2893"/>
      <c r="J71" s="52"/>
      <c r="L71" s="141"/>
      <c r="M71" s="49"/>
      <c r="N71" s="49"/>
    </row>
    <row r="72" spans="1:24" ht="21" customHeight="1" x14ac:dyDescent="0.3">
      <c r="A72" s="83"/>
      <c r="B72" s="1032" t="s">
        <v>7</v>
      </c>
      <c r="C72" s="655">
        <v>555705.08111999999</v>
      </c>
      <c r="D72" s="655">
        <v>10904</v>
      </c>
      <c r="E72" s="655">
        <v>1003967.6</v>
      </c>
      <c r="F72" s="655">
        <v>7613399.9000000004</v>
      </c>
      <c r="G72" s="655">
        <v>45620</v>
      </c>
      <c r="H72" s="655">
        <v>7397</v>
      </c>
      <c r="I72" s="1033">
        <v>9236993.5811200012</v>
      </c>
      <c r="L72" s="141"/>
      <c r="M72" s="49"/>
      <c r="N72" s="49"/>
    </row>
    <row r="73" spans="1:24" ht="21" customHeight="1" x14ac:dyDescent="0.3">
      <c r="A73" s="21"/>
      <c r="B73" s="1034" t="s">
        <v>8</v>
      </c>
      <c r="C73" s="657">
        <v>313190.81887999998</v>
      </c>
      <c r="D73" s="657">
        <v>7916</v>
      </c>
      <c r="E73" s="657">
        <v>255824.4</v>
      </c>
      <c r="F73" s="657">
        <v>3439588</v>
      </c>
      <c r="G73" s="657">
        <v>32574</v>
      </c>
      <c r="H73" s="657">
        <v>16770</v>
      </c>
      <c r="I73" s="1035">
        <v>4065863.2188800001</v>
      </c>
      <c r="J73" s="521"/>
      <c r="L73" s="141"/>
      <c r="M73" s="49"/>
      <c r="N73" s="49"/>
    </row>
    <row r="74" spans="1:24" ht="21" customHeight="1" thickBot="1" x14ac:dyDescent="0.35">
      <c r="A74" s="86"/>
      <c r="B74" s="1036" t="s">
        <v>12</v>
      </c>
      <c r="C74" s="659">
        <v>212235</v>
      </c>
      <c r="D74" s="659">
        <v>0</v>
      </c>
      <c r="E74" s="659">
        <v>558042</v>
      </c>
      <c r="F74" s="659">
        <v>0</v>
      </c>
      <c r="G74" s="659">
        <v>0</v>
      </c>
      <c r="H74" s="659">
        <v>629138</v>
      </c>
      <c r="I74" s="1037">
        <v>1399415</v>
      </c>
      <c r="L74" s="141"/>
      <c r="M74" s="49"/>
      <c r="N74" s="49"/>
    </row>
    <row r="75" spans="1:24" ht="21" thickBot="1" x14ac:dyDescent="0.35">
      <c r="A75" s="83"/>
      <c r="B75" s="648" t="s">
        <v>58</v>
      </c>
      <c r="C75" s="649">
        <v>1081130.8999999999</v>
      </c>
      <c r="D75" s="649">
        <v>18820</v>
      </c>
      <c r="E75" s="649">
        <v>1817834</v>
      </c>
      <c r="F75" s="649">
        <v>11052987.9</v>
      </c>
      <c r="G75" s="649">
        <v>78194</v>
      </c>
      <c r="H75" s="649">
        <v>653305</v>
      </c>
      <c r="I75" s="649">
        <v>14702271.800000001</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1:I1"/>
    <mergeCell ref="B2:I2"/>
    <mergeCell ref="B11:I11"/>
    <mergeCell ref="B20:I20"/>
    <mergeCell ref="B23:I23"/>
    <mergeCell ref="B71:I71"/>
    <mergeCell ref="B30:I30"/>
    <mergeCell ref="B31:I31"/>
    <mergeCell ref="B42:I42"/>
    <mergeCell ref="B52:I52"/>
    <mergeCell ref="B57:I57"/>
    <mergeCell ref="B60:I60"/>
  </mergeCells>
  <printOptions horizontalCentered="1" verticalCentered="1"/>
  <pageMargins left="0.5" right="0.06" top="0.2" bottom="0.18" header="0.2" footer="0.25"/>
  <pageSetup scale="54" orientation="landscape" r:id="rId1"/>
  <headerFooter alignWithMargins="0">
    <oddFooter>&amp;C&amp;"Arial"&amp;11&amp;K000000&amp;14
Totals may vary due to rounding&amp;12
_x000D_&amp;1#&amp;"Calibri"&amp;12&amp;K008000Internal Use</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tabColor indexed="44"/>
    <pageSetUpPr fitToPage="1"/>
  </sheetPr>
  <dimension ref="A1:X79"/>
  <sheetViews>
    <sheetView topLeftCell="B1" zoomScale="75" workbookViewId="0">
      <pane xSplit="1" topLeftCell="C1" activePane="topRight" state="frozen"/>
      <selection activeCell="C9" sqref="C9"/>
      <selection pane="topRight" activeCell="B1" sqref="B1:I75"/>
    </sheetView>
  </sheetViews>
  <sheetFormatPr defaultRowHeight="12.75" x14ac:dyDescent="0.2"/>
  <cols>
    <col min="1" max="1" width="7.140625" style="49" customWidth="1"/>
    <col min="2" max="2" width="60.28515625" style="49" customWidth="1"/>
    <col min="3" max="3" width="21" style="64" bestFit="1" customWidth="1"/>
    <col min="4" max="4" width="17.85546875" style="63" customWidth="1"/>
    <col min="5" max="5" width="17.28515625" style="63" customWidth="1"/>
    <col min="6" max="6" width="18.28515625" style="49" customWidth="1"/>
    <col min="7" max="7" width="19.140625" style="49" customWidth="1"/>
    <col min="8" max="8" width="20.42578125" style="49" customWidth="1"/>
    <col min="9" max="9" width="18.42578125" style="49" customWidth="1"/>
    <col min="10" max="10" width="23.5703125" style="50" customWidth="1"/>
    <col min="11" max="11" width="25.5703125" style="50" customWidth="1"/>
    <col min="12" max="12" width="27.5703125" style="50" customWidth="1"/>
    <col min="13" max="14" width="8.7109375" style="50" customWidth="1"/>
    <col min="15" max="20" width="8.7109375" style="49" customWidth="1"/>
    <col min="21" max="16384" width="9.140625" style="49"/>
  </cols>
  <sheetData>
    <row r="1" spans="1:20" ht="25.5" x14ac:dyDescent="0.35">
      <c r="B1" s="2944" t="s">
        <v>82</v>
      </c>
      <c r="C1" s="2944"/>
      <c r="D1" s="2944"/>
      <c r="E1" s="2944"/>
      <c r="F1" s="2944"/>
      <c r="G1" s="2944"/>
      <c r="H1" s="2944"/>
      <c r="I1" s="2944"/>
    </row>
    <row r="2" spans="1:20" ht="25.5" x14ac:dyDescent="0.35">
      <c r="B2" s="2944" t="s">
        <v>626</v>
      </c>
      <c r="C2" s="2944"/>
      <c r="D2" s="2944"/>
      <c r="E2" s="2944"/>
      <c r="F2" s="2944"/>
      <c r="G2" s="2944"/>
      <c r="H2" s="2944"/>
      <c r="I2" s="2944"/>
    </row>
    <row r="3" spans="1:20" ht="25.5" hidden="1" x14ac:dyDescent="0.35">
      <c r="B3" s="1895"/>
      <c r="C3" s="10"/>
      <c r="D3" s="8"/>
      <c r="E3" s="8"/>
      <c r="F3" s="1895"/>
      <c r="G3" s="9"/>
      <c r="H3" s="9"/>
      <c r="I3" s="1895"/>
    </row>
    <row r="4" spans="1:20" ht="25.5" hidden="1" x14ac:dyDescent="0.35">
      <c r="B4" s="1895"/>
      <c r="C4" s="10"/>
      <c r="D4" s="8"/>
      <c r="E4" s="8"/>
      <c r="F4" s="1895"/>
      <c r="G4" s="9"/>
      <c r="H4" s="9"/>
      <c r="I4" s="1895"/>
    </row>
    <row r="5" spans="1:20" ht="25.5" hidden="1" x14ac:dyDescent="0.35">
      <c r="B5" s="1895"/>
      <c r="C5" s="10"/>
      <c r="D5" s="8"/>
      <c r="E5" s="8"/>
      <c r="F5" s="1895"/>
      <c r="G5" s="9"/>
      <c r="H5" s="9"/>
      <c r="I5" s="1895"/>
    </row>
    <row r="6" spans="1:20" ht="25.5" hidden="1" x14ac:dyDescent="0.35">
      <c r="B6" s="1895"/>
      <c r="C6" s="10"/>
      <c r="D6" s="8"/>
      <c r="E6" s="8"/>
      <c r="F6" s="1895"/>
      <c r="G6" s="9"/>
      <c r="H6" s="9"/>
      <c r="I6" s="1895"/>
    </row>
    <row r="7" spans="1:20" ht="25.5" hidden="1" x14ac:dyDescent="0.35">
      <c r="B7" s="1895"/>
      <c r="C7" s="10"/>
      <c r="D7" s="8"/>
      <c r="E7" s="8"/>
      <c r="F7" s="1895"/>
      <c r="G7" s="9"/>
      <c r="H7" s="9"/>
      <c r="I7" s="1895"/>
    </row>
    <row r="8" spans="1:20" ht="6.75" customHeight="1" x14ac:dyDescent="0.25">
      <c r="B8" s="11"/>
      <c r="C8" s="10"/>
      <c r="D8" s="8"/>
      <c r="E8" s="8"/>
      <c r="F8" s="9"/>
      <c r="G8" s="9"/>
      <c r="H8" s="9"/>
      <c r="I8" s="9"/>
    </row>
    <row r="9" spans="1:20" ht="6.75" customHeight="1" thickBot="1" x14ac:dyDescent="0.3">
      <c r="B9" s="11"/>
      <c r="C9" s="10"/>
      <c r="D9" s="8"/>
      <c r="E9" s="8"/>
      <c r="F9" s="9"/>
      <c r="G9" s="9"/>
      <c r="H9" s="9"/>
      <c r="I9" s="9"/>
    </row>
    <row r="10" spans="1:20" ht="48.75" thickBot="1" x14ac:dyDescent="0.35">
      <c r="A10" s="21"/>
      <c r="B10" s="630" t="s">
        <v>620</v>
      </c>
      <c r="C10" s="631" t="s">
        <v>53</v>
      </c>
      <c r="D10" s="631" t="s">
        <v>13</v>
      </c>
      <c r="E10" s="631" t="s">
        <v>4</v>
      </c>
      <c r="F10" s="631" t="s">
        <v>2</v>
      </c>
      <c r="G10" s="631" t="s">
        <v>14</v>
      </c>
      <c r="H10" s="631" t="s">
        <v>15</v>
      </c>
      <c r="I10" s="631" t="s">
        <v>16</v>
      </c>
      <c r="J10" s="45"/>
      <c r="K10" s="45"/>
    </row>
    <row r="11" spans="1:20" ht="21" thickBot="1" x14ac:dyDescent="0.35">
      <c r="A11" s="21"/>
      <c r="B11" s="2888" t="s">
        <v>5</v>
      </c>
      <c r="C11" s="2889"/>
      <c r="D11" s="2889"/>
      <c r="E11" s="2889"/>
      <c r="F11" s="2889"/>
      <c r="G11" s="2889"/>
      <c r="H11" s="2889"/>
      <c r="I11" s="2890"/>
      <c r="J11" s="45"/>
      <c r="K11" s="82"/>
    </row>
    <row r="12" spans="1:20" ht="24.6" customHeight="1" x14ac:dyDescent="0.3">
      <c r="A12" s="83"/>
      <c r="B12" s="156" t="s">
        <v>227</v>
      </c>
      <c r="C12" s="633">
        <v>30928</v>
      </c>
      <c r="D12" s="633">
        <v>720</v>
      </c>
      <c r="E12" s="633">
        <v>4762</v>
      </c>
      <c r="F12" s="633">
        <v>708800</v>
      </c>
      <c r="G12" s="633">
        <v>4080</v>
      </c>
      <c r="H12" s="633">
        <v>1500</v>
      </c>
      <c r="I12" s="634">
        <v>750790</v>
      </c>
      <c r="J12" s="85"/>
      <c r="K12" s="2198"/>
      <c r="L12" s="2247"/>
      <c r="M12" s="581"/>
      <c r="N12" s="581"/>
      <c r="O12" s="581"/>
      <c r="P12" s="581"/>
      <c r="Q12" s="581"/>
      <c r="R12" s="582"/>
      <c r="S12" s="582"/>
      <c r="T12" s="582"/>
    </row>
    <row r="13" spans="1:20" ht="24.6" customHeight="1" x14ac:dyDescent="0.3">
      <c r="A13" s="83"/>
      <c r="B13" s="614" t="s">
        <v>149</v>
      </c>
      <c r="C13" s="638">
        <v>223919.9</v>
      </c>
      <c r="D13" s="638">
        <v>0</v>
      </c>
      <c r="E13" s="638">
        <v>126634</v>
      </c>
      <c r="F13" s="638">
        <v>1833517</v>
      </c>
      <c r="G13" s="638">
        <v>15000</v>
      </c>
      <c r="H13" s="638">
        <v>467</v>
      </c>
      <c r="I13" s="640">
        <v>2199537.9</v>
      </c>
      <c r="J13" s="796"/>
      <c r="K13" s="796"/>
      <c r="L13" s="796"/>
      <c r="M13" s="796"/>
      <c r="N13" s="796"/>
      <c r="O13" s="796"/>
      <c r="P13" s="581"/>
      <c r="Q13" s="581"/>
      <c r="R13" s="582"/>
      <c r="S13" s="582"/>
      <c r="T13" s="582"/>
    </row>
    <row r="14" spans="1:20" ht="24.6" customHeight="1" x14ac:dyDescent="0.3">
      <c r="A14" s="83"/>
      <c r="B14" s="614" t="s">
        <v>596</v>
      </c>
      <c r="C14" s="638">
        <v>58566</v>
      </c>
      <c r="D14" s="638">
        <v>6300</v>
      </c>
      <c r="E14" s="638">
        <v>128000</v>
      </c>
      <c r="F14" s="638">
        <v>1772287.9</v>
      </c>
      <c r="G14" s="638">
        <v>20000</v>
      </c>
      <c r="H14" s="638">
        <v>3000</v>
      </c>
      <c r="I14" s="640">
        <v>1988153.9</v>
      </c>
      <c r="J14" s="796"/>
      <c r="K14" s="585"/>
      <c r="L14" s="1178"/>
      <c r="M14" s="581"/>
      <c r="N14" s="581"/>
      <c r="O14" s="581"/>
      <c r="P14" s="581"/>
      <c r="Q14" s="581"/>
      <c r="R14" s="582"/>
      <c r="S14" s="582"/>
      <c r="T14" s="582"/>
    </row>
    <row r="15" spans="1:20" ht="24.6" customHeight="1" x14ac:dyDescent="0.3">
      <c r="A15" s="83"/>
      <c r="B15" s="614" t="s">
        <v>222</v>
      </c>
      <c r="C15" s="638">
        <v>213070</v>
      </c>
      <c r="D15" s="638">
        <v>2500</v>
      </c>
      <c r="E15" s="638">
        <v>20000</v>
      </c>
      <c r="F15" s="638">
        <v>3410261</v>
      </c>
      <c r="G15" s="638">
        <v>2000</v>
      </c>
      <c r="H15" s="638">
        <v>1500</v>
      </c>
      <c r="I15" s="640">
        <v>3649331</v>
      </c>
      <c r="J15" s="749"/>
      <c r="K15" s="585"/>
      <c r="L15" s="1178"/>
      <c r="M15" s="581"/>
      <c r="N15" s="581"/>
      <c r="O15" s="581"/>
      <c r="P15" s="581"/>
      <c r="Q15" s="581"/>
      <c r="R15" s="582"/>
      <c r="S15" s="582"/>
      <c r="T15" s="582"/>
    </row>
    <row r="16" spans="1:20" ht="24.6" customHeight="1" thickBot="1" x14ac:dyDescent="0.35">
      <c r="A16" s="83"/>
      <c r="B16" s="617" t="s">
        <v>529</v>
      </c>
      <c r="C16" s="641">
        <v>0</v>
      </c>
      <c r="D16" s="641">
        <v>0</v>
      </c>
      <c r="E16" s="641">
        <v>241494</v>
      </c>
      <c r="F16" s="641">
        <v>0</v>
      </c>
      <c r="G16" s="641">
        <v>0</v>
      </c>
      <c r="H16" s="641">
        <v>0</v>
      </c>
      <c r="I16" s="643">
        <v>241494</v>
      </c>
      <c r="J16" s="796"/>
      <c r="K16" s="585"/>
      <c r="L16" s="1178"/>
      <c r="M16" s="581"/>
      <c r="N16" s="581"/>
      <c r="O16" s="581"/>
      <c r="P16" s="581"/>
      <c r="Q16" s="581"/>
      <c r="R16" s="582"/>
      <c r="S16" s="582"/>
      <c r="T16" s="582"/>
    </row>
    <row r="17" spans="1:20" ht="24.6" hidden="1" customHeight="1" thickBot="1" x14ac:dyDescent="0.35">
      <c r="A17" s="84"/>
      <c r="B17" s="2293" t="s">
        <v>150</v>
      </c>
      <c r="C17" s="635">
        <v>0</v>
      </c>
      <c r="D17" s="635">
        <v>0</v>
      </c>
      <c r="E17" s="635">
        <v>0</v>
      </c>
      <c r="F17" s="635">
        <v>0</v>
      </c>
      <c r="G17" s="635">
        <v>0</v>
      </c>
      <c r="H17" s="635">
        <v>0</v>
      </c>
      <c r="I17" s="2295">
        <v>0</v>
      </c>
      <c r="J17" s="85"/>
      <c r="K17" s="517"/>
      <c r="L17" s="2046"/>
      <c r="M17" s="2046"/>
      <c r="N17" s="2046"/>
      <c r="O17" s="2046"/>
      <c r="P17" s="2046"/>
      <c r="Q17" s="581"/>
      <c r="R17" s="582"/>
      <c r="S17" s="582"/>
      <c r="T17" s="582"/>
    </row>
    <row r="18" spans="1:20" ht="24.6" customHeight="1" thickBot="1" x14ac:dyDescent="0.35">
      <c r="A18" s="84"/>
      <c r="B18" s="232" t="s">
        <v>30</v>
      </c>
      <c r="C18" s="662">
        <v>526483.9</v>
      </c>
      <c r="D18" s="662">
        <v>9520</v>
      </c>
      <c r="E18" s="662">
        <v>520890</v>
      </c>
      <c r="F18" s="662">
        <v>7724865.9000000004</v>
      </c>
      <c r="G18" s="662">
        <v>41080</v>
      </c>
      <c r="H18" s="662">
        <v>6467</v>
      </c>
      <c r="I18" s="662">
        <v>8829306.8000000007</v>
      </c>
      <c r="J18" s="85"/>
      <c r="K18" s="166"/>
      <c r="L18" s="581"/>
      <c r="M18" s="581"/>
      <c r="N18" s="581"/>
      <c r="O18" s="582"/>
      <c r="P18" s="582"/>
      <c r="Q18" s="582"/>
      <c r="R18" s="582"/>
      <c r="S18" s="582"/>
      <c r="T18" s="582"/>
    </row>
    <row r="19" spans="1:20" s="51" customFormat="1" ht="24.6" customHeight="1" x14ac:dyDescent="0.2">
      <c r="B19" s="663"/>
      <c r="C19" s="664"/>
      <c r="D19" s="622"/>
      <c r="E19" s="622"/>
      <c r="F19" s="665"/>
      <c r="G19" s="665"/>
      <c r="H19" s="665"/>
      <c r="I19" s="666"/>
      <c r="J19" s="52"/>
      <c r="K19" s="52"/>
      <c r="L19" s="580"/>
      <c r="M19" s="580"/>
      <c r="N19" s="580"/>
      <c r="O19" s="590"/>
      <c r="P19" s="590"/>
      <c r="Q19" s="590"/>
      <c r="R19" s="590"/>
      <c r="S19" s="590"/>
      <c r="T19" s="590"/>
    </row>
    <row r="20" spans="1:20" ht="24.6" customHeight="1" thickBot="1" x14ac:dyDescent="0.35">
      <c r="A20" s="84"/>
      <c r="B20" s="2885" t="s">
        <v>151</v>
      </c>
      <c r="C20" s="2886"/>
      <c r="D20" s="2886"/>
      <c r="E20" s="2886"/>
      <c r="F20" s="2886"/>
      <c r="G20" s="2886"/>
      <c r="H20" s="2886"/>
      <c r="I20" s="2887"/>
      <c r="J20" s="142"/>
      <c r="K20" s="166"/>
      <c r="L20" s="581"/>
      <c r="M20" s="581"/>
      <c r="N20" s="581"/>
      <c r="O20" s="582"/>
      <c r="P20" s="582"/>
      <c r="Q20" s="582"/>
      <c r="R20" s="582"/>
      <c r="S20" s="582"/>
      <c r="T20" s="582"/>
    </row>
    <row r="21" spans="1:20" ht="24.6" customHeight="1" thickBot="1" x14ac:dyDescent="0.35">
      <c r="A21" s="83"/>
      <c r="B21" s="100" t="s">
        <v>154</v>
      </c>
      <c r="C21" s="644">
        <v>143000</v>
      </c>
      <c r="D21" s="644">
        <v>2000</v>
      </c>
      <c r="E21" s="644">
        <v>12000</v>
      </c>
      <c r="F21" s="644">
        <v>1900092</v>
      </c>
      <c r="G21" s="644">
        <v>6800</v>
      </c>
      <c r="H21" s="644">
        <v>8000</v>
      </c>
      <c r="I21" s="634">
        <v>2071892</v>
      </c>
      <c r="J21" s="85"/>
      <c r="K21" s="517"/>
      <c r="L21" s="581"/>
      <c r="M21" s="581"/>
      <c r="N21" s="581"/>
      <c r="O21" s="581"/>
      <c r="P21" s="581"/>
      <c r="Q21" s="581"/>
      <c r="R21" s="582"/>
      <c r="S21" s="582"/>
      <c r="T21" s="582"/>
    </row>
    <row r="22" spans="1:20" ht="24.6" customHeight="1" thickBot="1" x14ac:dyDescent="0.35">
      <c r="A22" s="84"/>
      <c r="B22" s="26" t="s">
        <v>152</v>
      </c>
      <c r="C22" s="645">
        <v>143000</v>
      </c>
      <c r="D22" s="645">
        <v>2000</v>
      </c>
      <c r="E22" s="645">
        <v>12000</v>
      </c>
      <c r="F22" s="645">
        <v>1900092</v>
      </c>
      <c r="G22" s="645">
        <v>6800</v>
      </c>
      <c r="H22" s="645">
        <v>8000</v>
      </c>
      <c r="I22" s="645">
        <v>2071892</v>
      </c>
      <c r="J22" s="85"/>
      <c r="L22" s="745"/>
      <c r="M22" s="745"/>
      <c r="N22" s="581"/>
      <c r="O22" s="582"/>
      <c r="P22" s="582"/>
      <c r="Q22" s="582"/>
    </row>
    <row r="23" spans="1:20" s="51" customFormat="1" ht="24.6" customHeight="1" x14ac:dyDescent="0.3">
      <c r="A23" s="83"/>
      <c r="B23" s="2894"/>
      <c r="C23" s="2895"/>
      <c r="D23" s="2895"/>
      <c r="E23" s="2895"/>
      <c r="F23" s="2895"/>
      <c r="G23" s="2895"/>
      <c r="H23" s="2895"/>
      <c r="I23" s="2896"/>
      <c r="J23" s="142"/>
      <c r="L23" s="580"/>
      <c r="M23" s="580"/>
      <c r="N23" s="580"/>
      <c r="O23" s="590"/>
      <c r="P23" s="590"/>
      <c r="Q23" s="590"/>
    </row>
    <row r="24" spans="1:20" ht="24.6" customHeight="1" thickBot="1" x14ac:dyDescent="0.35">
      <c r="A24" s="84"/>
      <c r="B24" s="2885" t="s">
        <v>153</v>
      </c>
      <c r="C24" s="2886"/>
      <c r="D24" s="2886"/>
      <c r="E24" s="2886"/>
      <c r="F24" s="2886"/>
      <c r="G24" s="2886"/>
      <c r="H24" s="2886"/>
      <c r="I24" s="2887"/>
      <c r="J24" s="142"/>
      <c r="K24" s="45"/>
      <c r="L24" s="581"/>
      <c r="M24" s="581"/>
      <c r="N24" s="581"/>
      <c r="O24" s="582"/>
      <c r="P24" s="582"/>
      <c r="Q24" s="582"/>
    </row>
    <row r="25" spans="1:20" ht="24.6" customHeight="1" x14ac:dyDescent="0.3">
      <c r="A25" s="83"/>
      <c r="B25" s="156" t="s">
        <v>155</v>
      </c>
      <c r="C25" s="633">
        <v>101500</v>
      </c>
      <c r="D25" s="633">
        <v>2000</v>
      </c>
      <c r="E25" s="633">
        <v>12000</v>
      </c>
      <c r="F25" s="633">
        <v>914253</v>
      </c>
      <c r="G25" s="633">
        <v>14814</v>
      </c>
      <c r="H25" s="633">
        <v>4200</v>
      </c>
      <c r="I25" s="634">
        <v>1048767</v>
      </c>
      <c r="J25" s="85"/>
      <c r="K25" s="142"/>
      <c r="L25" s="746"/>
      <c r="M25" s="746"/>
      <c r="N25" s="746"/>
      <c r="O25" s="746"/>
      <c r="P25" s="746"/>
      <c r="Q25" s="746"/>
    </row>
    <row r="26" spans="1:20" ht="24.6" customHeight="1" thickBot="1" x14ac:dyDescent="0.35">
      <c r="A26" s="83"/>
      <c r="B26" s="1024" t="s">
        <v>581</v>
      </c>
      <c r="C26" s="635">
        <v>16000</v>
      </c>
      <c r="D26" s="635">
        <v>2000</v>
      </c>
      <c r="E26" s="635">
        <v>12000</v>
      </c>
      <c r="F26" s="635">
        <v>369557</v>
      </c>
      <c r="G26" s="635">
        <v>5000</v>
      </c>
      <c r="H26" s="635">
        <v>2000</v>
      </c>
      <c r="I26" s="1025">
        <v>406557</v>
      </c>
      <c r="J26" s="85"/>
      <c r="K26" s="603"/>
      <c r="L26" s="746"/>
      <c r="M26" s="746"/>
      <c r="N26" s="746"/>
      <c r="O26" s="746"/>
      <c r="P26" s="746"/>
      <c r="Q26" s="746"/>
    </row>
    <row r="27" spans="1:20" ht="24.6" customHeight="1" thickBot="1" x14ac:dyDescent="0.35">
      <c r="A27" s="84"/>
      <c r="B27" s="921" t="s">
        <v>152</v>
      </c>
      <c r="C27" s="645">
        <v>117500</v>
      </c>
      <c r="D27" s="645">
        <v>4000</v>
      </c>
      <c r="E27" s="645">
        <v>24000</v>
      </c>
      <c r="F27" s="645">
        <v>1283810</v>
      </c>
      <c r="G27" s="645">
        <v>19814</v>
      </c>
      <c r="H27" s="645">
        <v>6200</v>
      </c>
      <c r="I27" s="932">
        <v>1455324</v>
      </c>
      <c r="J27" s="85"/>
      <c r="K27" s="603"/>
      <c r="L27" s="581"/>
      <c r="M27" s="581"/>
      <c r="N27" s="581"/>
      <c r="O27" s="582"/>
      <c r="P27" s="582"/>
      <c r="Q27" s="582"/>
    </row>
    <row r="28" spans="1:20" ht="24.6" customHeight="1" thickBot="1" x14ac:dyDescent="0.35">
      <c r="A28" s="84"/>
      <c r="B28" s="930" t="s">
        <v>245</v>
      </c>
      <c r="C28" s="703">
        <v>29000</v>
      </c>
      <c r="D28" s="703">
        <v>1000</v>
      </c>
      <c r="E28" s="703">
        <v>5000</v>
      </c>
      <c r="F28" s="644">
        <v>255686</v>
      </c>
      <c r="G28" s="703">
        <v>2500</v>
      </c>
      <c r="H28" s="703">
        <v>2000</v>
      </c>
      <c r="I28" s="931">
        <v>295186</v>
      </c>
      <c r="J28" s="85"/>
      <c r="L28" s="581"/>
      <c r="M28" s="581"/>
      <c r="N28" s="581"/>
      <c r="O28" s="582"/>
      <c r="P28" s="582"/>
      <c r="Q28" s="582"/>
    </row>
    <row r="29" spans="1:20" ht="24.6" customHeight="1" thickBot="1" x14ac:dyDescent="0.35">
      <c r="A29" s="84"/>
      <c r="B29" s="26" t="s">
        <v>31</v>
      </c>
      <c r="C29" s="645">
        <v>289500</v>
      </c>
      <c r="D29" s="645">
        <v>7000</v>
      </c>
      <c r="E29" s="645">
        <v>41000</v>
      </c>
      <c r="F29" s="645">
        <v>3439588</v>
      </c>
      <c r="G29" s="645">
        <v>29114</v>
      </c>
      <c r="H29" s="645">
        <v>16200</v>
      </c>
      <c r="I29" s="645">
        <v>3822402</v>
      </c>
      <c r="J29" s="85"/>
      <c r="K29" s="142"/>
      <c r="L29" s="141"/>
    </row>
    <row r="30" spans="1:20" ht="21" thickBot="1" x14ac:dyDescent="0.35">
      <c r="A30" s="83"/>
      <c r="B30" s="2885" t="s">
        <v>158</v>
      </c>
      <c r="C30" s="2886"/>
      <c r="D30" s="2886"/>
      <c r="E30" s="2886"/>
      <c r="F30" s="2886"/>
      <c r="G30" s="2886"/>
      <c r="H30" s="2886"/>
      <c r="I30" s="2887"/>
      <c r="L30" s="141"/>
      <c r="M30" s="49"/>
      <c r="N30" s="49"/>
    </row>
    <row r="31" spans="1:20" s="9" customFormat="1" ht="16.5" customHeight="1" thickBot="1" x14ac:dyDescent="0.3">
      <c r="A31" s="1145"/>
      <c r="B31" s="2926" t="s">
        <v>393</v>
      </c>
      <c r="C31" s="2927"/>
      <c r="D31" s="2927"/>
      <c r="E31" s="2927"/>
      <c r="F31" s="2927"/>
      <c r="G31" s="2927"/>
      <c r="H31" s="2927"/>
      <c r="I31" s="2928"/>
      <c r="J31" s="517"/>
      <c r="K31" s="1147"/>
      <c r="L31" s="1147"/>
      <c r="M31" s="1148"/>
      <c r="Q31" s="1149"/>
    </row>
    <row r="32" spans="1:20" s="9" customFormat="1" ht="16.5" hidden="1" customHeight="1" x14ac:dyDescent="0.25">
      <c r="A32" s="1150"/>
      <c r="B32" s="953" t="s">
        <v>573</v>
      </c>
      <c r="C32" s="669">
        <v>0</v>
      </c>
      <c r="D32" s="669">
        <v>0</v>
      </c>
      <c r="E32" s="669">
        <v>0</v>
      </c>
      <c r="F32" s="669">
        <v>0</v>
      </c>
      <c r="G32" s="669">
        <v>0</v>
      </c>
      <c r="H32" s="669">
        <v>0</v>
      </c>
      <c r="I32" s="668">
        <v>0</v>
      </c>
      <c r="J32" s="1152"/>
      <c r="K32" s="1153"/>
      <c r="L32" s="1154"/>
      <c r="M32" s="1154"/>
      <c r="N32" s="1155"/>
      <c r="O32" s="1155"/>
      <c r="P32" s="1156"/>
      <c r="Q32" s="1149"/>
    </row>
    <row r="33" spans="1:19" s="9" customFormat="1" ht="16.5" customHeight="1" x14ac:dyDescent="0.25">
      <c r="A33" s="1150"/>
      <c r="B33" s="693" t="s">
        <v>600</v>
      </c>
      <c r="C33" s="1854">
        <v>38403.529600000002</v>
      </c>
      <c r="D33" s="669">
        <v>1000</v>
      </c>
      <c r="E33" s="669">
        <v>145163</v>
      </c>
      <c r="F33" s="669">
        <v>0</v>
      </c>
      <c r="G33" s="669">
        <v>5000</v>
      </c>
      <c r="H33" s="669">
        <v>500</v>
      </c>
      <c r="I33" s="1899">
        <v>190066.52960000001</v>
      </c>
      <c r="J33" s="1152"/>
      <c r="K33" s="1153"/>
      <c r="L33" s="1154"/>
      <c r="M33" s="1154"/>
      <c r="N33" s="1155"/>
      <c r="O33" s="1155"/>
      <c r="P33" s="1156"/>
      <c r="Q33" s="1149"/>
    </row>
    <row r="34" spans="1:19" s="9" customFormat="1" ht="16.5" customHeight="1" x14ac:dyDescent="0.25">
      <c r="A34" s="1150"/>
      <c r="B34" s="693" t="s">
        <v>487</v>
      </c>
      <c r="C34" s="1854">
        <v>0</v>
      </c>
      <c r="D34" s="669">
        <v>0</v>
      </c>
      <c r="E34" s="669">
        <v>150000</v>
      </c>
      <c r="F34" s="669">
        <v>0</v>
      </c>
      <c r="G34" s="669">
        <v>0</v>
      </c>
      <c r="H34" s="669">
        <v>0</v>
      </c>
      <c r="I34" s="1899">
        <v>150000</v>
      </c>
      <c r="J34" s="1152"/>
      <c r="K34" s="1153"/>
      <c r="L34" s="1154"/>
      <c r="M34" s="1154"/>
      <c r="N34" s="1155"/>
      <c r="O34" s="1155"/>
      <c r="P34" s="1156"/>
      <c r="Q34" s="1149"/>
    </row>
    <row r="35" spans="1:19" s="9" customFormat="1" ht="16.5" customHeight="1" x14ac:dyDescent="0.25">
      <c r="A35" s="1150"/>
      <c r="B35" s="693" t="s">
        <v>601</v>
      </c>
      <c r="C35" s="1854">
        <v>9217.2703999999994</v>
      </c>
      <c r="D35" s="669">
        <v>780</v>
      </c>
      <c r="E35" s="669">
        <v>30544</v>
      </c>
      <c r="F35" s="669">
        <v>0</v>
      </c>
      <c r="G35" s="669">
        <v>1800</v>
      </c>
      <c r="H35" s="669">
        <v>600</v>
      </c>
      <c r="I35" s="1899">
        <v>42941.270400000001</v>
      </c>
      <c r="J35" s="1152"/>
      <c r="K35" s="1153"/>
      <c r="L35" s="1154"/>
      <c r="M35" s="1154"/>
      <c r="N35" s="1155"/>
      <c r="O35" s="1155"/>
      <c r="P35" s="1156"/>
      <c r="Q35" s="1149"/>
    </row>
    <row r="36" spans="1:19" s="9" customFormat="1" ht="16.5" customHeight="1" thickBot="1" x14ac:dyDescent="0.3">
      <c r="A36" s="1150"/>
      <c r="B36" s="693" t="s">
        <v>602</v>
      </c>
      <c r="C36" s="1854">
        <v>5291.2000000000007</v>
      </c>
      <c r="D36" s="669">
        <v>520</v>
      </c>
      <c r="E36" s="669">
        <v>29845</v>
      </c>
      <c r="F36" s="669">
        <v>0</v>
      </c>
      <c r="G36" s="669">
        <v>1200</v>
      </c>
      <c r="H36" s="669">
        <v>400</v>
      </c>
      <c r="I36" s="1899">
        <v>37256.199999999997</v>
      </c>
      <c r="J36" s="1152"/>
      <c r="K36" s="1153"/>
      <c r="L36" s="1154"/>
      <c r="M36" s="1154"/>
      <c r="N36" s="1155"/>
      <c r="O36" s="1155"/>
      <c r="P36" s="1156"/>
      <c r="Q36" s="1149"/>
    </row>
    <row r="37" spans="1:19" s="9" customFormat="1" ht="16.5" hidden="1" customHeight="1" x14ac:dyDescent="0.25">
      <c r="A37" s="1150"/>
      <c r="B37" s="1352" t="s">
        <v>414</v>
      </c>
      <c r="C37" s="669">
        <v>0</v>
      </c>
      <c r="D37" s="669">
        <v>0</v>
      </c>
      <c r="E37" s="669">
        <v>0</v>
      </c>
      <c r="F37" s="669">
        <v>0</v>
      </c>
      <c r="G37" s="669">
        <v>0</v>
      </c>
      <c r="H37" s="669">
        <v>0</v>
      </c>
      <c r="I37" s="670">
        <v>0</v>
      </c>
      <c r="J37" s="1158"/>
      <c r="L37" s="1147"/>
      <c r="M37" s="1147"/>
      <c r="N37" s="1156"/>
      <c r="O37" s="1156"/>
      <c r="P37" s="1156"/>
      <c r="Q37" s="1156"/>
      <c r="R37" s="1159"/>
    </row>
    <row r="38" spans="1:19" s="9" customFormat="1" ht="16.5" hidden="1" customHeight="1" x14ac:dyDescent="0.25">
      <c r="A38" s="1150"/>
      <c r="B38" s="1167" t="s">
        <v>486</v>
      </c>
      <c r="C38" s="1854">
        <v>0</v>
      </c>
      <c r="D38" s="669">
        <v>0</v>
      </c>
      <c r="E38" s="669">
        <v>0</v>
      </c>
      <c r="F38" s="669">
        <v>0</v>
      </c>
      <c r="G38" s="669">
        <v>0</v>
      </c>
      <c r="H38" s="669">
        <v>0</v>
      </c>
      <c r="I38" s="1899">
        <v>0</v>
      </c>
      <c r="J38" s="1146"/>
      <c r="K38" s="1152"/>
      <c r="L38" s="1153"/>
      <c r="M38" s="1154"/>
      <c r="N38" s="1154"/>
      <c r="O38" s="1155"/>
      <c r="P38" s="1155"/>
      <c r="Q38" s="1156"/>
      <c r="R38" s="1149"/>
    </row>
    <row r="39" spans="1:19" s="9" customFormat="1" ht="16.5" hidden="1" customHeight="1" thickBot="1" x14ac:dyDescent="0.3">
      <c r="A39" s="1150"/>
      <c r="B39" s="1167" t="s">
        <v>487</v>
      </c>
      <c r="C39" s="669">
        <v>0</v>
      </c>
      <c r="D39" s="669">
        <v>0</v>
      </c>
      <c r="E39" s="669">
        <v>0</v>
      </c>
      <c r="F39" s="669">
        <v>0</v>
      </c>
      <c r="G39" s="669">
        <v>0</v>
      </c>
      <c r="H39" s="669">
        <v>0</v>
      </c>
      <c r="I39" s="1157">
        <v>0</v>
      </c>
      <c r="J39" s="1146"/>
      <c r="K39" s="1158"/>
      <c r="M39" s="1147"/>
      <c r="N39" s="1147"/>
      <c r="O39" s="1156"/>
      <c r="P39" s="1156"/>
      <c r="Q39" s="1156"/>
      <c r="R39" s="1156"/>
      <c r="S39" s="1159"/>
    </row>
    <row r="40" spans="1:19" s="9" customFormat="1" ht="16.5" customHeight="1" thickBot="1" x14ac:dyDescent="0.3">
      <c r="A40" s="1150"/>
      <c r="B40" s="1160" t="s">
        <v>395</v>
      </c>
      <c r="C40" s="1161">
        <v>52912</v>
      </c>
      <c r="D40" s="1161">
        <v>2300</v>
      </c>
      <c r="E40" s="1161">
        <v>355552</v>
      </c>
      <c r="F40" s="1161">
        <v>0</v>
      </c>
      <c r="G40" s="1161">
        <v>8000</v>
      </c>
      <c r="H40" s="2268">
        <v>1500</v>
      </c>
      <c r="I40" s="2269">
        <v>420264</v>
      </c>
      <c r="J40" s="517"/>
      <c r="K40" s="1147"/>
      <c r="L40" s="1147"/>
      <c r="M40" s="1147"/>
      <c r="N40" s="1156"/>
      <c r="O40" s="1156"/>
      <c r="R40" s="1159"/>
    </row>
    <row r="41" spans="1:19" s="9" customFormat="1" ht="16.5" hidden="1" customHeight="1" thickBot="1" x14ac:dyDescent="0.3">
      <c r="A41" s="1150"/>
      <c r="B41" s="1160"/>
      <c r="C41" s="1896"/>
      <c r="D41" s="1896"/>
      <c r="E41" s="1896"/>
      <c r="F41" s="1896"/>
      <c r="G41" s="1896"/>
      <c r="H41" s="1896"/>
      <c r="I41" s="1896"/>
      <c r="J41" s="517"/>
      <c r="K41" s="1147"/>
      <c r="L41" s="1147"/>
      <c r="M41" s="1147"/>
      <c r="N41" s="1156"/>
      <c r="O41" s="1156"/>
      <c r="R41" s="1159"/>
    </row>
    <row r="42" spans="1:19" s="1164" customFormat="1" ht="16.5" customHeight="1" thickBot="1" x14ac:dyDescent="0.3">
      <c r="A42" s="1150"/>
      <c r="B42" s="2929" t="s">
        <v>396</v>
      </c>
      <c r="C42" s="2930"/>
      <c r="D42" s="2930"/>
      <c r="E42" s="2930"/>
      <c r="F42" s="2930"/>
      <c r="G42" s="2930"/>
      <c r="H42" s="2930"/>
      <c r="I42" s="2931"/>
      <c r="J42" s="517"/>
      <c r="K42" s="1162"/>
      <c r="L42" s="1162"/>
      <c r="M42" s="1162"/>
      <c r="N42" s="1163"/>
      <c r="O42" s="1163"/>
      <c r="R42" s="1165"/>
    </row>
    <row r="43" spans="1:19" s="9" customFormat="1" ht="16.5" hidden="1" customHeight="1" x14ac:dyDescent="0.25">
      <c r="A43" s="1150"/>
      <c r="B43" s="953" t="s">
        <v>584</v>
      </c>
      <c r="C43" s="1166">
        <v>0</v>
      </c>
      <c r="D43" s="1166">
        <v>0</v>
      </c>
      <c r="E43" s="667">
        <v>0</v>
      </c>
      <c r="F43" s="1166">
        <v>0</v>
      </c>
      <c r="G43" s="1166">
        <v>0</v>
      </c>
      <c r="H43" s="1166">
        <v>0</v>
      </c>
      <c r="I43" s="668">
        <v>0</v>
      </c>
      <c r="J43" s="1146"/>
      <c r="K43" s="852"/>
      <c r="L43" s="1147"/>
      <c r="M43" s="1147"/>
      <c r="N43" s="1147"/>
      <c r="O43" s="1156"/>
      <c r="P43" s="1156"/>
      <c r="R43" s="1149"/>
    </row>
    <row r="44" spans="1:19" s="9" customFormat="1" ht="16.5" customHeight="1" x14ac:dyDescent="0.25">
      <c r="A44" s="1150"/>
      <c r="B44" s="2264" t="s">
        <v>607</v>
      </c>
      <c r="C44" s="1166">
        <v>0</v>
      </c>
      <c r="D44" s="1166">
        <v>0</v>
      </c>
      <c r="E44" s="1901">
        <v>186292</v>
      </c>
      <c r="F44" s="1166">
        <v>0</v>
      </c>
      <c r="G44" s="1166">
        <v>0</v>
      </c>
      <c r="H44" s="1166">
        <v>0</v>
      </c>
      <c r="I44" s="1899">
        <v>186292</v>
      </c>
      <c r="J44" s="1146"/>
      <c r="K44" s="852"/>
      <c r="L44" s="1147"/>
      <c r="M44" s="1147"/>
      <c r="N44" s="1147"/>
      <c r="O44" s="1156"/>
      <c r="P44" s="1156"/>
      <c r="R44" s="1149"/>
    </row>
    <row r="45" spans="1:19" s="9" customFormat="1" ht="16.5" customHeight="1" x14ac:dyDescent="0.25">
      <c r="A45" s="1150"/>
      <c r="B45" s="2264" t="s">
        <v>608</v>
      </c>
      <c r="C45" s="1166">
        <v>0</v>
      </c>
      <c r="D45" s="1166">
        <v>0</v>
      </c>
      <c r="E45" s="1901">
        <v>75000</v>
      </c>
      <c r="F45" s="1166">
        <v>0</v>
      </c>
      <c r="G45" s="1166">
        <v>0</v>
      </c>
      <c r="H45" s="1166">
        <v>0</v>
      </c>
      <c r="I45" s="1899">
        <v>75000</v>
      </c>
      <c r="J45" s="1146"/>
      <c r="K45" s="852"/>
      <c r="L45" s="1147"/>
      <c r="M45" s="1147"/>
      <c r="N45" s="1147"/>
      <c r="O45" s="1156"/>
      <c r="P45" s="1156"/>
      <c r="R45" s="1149"/>
    </row>
    <row r="46" spans="1:19" s="9" customFormat="1" ht="16.5" customHeight="1" thickBot="1" x14ac:dyDescent="0.3">
      <c r="A46" s="1150"/>
      <c r="B46" s="2264" t="s">
        <v>603</v>
      </c>
      <c r="C46" s="1166">
        <v>0</v>
      </c>
      <c r="D46" s="1166">
        <v>0</v>
      </c>
      <c r="E46" s="1901">
        <v>50000</v>
      </c>
      <c r="F46" s="1166">
        <v>0</v>
      </c>
      <c r="G46" s="1166">
        <v>0</v>
      </c>
      <c r="H46" s="1166">
        <v>0</v>
      </c>
      <c r="I46" s="1899">
        <v>50000</v>
      </c>
      <c r="J46" s="1146"/>
      <c r="K46" s="852"/>
      <c r="L46" s="1147"/>
      <c r="M46" s="1147"/>
      <c r="N46" s="1147"/>
      <c r="O46" s="1156"/>
      <c r="P46" s="1156"/>
      <c r="R46" s="1149"/>
    </row>
    <row r="47" spans="1:19" s="9" customFormat="1" ht="16.5" hidden="1" customHeight="1" x14ac:dyDescent="0.25">
      <c r="A47" s="1150"/>
      <c r="B47" s="693" t="s">
        <v>585</v>
      </c>
      <c r="C47" s="1166">
        <v>0</v>
      </c>
      <c r="D47" s="1166">
        <v>0</v>
      </c>
      <c r="E47" s="669">
        <v>0</v>
      </c>
      <c r="F47" s="1166">
        <v>0</v>
      </c>
      <c r="G47" s="1166">
        <v>0</v>
      </c>
      <c r="H47" s="1166">
        <v>0</v>
      </c>
      <c r="I47" s="670">
        <v>0</v>
      </c>
      <c r="J47" s="1146"/>
      <c r="K47" s="852"/>
      <c r="L47" s="1147"/>
      <c r="M47" s="1147"/>
      <c r="N47" s="1147"/>
      <c r="O47" s="1156"/>
      <c r="P47" s="1156"/>
      <c r="R47" s="1149"/>
    </row>
    <row r="48" spans="1:19" s="9" customFormat="1" ht="16.5" hidden="1" customHeight="1" x14ac:dyDescent="0.25">
      <c r="A48" s="1150"/>
      <c r="B48" s="693" t="s">
        <v>586</v>
      </c>
      <c r="C48" s="1900">
        <v>0</v>
      </c>
      <c r="D48" s="1900">
        <v>0</v>
      </c>
      <c r="E48" s="1901">
        <v>0</v>
      </c>
      <c r="F48" s="1900">
        <v>0</v>
      </c>
      <c r="G48" s="1900">
        <v>0</v>
      </c>
      <c r="H48" s="1900">
        <v>0</v>
      </c>
      <c r="I48" s="1899">
        <v>0</v>
      </c>
      <c r="J48" s="852"/>
      <c r="K48" s="1147"/>
      <c r="L48" s="1147"/>
      <c r="M48" s="1147"/>
      <c r="N48" s="1156"/>
      <c r="O48" s="1156"/>
      <c r="Q48" s="1149"/>
    </row>
    <row r="49" spans="1:18" s="9" customFormat="1" ht="16.5" hidden="1" customHeight="1" x14ac:dyDescent="0.25">
      <c r="A49" s="1150"/>
      <c r="B49" s="693" t="s">
        <v>579</v>
      </c>
      <c r="C49" s="1166">
        <v>0</v>
      </c>
      <c r="D49" s="1166">
        <v>0</v>
      </c>
      <c r="E49" s="669">
        <v>0</v>
      </c>
      <c r="F49" s="1166">
        <v>0</v>
      </c>
      <c r="G49" s="1166">
        <v>0</v>
      </c>
      <c r="H49" s="1166">
        <v>0</v>
      </c>
      <c r="I49" s="670">
        <v>0</v>
      </c>
      <c r="J49" s="852"/>
      <c r="K49" s="1147"/>
      <c r="L49" s="1147"/>
      <c r="M49" s="1147"/>
      <c r="N49" s="1156"/>
      <c r="O49" s="1156"/>
      <c r="Q49" s="1149"/>
    </row>
    <row r="50" spans="1:18" s="9" customFormat="1" ht="16.5" hidden="1" customHeight="1" thickBot="1" x14ac:dyDescent="0.3">
      <c r="A50" s="1150"/>
      <c r="B50" s="694" t="s">
        <v>587</v>
      </c>
      <c r="C50" s="1166">
        <v>0</v>
      </c>
      <c r="D50" s="1166">
        <v>0</v>
      </c>
      <c r="E50" s="913">
        <v>0</v>
      </c>
      <c r="F50" s="1166">
        <v>0</v>
      </c>
      <c r="G50" s="1166">
        <v>0</v>
      </c>
      <c r="H50" s="1166">
        <v>0</v>
      </c>
      <c r="I50" s="1157">
        <v>0</v>
      </c>
      <c r="J50" s="852"/>
      <c r="K50" s="1147"/>
      <c r="L50" s="1147"/>
      <c r="M50" s="1147"/>
      <c r="N50" s="1156"/>
      <c r="O50" s="1156"/>
      <c r="Q50" s="1149"/>
    </row>
    <row r="51" spans="1:18" s="1164" customFormat="1" ht="16.5" customHeight="1" thickBot="1" x14ac:dyDescent="0.3">
      <c r="A51" s="1150"/>
      <c r="B51" s="1168" t="s">
        <v>397</v>
      </c>
      <c r="C51" s="1169">
        <v>0</v>
      </c>
      <c r="D51" s="1169">
        <v>0</v>
      </c>
      <c r="E51" s="1169">
        <v>311292</v>
      </c>
      <c r="F51" s="1169">
        <v>0</v>
      </c>
      <c r="G51" s="1169">
        <v>0</v>
      </c>
      <c r="H51" s="1169">
        <v>0</v>
      </c>
      <c r="I51" s="2272">
        <v>311292</v>
      </c>
      <c r="J51" s="852"/>
      <c r="K51" s="1162"/>
      <c r="L51" s="1162"/>
      <c r="M51" s="1162"/>
      <c r="N51" s="1163"/>
      <c r="O51" s="1163"/>
      <c r="Q51" s="1170"/>
    </row>
    <row r="52" spans="1:18" s="1164" customFormat="1" ht="16.5" hidden="1" customHeight="1" thickBot="1" x14ac:dyDescent="0.3">
      <c r="A52" s="1150"/>
      <c r="B52" s="2929" t="s">
        <v>398</v>
      </c>
      <c r="C52" s="2930"/>
      <c r="D52" s="2930"/>
      <c r="E52" s="2930"/>
      <c r="F52" s="2930"/>
      <c r="G52" s="2930"/>
      <c r="H52" s="2930"/>
      <c r="I52" s="2931"/>
      <c r="J52" s="852"/>
      <c r="K52" s="1162"/>
      <c r="L52" s="1162"/>
      <c r="M52" s="1162"/>
      <c r="N52" s="1163"/>
      <c r="O52" s="1163"/>
      <c r="Q52" s="1170"/>
    </row>
    <row r="53" spans="1:18" s="9" customFormat="1" ht="16.5" hidden="1" customHeight="1" x14ac:dyDescent="0.25">
      <c r="A53" s="1150"/>
      <c r="B53" s="953" t="s">
        <v>549</v>
      </c>
      <c r="C53" s="1171">
        <v>0</v>
      </c>
      <c r="D53" s="1171">
        <v>0</v>
      </c>
      <c r="E53" s="1171">
        <v>0</v>
      </c>
      <c r="F53" s="1171">
        <v>0</v>
      </c>
      <c r="G53" s="1171">
        <v>0</v>
      </c>
      <c r="H53" s="1171">
        <v>0</v>
      </c>
      <c r="I53" s="668">
        <v>0</v>
      </c>
      <c r="J53" s="1172"/>
      <c r="K53" s="1172"/>
      <c r="L53" s="1172"/>
      <c r="M53" s="1172"/>
      <c r="N53" s="1172"/>
      <c r="O53" s="1172"/>
      <c r="P53" s="1172"/>
      <c r="Q53" s="1172"/>
      <c r="R53" s="1172"/>
    </row>
    <row r="54" spans="1:18" s="9" customFormat="1" ht="16.5" hidden="1" customHeight="1" thickBot="1" x14ac:dyDescent="0.3">
      <c r="A54" s="1150"/>
      <c r="B54" s="1173" t="s">
        <v>400</v>
      </c>
      <c r="C54" s="1174">
        <v>0</v>
      </c>
      <c r="D54" s="1174">
        <v>0</v>
      </c>
      <c r="E54" s="1174">
        <v>0</v>
      </c>
      <c r="F54" s="1174">
        <v>0</v>
      </c>
      <c r="G54" s="1174">
        <v>0</v>
      </c>
      <c r="H54" s="1174">
        <v>0</v>
      </c>
      <c r="I54" s="1174">
        <v>0</v>
      </c>
      <c r="J54" s="852"/>
      <c r="K54" s="1147"/>
      <c r="L54" s="1147"/>
      <c r="M54" s="1147"/>
      <c r="N54" s="1156"/>
      <c r="O54" s="1156"/>
      <c r="Q54" s="1149"/>
    </row>
    <row r="55" spans="1:18" s="9" customFormat="1" ht="16.5" hidden="1" customHeight="1" x14ac:dyDescent="0.25">
      <c r="A55" s="1150"/>
      <c r="B55" s="1897"/>
      <c r="C55" s="1898"/>
      <c r="D55" s="1898"/>
      <c r="E55" s="1898"/>
      <c r="F55" s="1898"/>
      <c r="G55" s="1898"/>
      <c r="H55" s="1898"/>
      <c r="I55" s="1898"/>
      <c r="J55" s="852"/>
      <c r="K55" s="1147"/>
      <c r="L55" s="1147"/>
      <c r="M55" s="1147"/>
      <c r="N55" s="1156"/>
      <c r="O55" s="1156"/>
      <c r="Q55" s="1149"/>
    </row>
    <row r="56" spans="1:18" s="9" customFormat="1" ht="16.5" hidden="1" customHeight="1" x14ac:dyDescent="0.25">
      <c r="A56" s="1150"/>
      <c r="B56" s="1897"/>
      <c r="C56" s="1898"/>
      <c r="D56" s="1898"/>
      <c r="E56" s="1898"/>
      <c r="F56" s="1898"/>
      <c r="G56" s="1898"/>
      <c r="H56" s="1898"/>
      <c r="I56" s="1898"/>
      <c r="J56" s="852"/>
      <c r="K56" s="1147"/>
      <c r="L56" s="1147"/>
      <c r="M56" s="1147"/>
      <c r="N56" s="1156"/>
      <c r="O56" s="1156"/>
      <c r="Q56" s="1149"/>
    </row>
    <row r="57" spans="1:18" s="9" customFormat="1" ht="16.5" hidden="1" customHeight="1" thickBot="1" x14ac:dyDescent="0.3">
      <c r="A57" s="1150"/>
      <c r="B57" s="2929" t="s">
        <v>629</v>
      </c>
      <c r="C57" s="2930"/>
      <c r="D57" s="2930"/>
      <c r="E57" s="2930"/>
      <c r="F57" s="2930"/>
      <c r="G57" s="2930"/>
      <c r="H57" s="2930"/>
      <c r="I57" s="2931"/>
      <c r="J57" s="852"/>
      <c r="K57" s="1147"/>
      <c r="L57" s="1147"/>
      <c r="M57" s="1147"/>
      <c r="N57" s="1156"/>
      <c r="O57" s="1156"/>
      <c r="Q57" s="1149"/>
    </row>
    <row r="58" spans="1:18" s="9" customFormat="1" ht="16.5" hidden="1" customHeight="1" thickBot="1" x14ac:dyDescent="0.3">
      <c r="A58" s="1150"/>
      <c r="B58" s="953" t="s">
        <v>631</v>
      </c>
      <c r="C58" s="2300">
        <v>0</v>
      </c>
      <c r="D58" s="2300">
        <v>0</v>
      </c>
      <c r="E58" s="667">
        <v>0</v>
      </c>
      <c r="F58" s="633">
        <v>0</v>
      </c>
      <c r="G58" s="2300">
        <v>0</v>
      </c>
      <c r="H58" s="2300">
        <v>0</v>
      </c>
      <c r="I58" s="668">
        <v>0</v>
      </c>
      <c r="J58" s="852"/>
      <c r="K58" s="1147"/>
      <c r="L58" s="1147"/>
      <c r="M58" s="1147"/>
      <c r="N58" s="1156"/>
      <c r="O58" s="1156"/>
      <c r="Q58" s="1149"/>
    </row>
    <row r="59" spans="1:18" s="9" customFormat="1" ht="16.5" hidden="1" customHeight="1" thickBot="1" x14ac:dyDescent="0.3">
      <c r="A59" s="1150"/>
      <c r="B59" s="1168" t="s">
        <v>632</v>
      </c>
      <c r="C59" s="1169">
        <v>0</v>
      </c>
      <c r="D59" s="1169">
        <v>0</v>
      </c>
      <c r="E59" s="1169">
        <v>0</v>
      </c>
      <c r="F59" s="1169">
        <v>0</v>
      </c>
      <c r="G59" s="1169">
        <v>0</v>
      </c>
      <c r="H59" s="1169">
        <v>0</v>
      </c>
      <c r="I59" s="2272">
        <v>0</v>
      </c>
      <c r="J59" s="852"/>
      <c r="K59" s="1147"/>
      <c r="L59" s="1147"/>
      <c r="M59" s="1147"/>
      <c r="N59" s="1156"/>
      <c r="O59" s="1156"/>
      <c r="Q59" s="1149"/>
    </row>
    <row r="60" spans="1:18" s="9" customFormat="1" ht="16.5" customHeight="1" x14ac:dyDescent="0.3">
      <c r="A60" s="1150"/>
      <c r="B60" s="2932" t="s">
        <v>401</v>
      </c>
      <c r="C60" s="2933"/>
      <c r="D60" s="2933"/>
      <c r="E60" s="2933"/>
      <c r="F60" s="2933"/>
      <c r="G60" s="2933"/>
      <c r="H60" s="2933"/>
      <c r="I60" s="2934"/>
      <c r="J60" s="1175"/>
      <c r="K60" s="1175"/>
      <c r="L60" s="1175"/>
      <c r="M60" s="1175"/>
      <c r="N60" s="1175"/>
      <c r="O60" s="1175"/>
      <c r="Q60" s="1149"/>
    </row>
    <row r="61" spans="1:18" s="9" customFormat="1" ht="16.5" customHeight="1" x14ac:dyDescent="0.25">
      <c r="A61" s="1150"/>
      <c r="B61" s="615" t="s">
        <v>545</v>
      </c>
      <c r="C61" s="638">
        <v>98496</v>
      </c>
      <c r="D61" s="638">
        <v>0</v>
      </c>
      <c r="E61" s="638">
        <v>22833</v>
      </c>
      <c r="F61" s="638">
        <v>0</v>
      </c>
      <c r="G61" s="638">
        <v>0</v>
      </c>
      <c r="H61" s="638">
        <v>0</v>
      </c>
      <c r="I61" s="640">
        <v>121329</v>
      </c>
      <c r="J61" s="582"/>
      <c r="K61" s="582"/>
      <c r="L61" s="582"/>
      <c r="M61" s="582"/>
      <c r="N61" s="582"/>
      <c r="O61" s="584"/>
      <c r="P61" s="1156"/>
      <c r="Q61" s="1149"/>
    </row>
    <row r="62" spans="1:18" s="9" customFormat="1" ht="16.5" customHeight="1" x14ac:dyDescent="0.25">
      <c r="A62" s="1150"/>
      <c r="B62" s="615" t="s">
        <v>546</v>
      </c>
      <c r="C62" s="638">
        <v>0</v>
      </c>
      <c r="D62" s="638">
        <v>0</v>
      </c>
      <c r="E62" s="638">
        <v>81058</v>
      </c>
      <c r="F62" s="638">
        <v>0</v>
      </c>
      <c r="G62" s="638">
        <v>0</v>
      </c>
      <c r="H62" s="638">
        <v>0</v>
      </c>
      <c r="I62" s="640">
        <v>81058</v>
      </c>
      <c r="J62" s="582"/>
      <c r="K62" s="582"/>
      <c r="L62" s="582"/>
      <c r="M62" s="582"/>
      <c r="N62" s="582"/>
      <c r="O62" s="584"/>
      <c r="P62" s="1156"/>
      <c r="Q62" s="1149"/>
    </row>
    <row r="63" spans="1:18" s="9" customFormat="1" ht="16.5" customHeight="1" x14ac:dyDescent="0.25">
      <c r="A63" s="1150"/>
      <c r="B63" s="615" t="s">
        <v>547</v>
      </c>
      <c r="C63" s="638">
        <v>13321</v>
      </c>
      <c r="D63" s="638">
        <v>0</v>
      </c>
      <c r="E63" s="638">
        <v>120012</v>
      </c>
      <c r="F63" s="638">
        <v>0</v>
      </c>
      <c r="G63" s="638">
        <v>0</v>
      </c>
      <c r="H63" s="638">
        <v>0</v>
      </c>
      <c r="I63" s="640">
        <v>133333</v>
      </c>
      <c r="J63" s="582"/>
      <c r="K63" s="582"/>
      <c r="L63" s="582"/>
      <c r="M63" s="582"/>
      <c r="N63" s="582"/>
      <c r="O63" s="584"/>
      <c r="P63" s="1156"/>
    </row>
    <row r="64" spans="1:18" s="9" customFormat="1" ht="16.5" customHeight="1" x14ac:dyDescent="0.25">
      <c r="A64" s="1150"/>
      <c r="B64" s="615" t="s">
        <v>548</v>
      </c>
      <c r="C64" s="638">
        <v>80000</v>
      </c>
      <c r="D64" s="638">
        <v>0</v>
      </c>
      <c r="E64" s="638">
        <v>0</v>
      </c>
      <c r="F64" s="638">
        <v>0</v>
      </c>
      <c r="G64" s="638">
        <v>0</v>
      </c>
      <c r="H64" s="638">
        <v>0</v>
      </c>
      <c r="I64" s="640">
        <v>80000</v>
      </c>
      <c r="J64" s="582"/>
      <c r="K64" s="582"/>
      <c r="L64" s="582"/>
      <c r="M64" s="582"/>
      <c r="N64" s="582"/>
      <c r="O64" s="584"/>
      <c r="P64" s="1156"/>
      <c r="Q64" s="1164"/>
      <c r="R64" s="1159"/>
    </row>
    <row r="65" spans="1:24" s="1159" customFormat="1" ht="16.5" customHeight="1" x14ac:dyDescent="0.25">
      <c r="A65" s="1145"/>
      <c r="B65" s="615" t="s">
        <v>639</v>
      </c>
      <c r="C65" s="638">
        <v>20418</v>
      </c>
      <c r="D65" s="638">
        <v>0</v>
      </c>
      <c r="E65" s="638">
        <v>179582</v>
      </c>
      <c r="F65" s="638">
        <v>0</v>
      </c>
      <c r="G65" s="638">
        <v>0</v>
      </c>
      <c r="H65" s="638">
        <v>0</v>
      </c>
      <c r="I65" s="640">
        <v>200000</v>
      </c>
      <c r="J65" s="582"/>
      <c r="K65" s="582"/>
      <c r="L65" s="582"/>
      <c r="M65" s="582"/>
      <c r="N65" s="582"/>
      <c r="O65" s="584"/>
      <c r="P65" s="1163"/>
      <c r="Q65" s="9"/>
      <c r="R65" s="9"/>
      <c r="S65" s="9"/>
      <c r="T65" s="9"/>
      <c r="U65" s="9"/>
      <c r="V65" s="9"/>
      <c r="W65" s="9"/>
      <c r="X65" s="9"/>
    </row>
    <row r="66" spans="1:24" s="9" customFormat="1" ht="16.5" customHeight="1" x14ac:dyDescent="0.25">
      <c r="A66" s="1145"/>
      <c r="B66" s="615" t="s">
        <v>640</v>
      </c>
      <c r="C66" s="638">
        <v>0</v>
      </c>
      <c r="D66" s="638">
        <v>0</v>
      </c>
      <c r="E66" s="638">
        <v>20000</v>
      </c>
      <c r="F66" s="638">
        <v>0</v>
      </c>
      <c r="G66" s="638">
        <v>0</v>
      </c>
      <c r="H66" s="638">
        <v>0</v>
      </c>
      <c r="I66" s="640">
        <v>20000</v>
      </c>
      <c r="J66" s="1146"/>
      <c r="K66" s="1159"/>
      <c r="L66" s="1159"/>
      <c r="M66" s="848"/>
      <c r="P66" s="1176"/>
    </row>
    <row r="67" spans="1:24" s="9" customFormat="1" ht="16.5" customHeight="1" x14ac:dyDescent="0.25">
      <c r="A67" s="1145"/>
      <c r="B67" s="615" t="s">
        <v>641</v>
      </c>
      <c r="C67" s="638">
        <v>0</v>
      </c>
      <c r="D67" s="638">
        <v>0</v>
      </c>
      <c r="E67" s="638">
        <v>43333</v>
      </c>
      <c r="F67" s="638">
        <v>0</v>
      </c>
      <c r="G67" s="638">
        <v>0</v>
      </c>
      <c r="H67" s="638">
        <v>0</v>
      </c>
      <c r="I67" s="640">
        <v>43333</v>
      </c>
      <c r="J67" s="1159"/>
      <c r="K67" s="1159"/>
      <c r="L67" s="848"/>
      <c r="O67" s="1176"/>
    </row>
    <row r="68" spans="1:24" s="9" customFormat="1" ht="16.5" customHeight="1" x14ac:dyDescent="0.25">
      <c r="A68" s="1145"/>
      <c r="B68" s="615" t="s">
        <v>642</v>
      </c>
      <c r="C68" s="638">
        <v>0</v>
      </c>
      <c r="D68" s="638">
        <v>0</v>
      </c>
      <c r="E68" s="638">
        <v>10000</v>
      </c>
      <c r="F68" s="638">
        <v>0</v>
      </c>
      <c r="G68" s="638">
        <v>0</v>
      </c>
      <c r="H68" s="638">
        <v>0</v>
      </c>
      <c r="I68" s="640">
        <v>10000</v>
      </c>
      <c r="J68" s="1159"/>
      <c r="K68" s="1159"/>
      <c r="L68" s="848"/>
      <c r="O68" s="1176"/>
    </row>
    <row r="69" spans="1:24" s="9" customFormat="1" ht="16.5" customHeight="1" thickBot="1" x14ac:dyDescent="0.3">
      <c r="A69" s="1145"/>
      <c r="B69" s="2432" t="s">
        <v>643</v>
      </c>
      <c r="C69" s="925">
        <v>0</v>
      </c>
      <c r="D69" s="925">
        <v>0</v>
      </c>
      <c r="E69" s="925">
        <v>0</v>
      </c>
      <c r="F69" s="925">
        <v>0</v>
      </c>
      <c r="G69" s="925">
        <v>0</v>
      </c>
      <c r="H69" s="925">
        <v>629954</v>
      </c>
      <c r="I69" s="789">
        <v>629954</v>
      </c>
      <c r="J69" s="1159"/>
      <c r="K69" s="1159"/>
      <c r="L69" s="848"/>
    </row>
    <row r="70" spans="1:24" s="9" customFormat="1" ht="16.5" customHeight="1" thickBot="1" x14ac:dyDescent="0.3">
      <c r="A70" s="1145"/>
      <c r="B70" s="648" t="s">
        <v>43</v>
      </c>
      <c r="C70" s="2433">
        <v>212235</v>
      </c>
      <c r="D70" s="2433">
        <v>0</v>
      </c>
      <c r="E70" s="2433">
        <v>476818</v>
      </c>
      <c r="F70" s="2433">
        <v>0</v>
      </c>
      <c r="G70" s="2433">
        <v>0</v>
      </c>
      <c r="H70" s="2433">
        <v>629954</v>
      </c>
      <c r="I70" s="2433">
        <v>1319007</v>
      </c>
      <c r="J70" s="1159"/>
      <c r="K70" s="1159"/>
      <c r="L70" s="848"/>
    </row>
    <row r="71" spans="1:24" ht="19.5" hidden="1" customHeight="1" thickBot="1" x14ac:dyDescent="0.35">
      <c r="A71" s="83"/>
      <c r="B71" s="2891" t="s">
        <v>28</v>
      </c>
      <c r="C71" s="2892"/>
      <c r="D71" s="2892"/>
      <c r="E71" s="2892"/>
      <c r="F71" s="2892"/>
      <c r="G71" s="2892"/>
      <c r="H71" s="2892"/>
      <c r="I71" s="2893"/>
      <c r="J71" s="52"/>
      <c r="L71" s="141"/>
      <c r="M71" s="49"/>
      <c r="N71" s="49"/>
    </row>
    <row r="72" spans="1:24" ht="21" hidden="1" customHeight="1" x14ac:dyDescent="0.3">
      <c r="A72" s="83"/>
      <c r="B72" s="1032" t="s">
        <v>7</v>
      </c>
      <c r="C72" s="655">
        <v>555705.08111999999</v>
      </c>
      <c r="D72" s="655">
        <v>10904</v>
      </c>
      <c r="E72" s="655">
        <v>1003967.6</v>
      </c>
      <c r="F72" s="655">
        <v>7724865.9000000004</v>
      </c>
      <c r="G72" s="655">
        <v>45620</v>
      </c>
      <c r="H72" s="655">
        <v>7397</v>
      </c>
      <c r="I72" s="1033">
        <v>9348459.5811200012</v>
      </c>
      <c r="L72" s="141"/>
      <c r="M72" s="49"/>
      <c r="N72" s="49"/>
    </row>
    <row r="73" spans="1:24" ht="21" hidden="1" customHeight="1" x14ac:dyDescent="0.3">
      <c r="A73" s="21"/>
      <c r="B73" s="1034" t="s">
        <v>8</v>
      </c>
      <c r="C73" s="657">
        <v>313190.81887999998</v>
      </c>
      <c r="D73" s="657">
        <v>7916</v>
      </c>
      <c r="E73" s="657">
        <v>255824.4</v>
      </c>
      <c r="F73" s="657">
        <v>3439588</v>
      </c>
      <c r="G73" s="657">
        <v>32574</v>
      </c>
      <c r="H73" s="657">
        <v>16770</v>
      </c>
      <c r="I73" s="1035">
        <v>4065863.2188800001</v>
      </c>
      <c r="J73" s="521"/>
      <c r="L73" s="141"/>
      <c r="M73" s="49"/>
      <c r="N73" s="49"/>
    </row>
    <row r="74" spans="1:24" ht="21" hidden="1" customHeight="1" thickBot="1" x14ac:dyDescent="0.35">
      <c r="A74" s="86"/>
      <c r="B74" s="1036" t="s">
        <v>12</v>
      </c>
      <c r="C74" s="659">
        <v>212235</v>
      </c>
      <c r="D74" s="659">
        <v>0</v>
      </c>
      <c r="E74" s="659">
        <v>445760</v>
      </c>
      <c r="F74" s="659">
        <v>0</v>
      </c>
      <c r="G74" s="659">
        <v>0</v>
      </c>
      <c r="H74" s="659">
        <v>629954</v>
      </c>
      <c r="I74" s="1037">
        <v>1287949</v>
      </c>
      <c r="L74" s="141"/>
      <c r="M74" s="49"/>
      <c r="N74" s="49"/>
    </row>
    <row r="75" spans="1:24" ht="21" thickBot="1" x14ac:dyDescent="0.35">
      <c r="A75" s="83"/>
      <c r="B75" s="648" t="s">
        <v>58</v>
      </c>
      <c r="C75" s="649">
        <v>1081130.8999999999</v>
      </c>
      <c r="D75" s="649">
        <v>18820</v>
      </c>
      <c r="E75" s="649">
        <v>1705552</v>
      </c>
      <c r="F75" s="649">
        <v>11164453.9</v>
      </c>
      <c r="G75" s="649">
        <v>78194</v>
      </c>
      <c r="H75" s="649">
        <v>654121</v>
      </c>
      <c r="I75" s="649">
        <v>14702271.800000001</v>
      </c>
      <c r="L75" s="141"/>
      <c r="M75" s="49"/>
      <c r="N75" s="49"/>
    </row>
    <row r="76" spans="1:24" ht="15.75" x14ac:dyDescent="0.25">
      <c r="B76" s="144"/>
    </row>
    <row r="77" spans="1:24" ht="15.75" x14ac:dyDescent="0.25">
      <c r="B77" s="144"/>
    </row>
    <row r="78" spans="1:24" ht="15.75" x14ac:dyDescent="0.25">
      <c r="B78" s="144"/>
    </row>
    <row r="79" spans="1:24" ht="15.75" x14ac:dyDescent="0.25">
      <c r="B79" s="144"/>
    </row>
  </sheetData>
  <mergeCells count="13">
    <mergeCell ref="B24:I24"/>
    <mergeCell ref="B71:I71"/>
    <mergeCell ref="B30:I30"/>
    <mergeCell ref="B31:I31"/>
    <mergeCell ref="B42:I42"/>
    <mergeCell ref="B52:I52"/>
    <mergeCell ref="B57:I57"/>
    <mergeCell ref="B60:I60"/>
    <mergeCell ref="B1:I1"/>
    <mergeCell ref="B2:I2"/>
    <mergeCell ref="B11:I11"/>
    <mergeCell ref="B20:I20"/>
    <mergeCell ref="B23:I23"/>
  </mergeCells>
  <printOptions horizontalCentered="1" verticalCentered="1"/>
  <pageMargins left="0.5" right="0.06" top="0.2" bottom="0.18" header="0.2" footer="0.25"/>
  <pageSetup scale="54" orientation="landscape" r:id="rId1"/>
  <headerFooter alignWithMargins="0">
    <oddFooter>&amp;C&amp;"Arial"&amp;11&amp;K000000&amp;14
Totals may vary due to rounding&amp;12
_x000D_&amp;1#&amp;"Calibri"&amp;12&amp;K008000Internal Use</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6">
    <tabColor indexed="47"/>
    <pageSetUpPr fitToPage="1"/>
  </sheetPr>
  <dimension ref="A1:S64"/>
  <sheetViews>
    <sheetView zoomScale="80" zoomScaleNormal="80" workbookViewId="0">
      <selection activeCell="H15" sqref="H15"/>
    </sheetView>
  </sheetViews>
  <sheetFormatPr defaultRowHeight="12.75" x14ac:dyDescent="0.2"/>
  <cols>
    <col min="1" max="1" width="7.140625" style="49" customWidth="1"/>
    <col min="2" max="2" width="52.140625" style="49" bestFit="1" customWidth="1"/>
    <col min="3" max="3" width="20.42578125" style="64" customWidth="1"/>
    <col min="4" max="6" width="20.42578125" style="63" customWidth="1"/>
    <col min="7" max="11" width="20.42578125" style="49" customWidth="1"/>
    <col min="12" max="12" width="15.85546875" style="2469" bestFit="1" customWidth="1"/>
    <col min="13" max="13" width="5" style="2469" customWidth="1"/>
    <col min="14" max="14" width="14.28515625" style="49" bestFit="1" customWidth="1"/>
    <col min="15" max="15" width="15.140625" style="49" bestFit="1" customWidth="1"/>
    <col min="16" max="17" width="9.140625" style="49"/>
    <col min="18" max="18" width="13.85546875" style="49" bestFit="1" customWidth="1"/>
    <col min="19" max="16384" width="9.140625" style="49"/>
  </cols>
  <sheetData>
    <row r="1" spans="1:15" ht="26.25" x14ac:dyDescent="0.4">
      <c r="B1" s="2884" t="s">
        <v>82</v>
      </c>
      <c r="C1" s="2884"/>
      <c r="D1" s="2884"/>
      <c r="E1" s="2884"/>
      <c r="F1" s="2884"/>
      <c r="G1" s="2884"/>
      <c r="H1" s="2884"/>
      <c r="I1" s="2884"/>
      <c r="J1" s="2884"/>
      <c r="K1" s="2884"/>
    </row>
    <row r="2" spans="1:15" ht="26.25" x14ac:dyDescent="0.4">
      <c r="B2" s="2884" t="s">
        <v>709</v>
      </c>
      <c r="C2" s="2884"/>
      <c r="D2" s="2884"/>
      <c r="E2" s="2884"/>
      <c r="F2" s="2884"/>
      <c r="G2" s="2884"/>
      <c r="H2" s="2884"/>
      <c r="I2" s="2884"/>
      <c r="J2" s="2884"/>
      <c r="K2" s="2884"/>
    </row>
    <row r="3" spans="1:15" ht="26.25" hidden="1" x14ac:dyDescent="0.4">
      <c r="B3" s="1894"/>
      <c r="C3" s="1894"/>
      <c r="D3" s="1894"/>
      <c r="E3" s="1894"/>
      <c r="F3" s="1894"/>
      <c r="G3" s="1894"/>
      <c r="H3" s="1894"/>
      <c r="I3" s="1894"/>
      <c r="J3" s="1894"/>
      <c r="K3" s="1894"/>
    </row>
    <row r="4" spans="1:15" ht="26.25" hidden="1" x14ac:dyDescent="0.4">
      <c r="B4" s="1894"/>
      <c r="C4" s="1894"/>
      <c r="D4" s="1894"/>
      <c r="E4" s="1894"/>
      <c r="F4" s="1894"/>
      <c r="G4" s="1894"/>
      <c r="H4" s="1894"/>
      <c r="I4" s="1894"/>
      <c r="J4" s="1894"/>
      <c r="K4" s="1894"/>
    </row>
    <row r="5" spans="1:15" ht="26.25" hidden="1" x14ac:dyDescent="0.4">
      <c r="B5" s="1894"/>
      <c r="C5" s="1894"/>
      <c r="D5" s="1894"/>
      <c r="E5" s="1894"/>
      <c r="F5" s="1894"/>
      <c r="G5" s="1894"/>
      <c r="H5" s="1894"/>
      <c r="I5" s="1894"/>
      <c r="J5" s="1894"/>
      <c r="K5" s="1894"/>
    </row>
    <row r="6" spans="1:15" ht="26.25" hidden="1" x14ac:dyDescent="0.4">
      <c r="B6" s="1894"/>
      <c r="C6" s="1894"/>
      <c r="D6" s="1894"/>
      <c r="E6" s="1894"/>
      <c r="F6" s="1894"/>
      <c r="G6" s="1894"/>
      <c r="H6" s="1894"/>
      <c r="I6" s="1894"/>
      <c r="J6" s="1894"/>
      <c r="K6" s="1894"/>
    </row>
    <row r="7" spans="1:15" ht="26.25" hidden="1" x14ac:dyDescent="0.4">
      <c r="B7" s="1894"/>
      <c r="C7" s="1894"/>
      <c r="D7" s="1894"/>
      <c r="E7" s="1894"/>
      <c r="F7" s="1894"/>
      <c r="G7" s="1894"/>
      <c r="H7" s="1894"/>
      <c r="I7" s="1894"/>
      <c r="J7" s="1894"/>
      <c r="K7" s="1894"/>
    </row>
    <row r="8" spans="1:15" ht="6.75" customHeight="1" x14ac:dyDescent="0.25">
      <c r="B8" s="11"/>
      <c r="C8" s="10"/>
      <c r="D8" s="8"/>
      <c r="E8" s="8"/>
      <c r="F8" s="8"/>
      <c r="G8" s="9"/>
      <c r="H8" s="9"/>
      <c r="I8" s="9"/>
      <c r="J8" s="9"/>
      <c r="K8" s="9"/>
    </row>
    <row r="9" spans="1:15" ht="6.75" customHeight="1" thickBot="1" x14ac:dyDescent="0.3">
      <c r="B9" s="11"/>
      <c r="C9" s="10"/>
      <c r="D9" s="8"/>
      <c r="E9" s="8"/>
      <c r="F9" s="8"/>
      <c r="G9" s="9"/>
      <c r="H9" s="9"/>
      <c r="I9" s="9"/>
      <c r="J9" s="9"/>
      <c r="K9" s="9"/>
    </row>
    <row r="10" spans="1:15" ht="45.7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row>
    <row r="11" spans="1:15" ht="21" thickBot="1" x14ac:dyDescent="0.35">
      <c r="A11" s="21"/>
      <c r="B11" s="2949" t="s">
        <v>5</v>
      </c>
      <c r="C11" s="2950"/>
      <c r="D11" s="2950"/>
      <c r="E11" s="2950"/>
      <c r="F11" s="2950"/>
      <c r="G11" s="2950"/>
      <c r="H11" s="2950"/>
      <c r="I11" s="2950"/>
      <c r="J11" s="2950"/>
      <c r="K11" s="2950"/>
    </row>
    <row r="12" spans="1:15" ht="21" thickBot="1" x14ac:dyDescent="0.35">
      <c r="A12" s="83"/>
      <c r="B12" s="2737" t="s">
        <v>741</v>
      </c>
      <c r="C12" s="2738">
        <f>65379*1.4155</f>
        <v>92543.974499999997</v>
      </c>
      <c r="D12" s="2738">
        <v>200</v>
      </c>
      <c r="E12" s="2738">
        <v>3131.8599999999997</v>
      </c>
      <c r="F12" s="2738">
        <v>1500</v>
      </c>
      <c r="G12" s="2738">
        <v>370392.6775900817</v>
      </c>
      <c r="H12" s="2738">
        <v>10211.23</v>
      </c>
      <c r="I12" s="2738">
        <v>875</v>
      </c>
      <c r="J12" s="2738">
        <v>1625</v>
      </c>
      <c r="K12" s="2738">
        <f>SUM(C12:J12)</f>
        <v>480479.74209008168</v>
      </c>
      <c r="L12" s="2469">
        <f ca="1">$L$17*K12/$K$17</f>
        <v>-1.4882934476680073E-4</v>
      </c>
      <c r="N12" s="2469">
        <v>202.45106537280137</v>
      </c>
      <c r="O12" s="2469">
        <f>+N12+G12</f>
        <v>370595.12865545449</v>
      </c>
    </row>
    <row r="13" spans="1:15" ht="21" thickBot="1" x14ac:dyDescent="0.35">
      <c r="A13" s="83"/>
      <c r="B13" s="2737" t="s">
        <v>742</v>
      </c>
      <c r="C13" s="2738">
        <f>166736*1.4155-407</f>
        <v>235607.80799999999</v>
      </c>
      <c r="D13" s="2738">
        <v>700</v>
      </c>
      <c r="E13" s="2738">
        <v>217733.02000000002</v>
      </c>
      <c r="F13" s="2738">
        <v>50000</v>
      </c>
      <c r="G13" s="2738">
        <v>2050411.1806931701</v>
      </c>
      <c r="H13" s="2738">
        <v>130639.09</v>
      </c>
      <c r="I13" s="2738">
        <v>1409.4499999999998</v>
      </c>
      <c r="J13" s="2738">
        <v>2618</v>
      </c>
      <c r="K13" s="2738">
        <f>SUM(C13:J13)</f>
        <v>2689118.5486931698</v>
      </c>
      <c r="L13" s="2469">
        <f ca="1">$L$17*K13/$K$17</f>
        <v>-8.3295863809221802E-4</v>
      </c>
      <c r="N13" s="2469">
        <v>861.76755702388903</v>
      </c>
      <c r="O13" s="2469">
        <f t="shared" ref="O13:O23" si="0">+N13+G13</f>
        <v>2051272.9482501938</v>
      </c>
    </row>
    <row r="14" spans="1:15" ht="21" thickBot="1" x14ac:dyDescent="0.35">
      <c r="A14" s="83"/>
      <c r="B14" s="2737" t="s">
        <v>759</v>
      </c>
      <c r="C14" s="2738">
        <f>55811*1.4155</f>
        <v>79000.470499999996</v>
      </c>
      <c r="D14" s="2738">
        <v>500</v>
      </c>
      <c r="E14" s="2738">
        <v>150672.45000000001</v>
      </c>
      <c r="F14" s="2738">
        <v>6000</v>
      </c>
      <c r="G14" s="2738">
        <v>1075770.1046158134</v>
      </c>
      <c r="H14" s="2738">
        <v>41092.19</v>
      </c>
      <c r="I14" s="2738">
        <v>1050</v>
      </c>
      <c r="J14" s="2738">
        <v>1950</v>
      </c>
      <c r="K14" s="2738">
        <f>SUM(C14:J14)</f>
        <v>1356035.2151158133</v>
      </c>
      <c r="L14" s="2469">
        <f ca="1">$L$17*K14/$K$17</f>
        <v>-4.2003400948495515E-4</v>
      </c>
      <c r="N14" s="2469">
        <v>537.03788970787468</v>
      </c>
      <c r="O14" s="2469">
        <f t="shared" si="0"/>
        <v>1076307.1425055212</v>
      </c>
    </row>
    <row r="15" spans="1:15" ht="21" thickBot="1" x14ac:dyDescent="0.35">
      <c r="A15" s="83"/>
      <c r="B15" s="2737" t="s">
        <v>283</v>
      </c>
      <c r="C15" s="2738">
        <f>166736*1.4155-407</f>
        <v>235607.80799999999</v>
      </c>
      <c r="D15" s="2738">
        <v>1000</v>
      </c>
      <c r="E15" s="2738">
        <v>47800.4</v>
      </c>
      <c r="F15" s="2738">
        <v>6000</v>
      </c>
      <c r="G15" s="2738">
        <v>3343325.5413553999</v>
      </c>
      <c r="H15" s="2738">
        <v>99421.42</v>
      </c>
      <c r="I15" s="2738">
        <v>909.99999999999989</v>
      </c>
      <c r="J15" s="2738">
        <v>1690</v>
      </c>
      <c r="K15" s="2738">
        <f>SUM(C15:J15)</f>
        <v>3735755.1693553999</v>
      </c>
      <c r="L15" s="2469">
        <f ca="1">$L$17*K15/$K$17</f>
        <v>-1.1571559534347951E-3</v>
      </c>
      <c r="N15" s="2469">
        <v>1161.8209872442385</v>
      </c>
      <c r="O15" s="2469">
        <f t="shared" si="0"/>
        <v>3344487.362342644</v>
      </c>
    </row>
    <row r="16" spans="1:15" ht="21" thickBot="1" x14ac:dyDescent="0.35">
      <c r="A16" s="83"/>
      <c r="B16" s="2739" t="s">
        <v>531</v>
      </c>
      <c r="C16" s="2738">
        <f>15946*1.4155</f>
        <v>22571.562999999998</v>
      </c>
      <c r="D16" s="2738">
        <v>100</v>
      </c>
      <c r="E16" s="2738">
        <v>110719.32369326583</v>
      </c>
      <c r="F16" s="2738">
        <v>0</v>
      </c>
      <c r="G16" s="2738">
        <v>0</v>
      </c>
      <c r="H16" s="2738">
        <v>0</v>
      </c>
      <c r="I16" s="2738">
        <v>0</v>
      </c>
      <c r="J16" s="2738">
        <v>0</v>
      </c>
      <c r="K16" s="2738">
        <f>SUM(C16:J16)</f>
        <v>133390.88669326584</v>
      </c>
      <c r="L16" s="2469">
        <f ca="1">$L$17*K16/$K$17</f>
        <v>-4.1318033884349109E-5</v>
      </c>
      <c r="N16" s="2469">
        <v>44.613487166429209</v>
      </c>
      <c r="O16" s="2469">
        <f>+E16+N16</f>
        <v>110763.93718043226</v>
      </c>
    </row>
    <row r="17" spans="1:19" ht="21" thickBot="1" x14ac:dyDescent="0.35">
      <c r="A17" s="84"/>
      <c r="B17" s="2740" t="s">
        <v>743</v>
      </c>
      <c r="C17" s="2741">
        <f t="shared" ref="C17:K17" si="1">SUM(C12:C16)</f>
        <v>665331.62399999995</v>
      </c>
      <c r="D17" s="2741">
        <f t="shared" si="1"/>
        <v>2500</v>
      </c>
      <c r="E17" s="2741">
        <f t="shared" si="1"/>
        <v>530057.05369326589</v>
      </c>
      <c r="F17" s="2741">
        <f t="shared" si="1"/>
        <v>63500</v>
      </c>
      <c r="G17" s="2741">
        <f t="shared" si="1"/>
        <v>6839899.5042544641</v>
      </c>
      <c r="H17" s="2741">
        <f t="shared" si="1"/>
        <v>281363.93</v>
      </c>
      <c r="I17" s="2741">
        <f t="shared" si="1"/>
        <v>4244.45</v>
      </c>
      <c r="J17" s="2741">
        <f t="shared" si="1"/>
        <v>7883</v>
      </c>
      <c r="K17" s="2741">
        <f t="shared" si="1"/>
        <v>8394779.5619477313</v>
      </c>
      <c r="L17" s="2469">
        <f ca="1">$K$55*K17/($K$17+$K$23)</f>
        <v>-2.6002959796631183E-3</v>
      </c>
      <c r="N17" s="2469">
        <v>2807.6909865152329</v>
      </c>
      <c r="O17" s="2469">
        <f t="shared" si="0"/>
        <v>6842707.1952409791</v>
      </c>
    </row>
    <row r="18" spans="1:19" ht="21" thickBot="1" x14ac:dyDescent="0.35">
      <c r="A18" s="84"/>
      <c r="B18" s="2949" t="s">
        <v>6</v>
      </c>
      <c r="C18" s="2950"/>
      <c r="D18" s="2950"/>
      <c r="E18" s="2950"/>
      <c r="F18" s="2950"/>
      <c r="G18" s="2950"/>
      <c r="H18" s="2950"/>
      <c r="I18" s="2950"/>
      <c r="J18" s="2950"/>
      <c r="K18" s="2950"/>
      <c r="N18" s="2469"/>
      <c r="O18" s="2469">
        <f t="shared" si="0"/>
        <v>0</v>
      </c>
    </row>
    <row r="19" spans="1:19" ht="21" thickBot="1" x14ac:dyDescent="0.35">
      <c r="A19" s="83"/>
      <c r="B19" s="2737" t="s">
        <v>285</v>
      </c>
      <c r="C19" s="2738">
        <f>106293*1.4155</f>
        <v>150457.7415</v>
      </c>
      <c r="D19" s="2738">
        <v>1000</v>
      </c>
      <c r="E19" s="2738">
        <v>47970.369999999995</v>
      </c>
      <c r="F19" s="2738">
        <v>3000</v>
      </c>
      <c r="G19" s="2738">
        <f>-21000+1306686.212699-20000</f>
        <v>1265686.212699</v>
      </c>
      <c r="H19" s="2738">
        <v>216667.76</v>
      </c>
      <c r="I19" s="2738">
        <v>3416.63</v>
      </c>
      <c r="J19" s="2738">
        <v>20502</v>
      </c>
      <c r="K19" s="2738">
        <f>SUM(C19:J19)</f>
        <v>1708700.7141989998</v>
      </c>
      <c r="L19" s="2469">
        <f ca="1">$L$23*K19/$K$23</f>
        <v>-5.2927269439202252E-4</v>
      </c>
      <c r="N19" s="2469">
        <v>-35084.201746146988</v>
      </c>
      <c r="O19" s="2469">
        <f t="shared" si="0"/>
        <v>1230602.0109528531</v>
      </c>
      <c r="Q19" s="2836">
        <f t="shared" ref="Q19:Q23" si="2">+G19/$G$23</f>
        <v>0.51067006698658213</v>
      </c>
      <c r="R19" s="2486"/>
      <c r="S19" s="2835"/>
    </row>
    <row r="20" spans="1:19" ht="21" thickBot="1" x14ac:dyDescent="0.35">
      <c r="A20" s="83"/>
      <c r="B20" s="2737" t="s">
        <v>275</v>
      </c>
      <c r="C20" s="2738">
        <f>106293*1.4155</f>
        <v>150457.7415</v>
      </c>
      <c r="D20" s="2738">
        <v>700</v>
      </c>
      <c r="E20" s="2738">
        <v>26315.72</v>
      </c>
      <c r="F20" s="2738">
        <v>4000</v>
      </c>
      <c r="G20" s="2738">
        <f>-12000+661865.311090099+20000</f>
        <v>669865.31109009904</v>
      </c>
      <c r="H20" s="2738">
        <v>155132.94</v>
      </c>
      <c r="I20" s="2738">
        <v>250</v>
      </c>
      <c r="J20" s="2738">
        <v>5000</v>
      </c>
      <c r="K20" s="2738">
        <f>SUM(C20:J20)</f>
        <v>1011721.7125900991</v>
      </c>
      <c r="L20" s="2469">
        <f ca="1">$L$23*K20/$K$23</f>
        <v>-3.1338236845560892E-4</v>
      </c>
      <c r="N20" s="2469">
        <v>-20126.170593477873</v>
      </c>
      <c r="O20" s="2469">
        <f t="shared" si="0"/>
        <v>649739.14049662114</v>
      </c>
      <c r="Q20" s="2836">
        <f t="shared" si="2"/>
        <v>0.27027248922693337</v>
      </c>
      <c r="R20" s="2486"/>
      <c r="S20" s="2835"/>
    </row>
    <row r="21" spans="1:19" ht="21" thickBot="1" x14ac:dyDescent="0.35">
      <c r="A21" s="83"/>
      <c r="B21" s="2737" t="s">
        <v>744</v>
      </c>
      <c r="C21" s="2738">
        <f>86109*1.4155+15</f>
        <v>121902.2895</v>
      </c>
      <c r="D21" s="2738">
        <v>500</v>
      </c>
      <c r="E21" s="2738">
        <v>7112.4499999999971</v>
      </c>
      <c r="F21" s="2738">
        <v>1000</v>
      </c>
      <c r="G21" s="2738">
        <f>-5027.76+392957.538566647-25000-20000</f>
        <v>342929.77856664697</v>
      </c>
      <c r="H21" s="2738">
        <v>55386.979999999996</v>
      </c>
      <c r="I21" s="2738">
        <v>250</v>
      </c>
      <c r="J21" s="2738">
        <v>7500</v>
      </c>
      <c r="K21" s="2738">
        <f>SUM(C21:J21)</f>
        <v>536581.49806664698</v>
      </c>
      <c r="L21" s="2469">
        <f ca="1">$L$23*K21/$K$23</f>
        <v>-1.6620695062784816E-4</v>
      </c>
      <c r="N21" s="2469">
        <v>-11762.421646829756</v>
      </c>
      <c r="O21" s="2469">
        <f t="shared" si="0"/>
        <v>331167.35691981722</v>
      </c>
      <c r="Q21" s="2836">
        <f t="shared" si="2"/>
        <v>0.13836286690591501</v>
      </c>
      <c r="R21" s="2486"/>
      <c r="S21" s="2835"/>
    </row>
    <row r="22" spans="1:19" ht="21" thickBot="1" x14ac:dyDescent="0.35">
      <c r="A22" s="84"/>
      <c r="B22" s="2739" t="s">
        <v>245</v>
      </c>
      <c r="C22" s="2738">
        <f>59565*1.4155</f>
        <v>84314.257499999992</v>
      </c>
      <c r="D22" s="2738">
        <v>200</v>
      </c>
      <c r="E22" s="2738">
        <f>54000+5250.21</f>
        <v>59250.21</v>
      </c>
      <c r="F22" s="2738">
        <v>5000</v>
      </c>
      <c r="G22" s="2738">
        <v>200000</v>
      </c>
      <c r="H22" s="2738">
        <v>24220.39</v>
      </c>
      <c r="I22" s="2738">
        <v>500</v>
      </c>
      <c r="J22" s="2738">
        <v>60000</v>
      </c>
      <c r="K22" s="2738">
        <f>SUM(C22:J22)</f>
        <v>433484.85750000004</v>
      </c>
      <c r="L22" s="2469">
        <f ca="1">$L$23*K22/$K$23</f>
        <v>-1.3427260643167655E-4</v>
      </c>
      <c r="N22" s="2469">
        <v>-7027.2060135453776</v>
      </c>
      <c r="O22" s="2469">
        <f>+N22+G22</f>
        <v>192972.79398645464</v>
      </c>
      <c r="Q22" s="2836">
        <f t="shared" si="2"/>
        <v>8.0694576880569607E-2</v>
      </c>
      <c r="R22" s="2486"/>
      <c r="S22" s="2835"/>
    </row>
    <row r="23" spans="1:19" ht="21" thickBot="1" x14ac:dyDescent="0.35">
      <c r="A23" s="84"/>
      <c r="B23" s="2740" t="s">
        <v>745</v>
      </c>
      <c r="C23" s="2741">
        <f>SUM(C19:C22)</f>
        <v>507132.03</v>
      </c>
      <c r="D23" s="2741">
        <f t="shared" ref="D23:K23" si="3">SUM(D19:D22)</f>
        <v>2400</v>
      </c>
      <c r="E23" s="2741">
        <f t="shared" si="3"/>
        <v>140648.75</v>
      </c>
      <c r="F23" s="2741">
        <f t="shared" si="3"/>
        <v>13000</v>
      </c>
      <c r="G23" s="2741">
        <f t="shared" si="3"/>
        <v>2478481.3023557458</v>
      </c>
      <c r="H23" s="2741">
        <f t="shared" si="3"/>
        <v>451408.07</v>
      </c>
      <c r="I23" s="2741">
        <f t="shared" si="3"/>
        <v>4416.63</v>
      </c>
      <c r="J23" s="2741">
        <f t="shared" si="3"/>
        <v>93002</v>
      </c>
      <c r="K23" s="2741">
        <f t="shared" si="3"/>
        <v>3690488.7823557458</v>
      </c>
      <c r="L23" s="2469">
        <f ca="1">$K$55*K23/($K$17+$K$23)</f>
        <v>-1.1431346199071561E-3</v>
      </c>
      <c r="N23" s="2469">
        <v>-74000</v>
      </c>
      <c r="O23" s="2469">
        <f t="shared" si="0"/>
        <v>2404481.3023557458</v>
      </c>
      <c r="Q23" s="2836">
        <f t="shared" si="2"/>
        <v>1</v>
      </c>
    </row>
    <row r="24" spans="1:19" ht="21" thickBot="1" x14ac:dyDescent="0.35">
      <c r="A24" s="84"/>
      <c r="B24" s="2947" t="s">
        <v>737</v>
      </c>
      <c r="C24" s="2948"/>
      <c r="D24" s="2948"/>
      <c r="E24" s="2948"/>
      <c r="F24" s="2948"/>
      <c r="G24" s="2948"/>
      <c r="H24" s="2948"/>
      <c r="I24" s="2948"/>
      <c r="J24" s="2948"/>
      <c r="K24" s="2948"/>
      <c r="L24" s="2469">
        <f ca="1">+L23+L17</f>
        <v>-3.7434305995702744E-3</v>
      </c>
      <c r="N24" s="2469"/>
    </row>
    <row r="25" spans="1:19" ht="21" thickBot="1" x14ac:dyDescent="0.35">
      <c r="A25" s="84"/>
      <c r="B25" s="2737" t="s">
        <v>739</v>
      </c>
      <c r="C25" s="2738">
        <v>21442</v>
      </c>
      <c r="D25" s="2738"/>
      <c r="E25" s="2738">
        <f>41720/2</f>
        <v>20860</v>
      </c>
      <c r="F25" s="2738"/>
      <c r="G25" s="2738">
        <f>61250/2</f>
        <v>30625</v>
      </c>
      <c r="H25" s="2738"/>
      <c r="I25" s="2738"/>
      <c r="J25" s="2738"/>
      <c r="K25" s="2738">
        <f>SUM(C25:J25)</f>
        <v>72927</v>
      </c>
      <c r="N25" s="2469"/>
      <c r="O25" s="2469"/>
    </row>
    <row r="26" spans="1:19" ht="21" thickBot="1" x14ac:dyDescent="0.35">
      <c r="A26" s="84"/>
      <c r="B26" s="2739" t="s">
        <v>738</v>
      </c>
      <c r="C26" s="2738">
        <v>42884</v>
      </c>
      <c r="D26" s="2738"/>
      <c r="E26" s="2738">
        <f>102792</f>
        <v>102792</v>
      </c>
      <c r="F26" s="2738"/>
      <c r="G26" s="2738">
        <v>37500</v>
      </c>
      <c r="H26" s="2738"/>
      <c r="I26" s="2738"/>
      <c r="J26" s="2738"/>
      <c r="K26" s="2738">
        <f>SUM(C26:J26)</f>
        <v>183176</v>
      </c>
      <c r="N26" s="2469"/>
      <c r="O26" s="2469"/>
    </row>
    <row r="27" spans="1:19" ht="21" thickBot="1" x14ac:dyDescent="0.35">
      <c r="A27" s="84"/>
      <c r="B27" s="2740" t="s">
        <v>758</v>
      </c>
      <c r="C27" s="2741">
        <f t="shared" ref="C27:K27" si="4">SUM(C25:C26)</f>
        <v>64326</v>
      </c>
      <c r="D27" s="2741">
        <f t="shared" si="4"/>
        <v>0</v>
      </c>
      <c r="E27" s="2741">
        <f t="shared" si="4"/>
        <v>123652</v>
      </c>
      <c r="F27" s="2741">
        <f t="shared" si="4"/>
        <v>0</v>
      </c>
      <c r="G27" s="2741">
        <f t="shared" si="4"/>
        <v>68125</v>
      </c>
      <c r="H27" s="2741">
        <f t="shared" si="4"/>
        <v>0</v>
      </c>
      <c r="I27" s="2741">
        <f t="shared" si="4"/>
        <v>0</v>
      </c>
      <c r="J27" s="2741">
        <f t="shared" si="4"/>
        <v>0</v>
      </c>
      <c r="K27" s="2741">
        <f t="shared" si="4"/>
        <v>256103</v>
      </c>
      <c r="N27" s="2469"/>
      <c r="O27" s="2469"/>
    </row>
    <row r="28" spans="1:19" s="9" customFormat="1" ht="16.5" customHeight="1" thickBot="1" x14ac:dyDescent="0.3">
      <c r="A28" s="1145"/>
      <c r="B28" s="2947" t="s">
        <v>746</v>
      </c>
      <c r="C28" s="2948"/>
      <c r="D28" s="2948"/>
      <c r="E28" s="2948"/>
      <c r="F28" s="2948"/>
      <c r="G28" s="2948"/>
      <c r="H28" s="2948"/>
      <c r="I28" s="2948"/>
      <c r="J28" s="2948"/>
      <c r="K28" s="2948"/>
      <c r="L28" s="2596"/>
      <c r="M28" s="2596"/>
    </row>
    <row r="29" spans="1:19" s="9" customFormat="1" ht="16.5" customHeight="1" thickBot="1" x14ac:dyDescent="0.3">
      <c r="A29" s="1150"/>
      <c r="B29" s="2737" t="s">
        <v>763</v>
      </c>
      <c r="C29" s="2738">
        <f>7297*1.4155</f>
        <v>10328.9035</v>
      </c>
      <c r="D29" s="2738">
        <v>363.01291648920721</v>
      </c>
      <c r="E29" s="2738">
        <f>76667-77605+54121.5504624295</f>
        <v>53183.550462429499</v>
      </c>
      <c r="F29" s="2738">
        <v>0</v>
      </c>
      <c r="G29" s="2738">
        <v>0</v>
      </c>
      <c r="H29" s="2738">
        <v>1814.7484963955119</v>
      </c>
      <c r="I29" s="2738">
        <v>8443.7430039617593</v>
      </c>
      <c r="J29" s="2738">
        <v>2533.122901188528</v>
      </c>
      <c r="K29" s="2738">
        <f>SUM(C29:J29)</f>
        <v>76667.08128046451</v>
      </c>
      <c r="L29" s="2596"/>
      <c r="M29" s="2596"/>
      <c r="N29" s="2832">
        <v>76666.67</v>
      </c>
    </row>
    <row r="30" spans="1:19" s="9" customFormat="1" ht="16.5" customHeight="1" thickBot="1" x14ac:dyDescent="0.3">
      <c r="A30" s="1150"/>
      <c r="B30" s="2737" t="s">
        <v>764</v>
      </c>
      <c r="C30" s="2738">
        <v>0</v>
      </c>
      <c r="D30" s="2738">
        <v>0</v>
      </c>
      <c r="E30" s="2738">
        <v>82666.66</v>
      </c>
      <c r="F30" s="2738">
        <v>0</v>
      </c>
      <c r="G30" s="2738">
        <v>0</v>
      </c>
      <c r="H30" s="2738">
        <v>0</v>
      </c>
      <c r="I30" s="2738">
        <v>0</v>
      </c>
      <c r="J30" s="2738">
        <v>0</v>
      </c>
      <c r="K30" s="2738">
        <f>SUM(C30:J30)</f>
        <v>82666.66</v>
      </c>
      <c r="L30" s="2596"/>
      <c r="M30" s="2596"/>
      <c r="N30" s="2832">
        <v>82666.66</v>
      </c>
    </row>
    <row r="31" spans="1:19" s="9" customFormat="1" ht="16.5" customHeight="1" thickBot="1" x14ac:dyDescent="0.3">
      <c r="A31" s="1150"/>
      <c r="B31" s="2739" t="s">
        <v>765</v>
      </c>
      <c r="C31" s="2738">
        <f>7908*1.4155</f>
        <v>11193.773999999999</v>
      </c>
      <c r="D31" s="2738">
        <v>389.77583742602167</v>
      </c>
      <c r="E31" s="2738">
        <f>-2530+63667.6710455326</f>
        <v>61137.671045532603</v>
      </c>
      <c r="F31" s="2738">
        <v>0</v>
      </c>
      <c r="G31" s="2738">
        <v>0</v>
      </c>
      <c r="H31" s="2738">
        <v>4195.8158694433623</v>
      </c>
      <c r="I31" s="2738">
        <v>2371.0979049099333</v>
      </c>
      <c r="J31" s="2738">
        <v>711.6504409252359</v>
      </c>
      <c r="K31" s="2738">
        <f>SUM(C31:J31)</f>
        <v>79999.78509823716</v>
      </c>
      <c r="L31" s="2596"/>
      <c r="M31" s="2596"/>
      <c r="N31" s="2832">
        <v>79999.989999999991</v>
      </c>
    </row>
    <row r="32" spans="1:19" s="9" customFormat="1" ht="16.5" customHeight="1" thickBot="1" x14ac:dyDescent="0.3">
      <c r="A32" s="1150"/>
      <c r="B32" s="2739" t="s">
        <v>766</v>
      </c>
      <c r="C32" s="2738">
        <f>2516*1.4155</f>
        <v>3561.3980000000001</v>
      </c>
      <c r="D32" s="2738">
        <v>139.28580994904527</v>
      </c>
      <c r="E32" s="2738">
        <f>-574+43414.3155318101</f>
        <v>42840.315531810098</v>
      </c>
      <c r="F32" s="2738">
        <v>0</v>
      </c>
      <c r="G32" s="2738">
        <v>0</v>
      </c>
      <c r="H32" s="2738">
        <v>321.4287921901045</v>
      </c>
      <c r="I32" s="2738">
        <v>2413.8066028891503</v>
      </c>
      <c r="J32" s="2738">
        <v>723.8844257447978</v>
      </c>
      <c r="K32" s="2738">
        <f>SUM(C32:J32)</f>
        <v>50000.1191625832</v>
      </c>
      <c r="L32" s="2596"/>
      <c r="M32" s="2596"/>
      <c r="N32" s="2832">
        <v>49999.999999999993</v>
      </c>
    </row>
    <row r="33" spans="1:14" s="9" customFormat="1" ht="16.5" customHeight="1" thickBot="1" x14ac:dyDescent="0.3">
      <c r="A33" s="1150"/>
      <c r="B33" s="2740" t="s">
        <v>747</v>
      </c>
      <c r="C33" s="2741">
        <f t="shared" ref="C33:K33" si="5">SUM(C29:C32)</f>
        <v>25084.075499999999</v>
      </c>
      <c r="D33" s="2741">
        <f t="shared" si="5"/>
        <v>892.07456386427418</v>
      </c>
      <c r="E33" s="2741">
        <f t="shared" si="5"/>
        <v>239828.1970397722</v>
      </c>
      <c r="F33" s="2741">
        <f t="shared" si="5"/>
        <v>0</v>
      </c>
      <c r="G33" s="2741">
        <f t="shared" si="5"/>
        <v>0</v>
      </c>
      <c r="H33" s="2741">
        <f t="shared" si="5"/>
        <v>6331.9931580289785</v>
      </c>
      <c r="I33" s="2741">
        <f t="shared" si="5"/>
        <v>13228.647511760842</v>
      </c>
      <c r="J33" s="2741">
        <f t="shared" si="5"/>
        <v>3968.6577678585613</v>
      </c>
      <c r="K33" s="2741">
        <f t="shared" si="5"/>
        <v>289333.64554128487</v>
      </c>
      <c r="L33" s="2596"/>
      <c r="M33" s="2596"/>
    </row>
    <row r="34" spans="1:14" s="1164" customFormat="1" ht="16.5" customHeight="1" thickBot="1" x14ac:dyDescent="0.3">
      <c r="A34" s="1150"/>
      <c r="B34" s="2947" t="s">
        <v>108</v>
      </c>
      <c r="C34" s="2948"/>
      <c r="D34" s="2948"/>
      <c r="E34" s="2948"/>
      <c r="F34" s="2948"/>
      <c r="G34" s="2948"/>
      <c r="H34" s="2948"/>
      <c r="I34" s="2948"/>
      <c r="J34" s="2948"/>
      <c r="K34" s="2948"/>
      <c r="L34" s="2646"/>
      <c r="M34" s="2646"/>
    </row>
    <row r="35" spans="1:14" s="9" customFormat="1" ht="16.5" customHeight="1" thickBot="1" x14ac:dyDescent="0.3">
      <c r="A35" s="1150"/>
      <c r="B35" s="2737" t="s">
        <v>605</v>
      </c>
      <c r="C35" s="2738">
        <v>0</v>
      </c>
      <c r="D35" s="2738">
        <v>0</v>
      </c>
      <c r="E35" s="2738">
        <v>0</v>
      </c>
      <c r="F35" s="2738">
        <v>0</v>
      </c>
      <c r="G35" s="2738">
        <v>0</v>
      </c>
      <c r="H35" s="2738">
        <v>0</v>
      </c>
      <c r="I35" s="2738">
        <f>186292-100000</f>
        <v>86292</v>
      </c>
      <c r="J35" s="2738">
        <v>0</v>
      </c>
      <c r="K35" s="2738">
        <f>SUM(C35:J35)</f>
        <v>86292</v>
      </c>
      <c r="L35" s="2596"/>
      <c r="M35" s="2596"/>
    </row>
    <row r="36" spans="1:14" s="9" customFormat="1" ht="16.5" customHeight="1" thickBot="1" x14ac:dyDescent="0.3">
      <c r="A36" s="1150"/>
      <c r="B36" s="2739" t="s">
        <v>606</v>
      </c>
      <c r="C36" s="2738">
        <v>0</v>
      </c>
      <c r="D36" s="2738">
        <v>0</v>
      </c>
      <c r="E36" s="2738">
        <v>0</v>
      </c>
      <c r="F36" s="2738">
        <v>0</v>
      </c>
      <c r="G36" s="2738">
        <v>0</v>
      </c>
      <c r="H36" s="2738">
        <v>0</v>
      </c>
      <c r="I36" s="2738">
        <v>20000</v>
      </c>
      <c r="J36" s="2738">
        <v>0</v>
      </c>
      <c r="K36" s="2738">
        <f>SUM(C36:J36)</f>
        <v>20000</v>
      </c>
      <c r="L36" s="2596"/>
      <c r="M36" s="2596"/>
    </row>
    <row r="37" spans="1:14" s="9" customFormat="1" ht="16.5" customHeight="1" thickBot="1" x14ac:dyDescent="0.3">
      <c r="A37" s="1150"/>
      <c r="B37" s="2739" t="s">
        <v>748</v>
      </c>
      <c r="C37" s="2738">
        <v>0</v>
      </c>
      <c r="D37" s="2738">
        <v>0</v>
      </c>
      <c r="E37" s="2738">
        <v>50000</v>
      </c>
      <c r="F37" s="2738">
        <v>0</v>
      </c>
      <c r="G37" s="2738">
        <v>0</v>
      </c>
      <c r="H37" s="2738">
        <v>0</v>
      </c>
      <c r="I37" s="2738">
        <f>J37*0.65</f>
        <v>0</v>
      </c>
      <c r="J37" s="2738">
        <v>0</v>
      </c>
      <c r="K37" s="2738">
        <f>SUM(C37:J37)</f>
        <v>50000</v>
      </c>
      <c r="L37" s="2596"/>
      <c r="M37" s="2596"/>
    </row>
    <row r="38" spans="1:14" s="1164" customFormat="1" ht="16.5" customHeight="1" thickBot="1" x14ac:dyDescent="0.3">
      <c r="A38" s="1150"/>
      <c r="B38" s="2740" t="s">
        <v>749</v>
      </c>
      <c r="C38" s="2741">
        <f t="shared" ref="C38:K38" si="6">SUM(C35:C37)</f>
        <v>0</v>
      </c>
      <c r="D38" s="2741">
        <f t="shared" si="6"/>
        <v>0</v>
      </c>
      <c r="E38" s="2741">
        <f t="shared" si="6"/>
        <v>50000</v>
      </c>
      <c r="F38" s="2741">
        <f t="shared" si="6"/>
        <v>0</v>
      </c>
      <c r="G38" s="2741">
        <f t="shared" si="6"/>
        <v>0</v>
      </c>
      <c r="H38" s="2741">
        <f t="shared" si="6"/>
        <v>0</v>
      </c>
      <c r="I38" s="2741">
        <f t="shared" si="6"/>
        <v>106292</v>
      </c>
      <c r="J38" s="2741">
        <f t="shared" si="6"/>
        <v>0</v>
      </c>
      <c r="K38" s="2741">
        <f t="shared" si="6"/>
        <v>156292</v>
      </c>
      <c r="L38" s="2646"/>
      <c r="M38" s="2646"/>
    </row>
    <row r="39" spans="1:14" s="9" customFormat="1" ht="16.5" customHeight="1" thickBot="1" x14ac:dyDescent="0.3">
      <c r="A39" s="1150"/>
      <c r="B39" s="2947" t="s">
        <v>401</v>
      </c>
      <c r="C39" s="2948"/>
      <c r="D39" s="2948"/>
      <c r="E39" s="2948"/>
      <c r="F39" s="2948"/>
      <c r="G39" s="2948"/>
      <c r="H39" s="2948"/>
      <c r="I39" s="2948"/>
      <c r="J39" s="2948"/>
      <c r="K39" s="2948"/>
      <c r="L39" s="2596"/>
      <c r="M39" s="2596"/>
    </row>
    <row r="40" spans="1:14" s="9" customFormat="1" ht="16.5" customHeight="1" thickBot="1" x14ac:dyDescent="0.3">
      <c r="A40" s="1150"/>
      <c r="B40" s="2739" t="s">
        <v>330</v>
      </c>
      <c r="C40" s="2738">
        <f>126187*1.4155+10</f>
        <v>178627.6985</v>
      </c>
      <c r="D40" s="2738">
        <v>0</v>
      </c>
      <c r="E40" s="2738">
        <v>9383</v>
      </c>
      <c r="F40" s="2738">
        <v>0</v>
      </c>
      <c r="G40" s="2738">
        <v>0</v>
      </c>
      <c r="H40" s="2738">
        <v>0</v>
      </c>
      <c r="I40" s="2738"/>
      <c r="J40" s="2738">
        <v>0</v>
      </c>
      <c r="K40" s="2738">
        <f>SUM(C40:J40)</f>
        <v>188010.6985</v>
      </c>
      <c r="L40" s="2596"/>
      <c r="M40" s="2596"/>
    </row>
    <row r="41" spans="1:14" s="9" customFormat="1" ht="16.5" customHeight="1" thickBot="1" x14ac:dyDescent="0.3">
      <c r="A41" s="1150"/>
      <c r="B41" s="2739" t="s">
        <v>750</v>
      </c>
      <c r="C41" s="2738">
        <v>0</v>
      </c>
      <c r="D41" s="2738">
        <v>0</v>
      </c>
      <c r="E41" s="2738">
        <v>0</v>
      </c>
      <c r="F41" s="2738">
        <v>0</v>
      </c>
      <c r="G41" s="2738">
        <v>0</v>
      </c>
      <c r="H41" s="2738">
        <v>40100</v>
      </c>
      <c r="I41" s="2738"/>
      <c r="J41" s="2738">
        <v>0</v>
      </c>
      <c r="K41" s="2738">
        <f t="shared" ref="K41:K48" si="7">SUM(C41:J41)</f>
        <v>40100</v>
      </c>
      <c r="L41" s="2596"/>
      <c r="M41" s="2596"/>
    </row>
    <row r="42" spans="1:14" s="9" customFormat="1" ht="16.5" customHeight="1" thickBot="1" x14ac:dyDescent="0.3">
      <c r="A42" s="1150"/>
      <c r="B42" s="2739" t="s">
        <v>281</v>
      </c>
      <c r="C42" s="2738">
        <f>86293*1.4155</f>
        <v>122147.7415</v>
      </c>
      <c r="D42" s="2738">
        <v>0</v>
      </c>
      <c r="E42" s="2738">
        <v>0</v>
      </c>
      <c r="F42" s="2738">
        <v>0</v>
      </c>
      <c r="G42" s="2738">
        <v>0</v>
      </c>
      <c r="H42" s="2738">
        <v>0</v>
      </c>
      <c r="I42" s="2738"/>
      <c r="J42" s="2738">
        <v>0</v>
      </c>
      <c r="K42" s="2738">
        <f>SUM(C42:J42)</f>
        <v>122147.7415</v>
      </c>
      <c r="L42" s="2596"/>
      <c r="M42" s="2596"/>
    </row>
    <row r="43" spans="1:14" s="1159" customFormat="1" ht="16.5" customHeight="1" thickBot="1" x14ac:dyDescent="0.3">
      <c r="A43" s="1145"/>
      <c r="B43" s="2739" t="s">
        <v>751</v>
      </c>
      <c r="C43" s="2738">
        <v>0</v>
      </c>
      <c r="D43" s="2738">
        <v>0</v>
      </c>
      <c r="E43" s="2738">
        <v>300000</v>
      </c>
      <c r="F43" s="2738">
        <v>0</v>
      </c>
      <c r="G43" s="2738">
        <v>0</v>
      </c>
      <c r="H43" s="2738">
        <v>0</v>
      </c>
      <c r="I43" s="2738"/>
      <c r="J43" s="2738">
        <v>0</v>
      </c>
      <c r="K43" s="2738">
        <f>SUM(C43:J43)</f>
        <v>300000</v>
      </c>
      <c r="L43" s="2596"/>
      <c r="M43" s="2596"/>
      <c r="N43" s="9"/>
    </row>
    <row r="44" spans="1:14" s="9" customFormat="1" ht="16.5" customHeight="1" thickBot="1" x14ac:dyDescent="0.3">
      <c r="A44" s="1145"/>
      <c r="B44" s="2739" t="s">
        <v>752</v>
      </c>
      <c r="C44" s="2738">
        <v>0</v>
      </c>
      <c r="D44" s="2738">
        <v>0</v>
      </c>
      <c r="E44" s="2738">
        <v>29607</v>
      </c>
      <c r="F44" s="2738">
        <v>0</v>
      </c>
      <c r="G44" s="2738">
        <v>0</v>
      </c>
      <c r="H44" s="2738">
        <v>0</v>
      </c>
      <c r="I44" s="2738"/>
      <c r="J44" s="2738">
        <v>0</v>
      </c>
      <c r="K44" s="2738">
        <f>SUM(C44:J44)</f>
        <v>29607</v>
      </c>
      <c r="L44" s="2596"/>
      <c r="M44" s="2596"/>
    </row>
    <row r="45" spans="1:14" s="9" customFormat="1" ht="16.5" customHeight="1" thickBot="1" x14ac:dyDescent="0.3">
      <c r="A45" s="1150"/>
      <c r="B45" s="2739" t="s">
        <v>273</v>
      </c>
      <c r="C45" s="2738">
        <f>44861*1.4155</f>
        <v>63500.745499999997</v>
      </c>
      <c r="D45" s="2738">
        <v>0</v>
      </c>
      <c r="E45" s="2738">
        <v>521321</v>
      </c>
      <c r="F45" s="2738">
        <v>0</v>
      </c>
      <c r="G45" s="2738">
        <v>0</v>
      </c>
      <c r="H45" s="2738">
        <v>0</v>
      </c>
      <c r="I45" s="2738"/>
      <c r="J45" s="2738">
        <v>0</v>
      </c>
      <c r="K45" s="2738">
        <f t="shared" si="7"/>
        <v>584821.74549999996</v>
      </c>
      <c r="L45" s="2596"/>
      <c r="M45" s="2596"/>
    </row>
    <row r="46" spans="1:14" s="9" customFormat="1" ht="16.5" customHeight="1" thickBot="1" x14ac:dyDescent="0.3">
      <c r="A46" s="1145"/>
      <c r="B46" s="2739" t="s">
        <v>753</v>
      </c>
      <c r="C46" s="2738">
        <v>0</v>
      </c>
      <c r="D46" s="2738">
        <v>0</v>
      </c>
      <c r="E46" s="2738">
        <v>53333</v>
      </c>
      <c r="F46" s="2738">
        <v>0</v>
      </c>
      <c r="G46" s="2738">
        <v>0</v>
      </c>
      <c r="H46" s="2738">
        <v>0</v>
      </c>
      <c r="I46" s="2738"/>
      <c r="J46" s="2738">
        <v>0</v>
      </c>
      <c r="K46" s="2738">
        <f t="shared" si="7"/>
        <v>53333</v>
      </c>
      <c r="L46" s="2596"/>
      <c r="M46" s="2596"/>
    </row>
    <row r="47" spans="1:14" s="9" customFormat="1" ht="16.5" customHeight="1" thickBot="1" x14ac:dyDescent="0.3">
      <c r="A47" s="1145"/>
      <c r="B47" s="2739" t="s">
        <v>754</v>
      </c>
      <c r="C47" s="2738">
        <v>0</v>
      </c>
      <c r="D47" s="2738">
        <v>0</v>
      </c>
      <c r="E47" s="2738">
        <v>10000</v>
      </c>
      <c r="F47" s="2738">
        <v>0</v>
      </c>
      <c r="G47" s="2738">
        <v>0</v>
      </c>
      <c r="H47" s="2738">
        <v>0</v>
      </c>
      <c r="I47" s="2738"/>
      <c r="J47" s="2738">
        <v>0</v>
      </c>
      <c r="K47" s="2738">
        <f>SUM(C47:J47)</f>
        <v>10000</v>
      </c>
      <c r="L47" s="2596"/>
      <c r="M47" s="2596"/>
    </row>
    <row r="48" spans="1:14" s="9" customFormat="1" ht="16.5" customHeight="1" thickBot="1" x14ac:dyDescent="0.3">
      <c r="A48" s="1145"/>
      <c r="B48" s="2739" t="s">
        <v>755</v>
      </c>
      <c r="C48" s="2738">
        <v>0</v>
      </c>
      <c r="D48" s="2738">
        <f>+'CNG Table C 2013'!D44</f>
        <v>0</v>
      </c>
      <c r="E48" s="2738">
        <f>+'CNG Table C 2013'!E44</f>
        <v>0</v>
      </c>
      <c r="F48" s="2738">
        <v>0</v>
      </c>
      <c r="G48" s="2738">
        <f>+'CNG Table C 2013'!F44</f>
        <v>0</v>
      </c>
      <c r="H48" s="2738">
        <f>+'CNG Table C 2013'!G44</f>
        <v>0</v>
      </c>
      <c r="I48" s="2738">
        <f ca="1">'CNG Table A2'!$E$25</f>
        <v>701103.85858006671</v>
      </c>
      <c r="J48" s="2738">
        <v>0</v>
      </c>
      <c r="K48" s="2738">
        <f t="shared" ca="1" si="7"/>
        <v>701103.85858006671</v>
      </c>
      <c r="L48" s="2596"/>
      <c r="M48" s="2596"/>
    </row>
    <row r="49" spans="1:13" s="9" customFormat="1" ht="16.5" customHeight="1" thickBot="1" x14ac:dyDescent="0.3">
      <c r="A49" s="1145"/>
      <c r="B49" s="2740" t="s">
        <v>756</v>
      </c>
      <c r="C49" s="2741">
        <f>SUM(C40:C48)</f>
        <v>364276.18550000002</v>
      </c>
      <c r="D49" s="2741">
        <f t="shared" ref="D49:K49" si="8">SUM(D40:D48)</f>
        <v>0</v>
      </c>
      <c r="E49" s="2741">
        <f t="shared" si="8"/>
        <v>923644</v>
      </c>
      <c r="F49" s="2741">
        <f t="shared" si="8"/>
        <v>0</v>
      </c>
      <c r="G49" s="2741">
        <f t="shared" si="8"/>
        <v>0</v>
      </c>
      <c r="H49" s="2741">
        <f t="shared" si="8"/>
        <v>40100</v>
      </c>
      <c r="I49" s="2741">
        <f t="shared" ca="1" si="8"/>
        <v>701103.85858006671</v>
      </c>
      <c r="J49" s="2741">
        <f t="shared" si="8"/>
        <v>0</v>
      </c>
      <c r="K49" s="2741">
        <f t="shared" ca="1" si="8"/>
        <v>2029124.0440800665</v>
      </c>
      <c r="L49" s="2596"/>
      <c r="M49" s="2596"/>
    </row>
    <row r="50" spans="1:13" ht="19.5" customHeight="1" thickBot="1" x14ac:dyDescent="0.35">
      <c r="A50" s="83"/>
      <c r="B50" s="2742"/>
      <c r="C50" s="2743"/>
      <c r="D50" s="2743"/>
      <c r="E50" s="2743"/>
      <c r="F50" s="2743"/>
      <c r="G50" s="2743"/>
      <c r="H50" s="2743"/>
      <c r="I50" s="2743"/>
      <c r="J50" s="2743"/>
      <c r="K50" s="2744"/>
    </row>
    <row r="51" spans="1:13" ht="21" thickBot="1" x14ac:dyDescent="0.35">
      <c r="A51" s="83"/>
      <c r="B51" s="2740" t="s">
        <v>58</v>
      </c>
      <c r="C51" s="2741">
        <f t="shared" ref="C51:J51" si="9">+C17+C23+C27+C33+C38+C49</f>
        <v>1626149.915</v>
      </c>
      <c r="D51" s="2741">
        <f t="shared" si="9"/>
        <v>5792.0745638642738</v>
      </c>
      <c r="E51" s="2741">
        <f t="shared" si="9"/>
        <v>2007830.0007330379</v>
      </c>
      <c r="F51" s="2741">
        <f t="shared" si="9"/>
        <v>76500</v>
      </c>
      <c r="G51" s="2741">
        <f t="shared" si="9"/>
        <v>9386505.8066102099</v>
      </c>
      <c r="H51" s="2741">
        <f t="shared" si="9"/>
        <v>779203.99315802893</v>
      </c>
      <c r="I51" s="2741">
        <f t="shared" ca="1" si="9"/>
        <v>829285.5860918276</v>
      </c>
      <c r="J51" s="2741">
        <f t="shared" si="9"/>
        <v>104853.65776785856</v>
      </c>
      <c r="K51" s="2741">
        <f ca="1">+K17+K23+K27+K33+K38+K49</f>
        <v>14816121.033924829</v>
      </c>
    </row>
    <row r="53" spans="1:13" x14ac:dyDescent="0.2">
      <c r="C53" s="2833"/>
      <c r="K53" s="2501">
        <f>'CNG Table A2'!E16</f>
        <v>14816121.030181399</v>
      </c>
    </row>
    <row r="54" spans="1:13" x14ac:dyDescent="0.2">
      <c r="C54" s="2482"/>
    </row>
    <row r="55" spans="1:13" x14ac:dyDescent="0.2">
      <c r="J55" s="1172">
        <f ca="1">+J51/K51</f>
        <v>7.0769979219103716E-3</v>
      </c>
      <c r="K55" s="587">
        <f ca="1">+K53-K51</f>
        <v>-3.7434305995702744E-3</v>
      </c>
    </row>
    <row r="58" spans="1:13" x14ac:dyDescent="0.2">
      <c r="F58" s="134"/>
    </row>
    <row r="59" spans="1:13" x14ac:dyDescent="0.2">
      <c r="F59" s="134"/>
    </row>
    <row r="60" spans="1:13" x14ac:dyDescent="0.2">
      <c r="F60" s="134"/>
    </row>
    <row r="61" spans="1:13" x14ac:dyDescent="0.2">
      <c r="F61" s="134"/>
    </row>
    <row r="62" spans="1:13" x14ac:dyDescent="0.2">
      <c r="F62" s="134"/>
      <c r="K62" s="1172"/>
    </row>
    <row r="63" spans="1:13" x14ac:dyDescent="0.2">
      <c r="F63" s="134"/>
      <c r="K63" s="1172"/>
    </row>
    <row r="64" spans="1:13" x14ac:dyDescent="0.2">
      <c r="K64" s="1172"/>
    </row>
  </sheetData>
  <mergeCells count="8">
    <mergeCell ref="B34:K34"/>
    <mergeCell ref="B39:K39"/>
    <mergeCell ref="B24:K24"/>
    <mergeCell ref="B18:K18"/>
    <mergeCell ref="B1:K1"/>
    <mergeCell ref="B2:K2"/>
    <mergeCell ref="B11:K11"/>
    <mergeCell ref="B28:K28"/>
  </mergeCells>
  <printOptions horizontalCentered="1" verticalCentered="1"/>
  <pageMargins left="0.61" right="0.31" top="0.2" bottom="0.43" header="0.2" footer="0.18"/>
  <pageSetup scale="35" orientation="landscape" r:id="rId1"/>
  <headerFooter alignWithMargins="0">
    <oddFooter>&amp;C&amp;1#&amp;"Calibri"&amp;12&amp;K008000Internal Use</oddFooter>
  </headerFooter>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tabColor indexed="47"/>
    <pageSetUpPr fitToPage="1"/>
  </sheetPr>
  <dimension ref="A1:S64"/>
  <sheetViews>
    <sheetView zoomScale="90" zoomScaleNormal="90" workbookViewId="0">
      <pane xSplit="2" ySplit="11" topLeftCell="C30" activePane="bottomRight" state="frozen"/>
      <selection activeCell="C12" sqref="C12"/>
      <selection pane="topRight" activeCell="C12" sqref="C12"/>
      <selection pane="bottomLeft" activeCell="C12" sqref="C12"/>
      <selection pane="bottomRight" activeCell="C12" sqref="C12:J16"/>
    </sheetView>
  </sheetViews>
  <sheetFormatPr defaultRowHeight="12.75" x14ac:dyDescent="0.2"/>
  <cols>
    <col min="1" max="1" width="7.140625" style="49" customWidth="1"/>
    <col min="2" max="2" width="60.42578125" style="49" customWidth="1"/>
    <col min="3" max="3" width="20.42578125" style="64" customWidth="1"/>
    <col min="4" max="6" width="20.42578125" style="63" customWidth="1"/>
    <col min="7" max="11" width="20.42578125" style="49" customWidth="1"/>
    <col min="12" max="12" width="12.5703125" style="2469" bestFit="1" customWidth="1"/>
    <col min="13" max="13" width="2.140625" style="49" customWidth="1"/>
    <col min="14" max="14" width="11.5703125" style="49" bestFit="1" customWidth="1"/>
    <col min="15" max="15" width="13.28515625" style="49" bestFit="1" customWidth="1"/>
    <col min="16" max="17" width="9.140625" style="49"/>
    <col min="18" max="18" width="12.7109375" style="49" bestFit="1" customWidth="1"/>
    <col min="19" max="19" width="13.28515625" style="49" bestFit="1" customWidth="1"/>
    <col min="20" max="16384" width="9.140625" style="49"/>
  </cols>
  <sheetData>
    <row r="1" spans="1:19" ht="26.25" x14ac:dyDescent="0.4">
      <c r="B1" s="2884" t="s">
        <v>82</v>
      </c>
      <c r="C1" s="2884"/>
      <c r="D1" s="2884"/>
      <c r="E1" s="2884"/>
      <c r="F1" s="2884"/>
      <c r="G1" s="2884"/>
      <c r="H1" s="2884"/>
      <c r="I1" s="2884"/>
      <c r="J1" s="2884"/>
      <c r="K1" s="2884"/>
    </row>
    <row r="2" spans="1:19" ht="26.25" x14ac:dyDescent="0.4">
      <c r="B2" s="2884" t="s">
        <v>723</v>
      </c>
      <c r="C2" s="2884"/>
      <c r="D2" s="2884"/>
      <c r="E2" s="2884"/>
      <c r="F2" s="2884"/>
      <c r="G2" s="2884"/>
      <c r="H2" s="2884"/>
      <c r="I2" s="2884"/>
      <c r="J2" s="2884"/>
      <c r="K2" s="2884"/>
    </row>
    <row r="3" spans="1:19" ht="26.25" hidden="1" x14ac:dyDescent="0.4">
      <c r="B3" s="1894"/>
      <c r="C3" s="1894"/>
      <c r="D3" s="1894"/>
      <c r="E3" s="1894"/>
      <c r="F3" s="1894"/>
      <c r="G3" s="1894"/>
      <c r="H3" s="1894"/>
      <c r="I3" s="1894"/>
      <c r="J3" s="1894"/>
      <c r="K3" s="1894"/>
    </row>
    <row r="4" spans="1:19" ht="26.25" hidden="1" x14ac:dyDescent="0.4">
      <c r="B4" s="1894"/>
      <c r="C4" s="1894"/>
      <c r="D4" s="1894"/>
      <c r="E4" s="1894"/>
      <c r="F4" s="1894"/>
      <c r="G4" s="1894"/>
      <c r="H4" s="1894"/>
      <c r="I4" s="1894"/>
      <c r="J4" s="1894"/>
      <c r="K4" s="1894"/>
    </row>
    <row r="5" spans="1:19" ht="26.25" hidden="1" x14ac:dyDescent="0.4">
      <c r="B5" s="1894"/>
      <c r="C5" s="1894"/>
      <c r="D5" s="1894"/>
      <c r="E5" s="1894"/>
      <c r="F5" s="1894"/>
      <c r="G5" s="1894"/>
      <c r="H5" s="1894"/>
      <c r="I5" s="1894"/>
      <c r="J5" s="1894"/>
      <c r="K5" s="1894"/>
    </row>
    <row r="6" spans="1:19" ht="26.25" hidden="1" x14ac:dyDescent="0.4">
      <c r="B6" s="1894"/>
      <c r="C6" s="1894"/>
      <c r="D6" s="1894"/>
      <c r="E6" s="1894"/>
      <c r="F6" s="1894"/>
      <c r="G6" s="1894"/>
      <c r="H6" s="1894"/>
      <c r="I6" s="1894"/>
      <c r="J6" s="1894"/>
      <c r="K6" s="1894"/>
    </row>
    <row r="7" spans="1:19" ht="26.25" hidden="1" x14ac:dyDescent="0.4">
      <c r="B7" s="1894"/>
      <c r="C7" s="1894"/>
      <c r="D7" s="1894"/>
      <c r="E7" s="1894"/>
      <c r="F7" s="1894"/>
      <c r="G7" s="1894"/>
      <c r="H7" s="1894"/>
      <c r="I7" s="1894"/>
      <c r="J7" s="1894"/>
      <c r="K7" s="1894"/>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51.75"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row>
    <row r="11" spans="1:19" ht="21" thickBot="1" x14ac:dyDescent="0.35">
      <c r="A11" s="21"/>
      <c r="B11" s="2949" t="s">
        <v>5</v>
      </c>
      <c r="C11" s="2950"/>
      <c r="D11" s="2950"/>
      <c r="E11" s="2950"/>
      <c r="F11" s="2950"/>
      <c r="G11" s="2950"/>
      <c r="H11" s="2950"/>
      <c r="I11" s="2950"/>
      <c r="J11" s="2950"/>
      <c r="K11" s="2950"/>
    </row>
    <row r="12" spans="1:19" ht="21" thickBot="1" x14ac:dyDescent="0.35">
      <c r="A12" s="83"/>
      <c r="B12" s="2737" t="s">
        <v>741</v>
      </c>
      <c r="C12" s="2738">
        <v>48454.041348089122</v>
      </c>
      <c r="D12" s="2738">
        <v>100</v>
      </c>
      <c r="E12" s="2839">
        <v>1565.9299999999998</v>
      </c>
      <c r="F12" s="2839">
        <v>750</v>
      </c>
      <c r="G12" s="2839">
        <v>236535.96774909101</v>
      </c>
      <c r="H12" s="2738">
        <v>5105.6149999999998</v>
      </c>
      <c r="I12" s="2738">
        <v>437.5</v>
      </c>
      <c r="J12" s="2738">
        <v>812.5</v>
      </c>
      <c r="K12" s="2738">
        <f>SUM(C12:J12)</f>
        <v>293761.55409718014</v>
      </c>
      <c r="L12" s="2469">
        <f ca="1">$L$17*K12/$K$17</f>
        <v>-4.2967770360704322E-5</v>
      </c>
      <c r="M12" s="2469"/>
      <c r="N12" s="2469">
        <v>-16699.876915762503</v>
      </c>
      <c r="O12" s="2469">
        <f>+N12+G12</f>
        <v>219836.09083332852</v>
      </c>
      <c r="Q12" s="1172"/>
      <c r="R12" s="2469"/>
      <c r="S12" s="587">
        <f>+G12+R12</f>
        <v>236535.96774909101</v>
      </c>
    </row>
    <row r="13" spans="1:19" ht="21" thickBot="1" x14ac:dyDescent="0.35">
      <c r="A13" s="83"/>
      <c r="B13" s="2737" t="s">
        <v>742</v>
      </c>
      <c r="C13" s="2738">
        <v>268192.57231932</v>
      </c>
      <c r="D13" s="2738">
        <v>700</v>
      </c>
      <c r="E13" s="2839">
        <v>217733.02000000002</v>
      </c>
      <c r="F13" s="2839">
        <v>50000</v>
      </c>
      <c r="G13" s="2839">
        <v>2645728.3724771901</v>
      </c>
      <c r="H13" s="2738">
        <v>130639.09</v>
      </c>
      <c r="I13" s="2738">
        <v>1409.4499999999998</v>
      </c>
      <c r="J13" s="2738">
        <v>2618</v>
      </c>
      <c r="K13" s="2738">
        <f>SUM(C13:J13)</f>
        <v>3317020.5047965101</v>
      </c>
      <c r="L13" s="2469">
        <f ca="1">$L$17*K13/$K$17</f>
        <v>-4.8517232205510071E-4</v>
      </c>
      <c r="M13" s="2469"/>
      <c r="N13" s="2469">
        <v>-71099.170489746859</v>
      </c>
      <c r="O13" s="2469">
        <f t="shared" ref="O13:O23" si="0">+N13+G13</f>
        <v>2574629.201987443</v>
      </c>
      <c r="Q13" s="1172">
        <f>K13/($K$13+$K$15+$K$16)</f>
        <v>0.40325643978421455</v>
      </c>
      <c r="R13" s="2469">
        <f ca="1">+$K$55*Q13</f>
        <v>-8.1360737465423346E-4</v>
      </c>
      <c r="S13" s="587">
        <f t="shared" ref="S13:S16" ca="1" si="1">+G13+R13</f>
        <v>2645728.3716635825</v>
      </c>
    </row>
    <row r="14" spans="1:19" ht="21" thickBot="1" x14ac:dyDescent="0.35">
      <c r="A14" s="83"/>
      <c r="B14" s="2737" t="s">
        <v>759</v>
      </c>
      <c r="C14" s="2738">
        <v>55914.526388998245</v>
      </c>
      <c r="D14" s="2738">
        <v>325</v>
      </c>
      <c r="E14" s="2839">
        <v>97937.092500000013</v>
      </c>
      <c r="F14" s="2839">
        <v>3900</v>
      </c>
      <c r="G14" s="2839">
        <v>875602.49882048019</v>
      </c>
      <c r="H14" s="2738">
        <v>26709.923500000001</v>
      </c>
      <c r="I14" s="2738">
        <v>682.5</v>
      </c>
      <c r="J14" s="2738">
        <v>1267.5</v>
      </c>
      <c r="K14" s="2738">
        <f>SUM(C14:J14)</f>
        <v>1062339.0412094784</v>
      </c>
      <c r="L14" s="2469">
        <f ca="1">$L$17*K14/$K$17</f>
        <v>-1.5538568383526209E-4</v>
      </c>
      <c r="M14" s="2469"/>
      <c r="N14" s="2469">
        <v>-44333.040188371386</v>
      </c>
      <c r="O14" s="2469">
        <f t="shared" si="0"/>
        <v>831269.45863210876</v>
      </c>
      <c r="Q14" s="1172"/>
      <c r="R14" s="2469"/>
      <c r="S14" s="587">
        <f t="shared" si="1"/>
        <v>875602.49882048019</v>
      </c>
    </row>
    <row r="15" spans="1:19" ht="21" thickBot="1" x14ac:dyDescent="0.35">
      <c r="A15" s="83"/>
      <c r="B15" s="2737" t="s">
        <v>283</v>
      </c>
      <c r="C15" s="2738">
        <v>268192.57231932</v>
      </c>
      <c r="D15" s="2738">
        <v>1000</v>
      </c>
      <c r="E15" s="2839">
        <v>47800.4</v>
      </c>
      <c r="F15" s="2839">
        <v>6000</v>
      </c>
      <c r="G15" s="2839">
        <v>4312395.5223903898</v>
      </c>
      <c r="H15" s="2738">
        <v>99421.42</v>
      </c>
      <c r="I15" s="2738">
        <v>909.99999999999989</v>
      </c>
      <c r="J15" s="2738">
        <v>1690</v>
      </c>
      <c r="K15" s="2738">
        <f>SUM(C15:J15)</f>
        <v>4737409.9147097096</v>
      </c>
      <c r="L15" s="2469">
        <f ca="1">$L$17*K15/$K$17</f>
        <v>-6.9292914093323362E-4</v>
      </c>
      <c r="M15" s="2469"/>
      <c r="N15" s="2469">
        <v>-95803.2557589598</v>
      </c>
      <c r="O15" s="2469">
        <f t="shared" si="0"/>
        <v>4216592.26663143</v>
      </c>
      <c r="Q15" s="1172">
        <f>K15/($K$13+$K$15+$K$16)</f>
        <v>0.57593585967943062</v>
      </c>
      <c r="R15" s="2469">
        <f t="shared" ref="R15:R16" ca="1" si="2">+$K$55*Q15</f>
        <v>-1.1620041654232581E-3</v>
      </c>
      <c r="S15" s="587">
        <f t="shared" ca="1" si="1"/>
        <v>4312395.5212283861</v>
      </c>
    </row>
    <row r="16" spans="1:19" ht="21" thickBot="1" x14ac:dyDescent="0.35">
      <c r="A16" s="83"/>
      <c r="B16" s="2739" t="s">
        <v>531</v>
      </c>
      <c r="C16" s="2738">
        <v>24577.813797361869</v>
      </c>
      <c r="D16" s="2738">
        <v>100</v>
      </c>
      <c r="E16" s="2839">
        <v>146477.71535844609</v>
      </c>
      <c r="F16" s="2839">
        <v>0</v>
      </c>
      <c r="G16" s="2839">
        <v>0</v>
      </c>
      <c r="H16" s="2738">
        <v>0</v>
      </c>
      <c r="I16" s="2738">
        <v>0</v>
      </c>
      <c r="J16" s="2738">
        <v>0</v>
      </c>
      <c r="K16" s="2738">
        <f>SUM(C16:J16)</f>
        <v>171155.52915580795</v>
      </c>
      <c r="L16" s="2469">
        <f ca="1">$L$17*K16/$K$17</f>
        <v>-2.5034492669856772E-5</v>
      </c>
      <c r="M16" s="2469"/>
      <c r="N16" s="2469">
        <v>-3679.9178357498208</v>
      </c>
      <c r="O16" s="2469">
        <f>+N16+E16</f>
        <v>142797.79752269626</v>
      </c>
      <c r="Q16" s="1172">
        <f>K16/($K$13+$K$15+$K$16)</f>
        <v>2.0807700536354869E-2</v>
      </c>
      <c r="R16" s="2469">
        <f t="shared" ca="1" si="2"/>
        <v>-4.1981471182541216E-5</v>
      </c>
      <c r="S16" s="587">
        <f t="shared" ca="1" si="1"/>
        <v>-4.1981471182541216E-5</v>
      </c>
    </row>
    <row r="17" spans="1:19" ht="21" thickBot="1" x14ac:dyDescent="0.35">
      <c r="A17" s="84"/>
      <c r="B17" s="2740" t="s">
        <v>743</v>
      </c>
      <c r="C17" s="2741">
        <f t="shared" ref="C17:K17" si="3">SUM(C12:C16)</f>
        <v>665331.52617308928</v>
      </c>
      <c r="D17" s="2741">
        <f t="shared" si="3"/>
        <v>2225</v>
      </c>
      <c r="E17" s="2741">
        <f t="shared" si="3"/>
        <v>511514.15785844612</v>
      </c>
      <c r="F17" s="2741">
        <f t="shared" si="3"/>
        <v>60650</v>
      </c>
      <c r="G17" s="2741">
        <f t="shared" si="3"/>
        <v>8070262.3614371512</v>
      </c>
      <c r="H17" s="2741">
        <f t="shared" si="3"/>
        <v>261876.04849999998</v>
      </c>
      <c r="I17" s="2741">
        <f t="shared" si="3"/>
        <v>3439.45</v>
      </c>
      <c r="J17" s="2741">
        <f t="shared" si="3"/>
        <v>6388</v>
      </c>
      <c r="K17" s="2741">
        <f t="shared" si="3"/>
        <v>9581686.5439686868</v>
      </c>
      <c r="L17" s="2469">
        <f ca="1">$K$55*K17/($K$17+$K$23)</f>
        <v>-1.4014894098541577E-3</v>
      </c>
      <c r="M17" s="2469"/>
      <c r="N17" s="2469">
        <v>-231615.26118859038</v>
      </c>
      <c r="O17" s="2469">
        <f t="shared" si="0"/>
        <v>7838647.1002485612</v>
      </c>
      <c r="Q17" s="1172">
        <f t="shared" ref="Q17" si="4">+K17/$K$17</f>
        <v>1</v>
      </c>
      <c r="R17" s="2469"/>
    </row>
    <row r="18" spans="1:19" ht="21" thickBot="1" x14ac:dyDescent="0.35">
      <c r="A18" s="84"/>
      <c r="B18" s="2949" t="s">
        <v>6</v>
      </c>
      <c r="C18" s="2950"/>
      <c r="D18" s="2950"/>
      <c r="E18" s="2950"/>
      <c r="F18" s="2950"/>
      <c r="G18" s="2950"/>
      <c r="H18" s="2950"/>
      <c r="I18" s="2950"/>
      <c r="J18" s="2950"/>
      <c r="K18" s="2950"/>
      <c r="M18" s="2469"/>
      <c r="N18" s="2469"/>
      <c r="O18" s="2469">
        <f t="shared" si="0"/>
        <v>0</v>
      </c>
      <c r="S18" s="49">
        <v>16914.84</v>
      </c>
    </row>
    <row r="19" spans="1:19" ht="21" thickBot="1" x14ac:dyDescent="0.35">
      <c r="A19" s="83"/>
      <c r="B19" s="2737" t="s">
        <v>285</v>
      </c>
      <c r="C19" s="2738">
        <v>150457.7415</v>
      </c>
      <c r="D19" s="2738">
        <v>1000</v>
      </c>
      <c r="E19" s="2738">
        <v>47970.369999999995</v>
      </c>
      <c r="F19" s="2738">
        <v>3000</v>
      </c>
      <c r="G19" s="2738">
        <v>1532093.1731147869</v>
      </c>
      <c r="H19" s="2738">
        <v>216667.76</v>
      </c>
      <c r="I19" s="2738">
        <v>3416.63</v>
      </c>
      <c r="J19" s="2738">
        <v>20502</v>
      </c>
      <c r="K19" s="2738">
        <f>SUM(C19:J19)</f>
        <v>1975107.6746147869</v>
      </c>
      <c r="L19" s="2469">
        <f ca="1">$L$23*K19/$K$23</f>
        <v>-2.88894076903059E-4</v>
      </c>
      <c r="M19" s="2469"/>
      <c r="N19" s="2469">
        <v>-35175.933580707337</v>
      </c>
      <c r="O19" s="2469">
        <f t="shared" si="0"/>
        <v>1496917.2395340796</v>
      </c>
      <c r="Q19" s="2836">
        <v>0.51067006698658213</v>
      </c>
      <c r="R19" s="2836">
        <f>+$G$23*Q19</f>
        <v>1532093.1731147871</v>
      </c>
    </row>
    <row r="20" spans="1:19" ht="21" thickBot="1" x14ac:dyDescent="0.35">
      <c r="A20" s="83"/>
      <c r="B20" s="2737" t="s">
        <v>275</v>
      </c>
      <c r="C20" s="2738">
        <v>150457.7415</v>
      </c>
      <c r="D20" s="2738">
        <v>700</v>
      </c>
      <c r="E20" s="2738">
        <v>26315.72</v>
      </c>
      <c r="F20" s="2738">
        <v>4000</v>
      </c>
      <c r="G20" s="2738">
        <v>810861.38075174158</v>
      </c>
      <c r="H20" s="2738">
        <v>155132.94</v>
      </c>
      <c r="I20" s="2738">
        <v>250</v>
      </c>
      <c r="J20" s="2738">
        <v>5000</v>
      </c>
      <c r="K20" s="2738">
        <f>SUM(C20:J20)</f>
        <v>1152717.7822517415</v>
      </c>
      <c r="L20" s="2469">
        <f ca="1">$L$23*K20/$K$23</f>
        <v>-1.6860515703191073E-4</v>
      </c>
      <c r="M20" s="2469"/>
      <c r="N20" s="2469">
        <v>-20173.967819572656</v>
      </c>
      <c r="O20" s="2469">
        <f t="shared" si="0"/>
        <v>790687.41293216893</v>
      </c>
      <c r="Q20" s="2836">
        <v>0.27027248922693337</v>
      </c>
      <c r="R20" s="2836">
        <f t="shared" ref="R20:R22" si="5">+$G$23*Q20</f>
        <v>810861.3807517417</v>
      </c>
    </row>
    <row r="21" spans="1:19" ht="21" thickBot="1" x14ac:dyDescent="0.35">
      <c r="A21" s="83"/>
      <c r="B21" s="2737" t="s">
        <v>744</v>
      </c>
      <c r="C21" s="2738">
        <v>121902.2895</v>
      </c>
      <c r="D21" s="2738">
        <v>500</v>
      </c>
      <c r="E21" s="2738">
        <v>7112.4499999999971</v>
      </c>
      <c r="F21" s="2738">
        <v>1000</v>
      </c>
      <c r="G21" s="2738">
        <v>415111.08150521806</v>
      </c>
      <c r="H21" s="2738">
        <v>55386.979999999996</v>
      </c>
      <c r="I21" s="2738">
        <v>250</v>
      </c>
      <c r="J21" s="2738">
        <v>7500</v>
      </c>
      <c r="K21" s="2738">
        <f>SUM(C21:J21)</f>
        <v>608762.80100521806</v>
      </c>
      <c r="L21" s="2469">
        <f ca="1">$L$23*K21/$K$23</f>
        <v>-8.9042217652069659E-5</v>
      </c>
      <c r="M21" s="2469"/>
      <c r="N21" s="2469">
        <v>-11788.944670184868</v>
      </c>
      <c r="O21" s="2469">
        <f t="shared" si="0"/>
        <v>403322.13683503319</v>
      </c>
      <c r="Q21" s="2836">
        <v>0.13836286690591501</v>
      </c>
      <c r="R21" s="2836">
        <f t="shared" si="5"/>
        <v>415111.08150521811</v>
      </c>
    </row>
    <row r="22" spans="1:19" ht="21" thickBot="1" x14ac:dyDescent="0.35">
      <c r="A22" s="84"/>
      <c r="B22" s="2739" t="s">
        <v>245</v>
      </c>
      <c r="C22" s="2738">
        <v>84314.257499999992</v>
      </c>
      <c r="D22" s="2738">
        <v>200</v>
      </c>
      <c r="E22" s="2738">
        <f>54000+5250.21</f>
        <v>59250.21</v>
      </c>
      <c r="F22" s="2738">
        <v>5000</v>
      </c>
      <c r="G22" s="2738">
        <v>242096.84165677842</v>
      </c>
      <c r="H22" s="2738">
        <v>24220.39</v>
      </c>
      <c r="I22" s="2738">
        <v>500</v>
      </c>
      <c r="J22" s="2738">
        <v>60000</v>
      </c>
      <c r="K22" s="2738">
        <f>SUM(C22:J22)</f>
        <v>475581.6991567784</v>
      </c>
      <c r="L22" s="2469">
        <f ca="1">$L$23*K22/$K$23</f>
        <v>-6.9562149818835597E-5</v>
      </c>
      <c r="M22" s="2469"/>
      <c r="N22" s="2469">
        <v>-6861.1539295351331</v>
      </c>
      <c r="O22" s="2469">
        <f t="shared" si="0"/>
        <v>235235.68772724329</v>
      </c>
      <c r="Q22" s="2836">
        <v>8.0694576880569607E-2</v>
      </c>
      <c r="R22" s="2836">
        <f t="shared" si="5"/>
        <v>242096.84165677844</v>
      </c>
    </row>
    <row r="23" spans="1:19" ht="21" thickBot="1" x14ac:dyDescent="0.35">
      <c r="A23" s="84"/>
      <c r="B23" s="2740" t="s">
        <v>745</v>
      </c>
      <c r="C23" s="2741">
        <f>SUM(C19:C22)</f>
        <v>507132.03</v>
      </c>
      <c r="D23" s="2741">
        <f t="shared" ref="D23:K23" si="6">SUM(D19:D22)</f>
        <v>2400</v>
      </c>
      <c r="E23" s="2741">
        <f t="shared" si="6"/>
        <v>140648.75</v>
      </c>
      <c r="F23" s="2741">
        <f t="shared" si="6"/>
        <v>13000</v>
      </c>
      <c r="G23" s="2741">
        <f t="shared" si="6"/>
        <v>3000162.477028525</v>
      </c>
      <c r="H23" s="2741">
        <f t="shared" si="6"/>
        <v>451408.07</v>
      </c>
      <c r="I23" s="2741">
        <f t="shared" si="6"/>
        <v>4416.63</v>
      </c>
      <c r="J23" s="2741">
        <f t="shared" si="6"/>
        <v>93002</v>
      </c>
      <c r="K23" s="2741">
        <f t="shared" si="6"/>
        <v>4212169.957028525</v>
      </c>
      <c r="L23" s="2469">
        <f ca="1">$K$55*K23/($K$17+$K$23)</f>
        <v>-6.1610360140587498E-4</v>
      </c>
      <c r="M23" s="2469"/>
      <c r="N23" s="2469">
        <v>-101819.53255269356</v>
      </c>
      <c r="O23" s="2469">
        <f t="shared" si="0"/>
        <v>2898342.9444758315</v>
      </c>
      <c r="Q23" s="2836">
        <v>1</v>
      </c>
    </row>
    <row r="24" spans="1:19" ht="21" thickBot="1" x14ac:dyDescent="0.35">
      <c r="A24" s="84"/>
      <c r="B24" s="2947" t="s">
        <v>737</v>
      </c>
      <c r="C24" s="2948"/>
      <c r="D24" s="2948"/>
      <c r="E24" s="2948"/>
      <c r="F24" s="2948"/>
      <c r="G24" s="2948"/>
      <c r="H24" s="2948"/>
      <c r="I24" s="2948"/>
      <c r="J24" s="2948"/>
      <c r="K24" s="2948"/>
      <c r="M24" s="2469"/>
      <c r="N24" s="2469"/>
      <c r="O24" s="2469"/>
    </row>
    <row r="25" spans="1:19" ht="21" thickBot="1" x14ac:dyDescent="0.35">
      <c r="A25" s="84"/>
      <c r="B25" s="2737" t="s">
        <v>739</v>
      </c>
      <c r="C25" s="2738">
        <v>42884</v>
      </c>
      <c r="D25" s="2738"/>
      <c r="E25" s="2738">
        <f>41720*1.05</f>
        <v>43806</v>
      </c>
      <c r="F25" s="2738"/>
      <c r="G25" s="2738">
        <f>61250*1.05</f>
        <v>64312.5</v>
      </c>
      <c r="H25" s="2738"/>
      <c r="I25" s="2738"/>
      <c r="J25" s="2738"/>
      <c r="K25" s="2738">
        <f>SUM(C25:J25)</f>
        <v>151002.5</v>
      </c>
      <c r="L25" s="1172">
        <f>+K25/'CNG Table C 2022'!K25-1</f>
        <v>1.0705979952555293</v>
      </c>
      <c r="M25" s="2469"/>
      <c r="N25" s="2469"/>
      <c r="O25" s="2469"/>
    </row>
    <row r="26" spans="1:19" ht="21" thickBot="1" x14ac:dyDescent="0.35">
      <c r="A26" s="84"/>
      <c r="B26" s="2739" t="s">
        <v>738</v>
      </c>
      <c r="C26" s="2738">
        <v>42884</v>
      </c>
      <c r="D26" s="2738"/>
      <c r="E26" s="2738">
        <f>1.03*102792</f>
        <v>105875.76000000001</v>
      </c>
      <c r="F26" s="2738"/>
      <c r="G26" s="2738">
        <f>1.03*37500</f>
        <v>38625</v>
      </c>
      <c r="H26" s="2738"/>
      <c r="I26" s="2738"/>
      <c r="J26" s="2738"/>
      <c r="K26" s="2738">
        <f>SUM(C26:J26)</f>
        <v>187384.76</v>
      </c>
      <c r="L26" s="1172">
        <f>+K26/'CNG Table C 2022'!K26-1</f>
        <v>2.2976590819758114E-2</v>
      </c>
      <c r="M26" s="2469"/>
      <c r="N26" s="2469"/>
      <c r="O26" s="2469"/>
    </row>
    <row r="27" spans="1:19" ht="21" thickBot="1" x14ac:dyDescent="0.35">
      <c r="A27" s="84"/>
      <c r="B27" s="2740" t="s">
        <v>758</v>
      </c>
      <c r="C27" s="2741">
        <f t="shared" ref="C27:K27" si="7">SUM(C25:C26)</f>
        <v>85768</v>
      </c>
      <c r="D27" s="2741">
        <f t="shared" si="7"/>
        <v>0</v>
      </c>
      <c r="E27" s="2741">
        <f t="shared" si="7"/>
        <v>149681.76</v>
      </c>
      <c r="F27" s="2741">
        <f t="shared" si="7"/>
        <v>0</v>
      </c>
      <c r="G27" s="2741">
        <f t="shared" si="7"/>
        <v>102937.5</v>
      </c>
      <c r="H27" s="2741">
        <f t="shared" si="7"/>
        <v>0</v>
      </c>
      <c r="I27" s="2741">
        <f t="shared" si="7"/>
        <v>0</v>
      </c>
      <c r="J27" s="2741">
        <f t="shared" si="7"/>
        <v>0</v>
      </c>
      <c r="K27" s="2741">
        <f t="shared" si="7"/>
        <v>338387.26</v>
      </c>
      <c r="M27" s="2469"/>
      <c r="N27" s="2469">
        <v>0.65</v>
      </c>
      <c r="O27" s="2469"/>
    </row>
    <row r="28" spans="1:19" s="9" customFormat="1" ht="16.5" customHeight="1" thickBot="1" x14ac:dyDescent="0.3">
      <c r="A28" s="1145"/>
      <c r="B28" s="2947" t="s">
        <v>746</v>
      </c>
      <c r="C28" s="2948"/>
      <c r="D28" s="2948"/>
      <c r="E28" s="2948"/>
      <c r="F28" s="2948"/>
      <c r="G28" s="2948"/>
      <c r="H28" s="2948"/>
      <c r="I28" s="2948"/>
      <c r="J28" s="2948"/>
      <c r="K28" s="2948"/>
      <c r="L28" s="2596"/>
      <c r="N28" s="9">
        <v>0.5</v>
      </c>
    </row>
    <row r="29" spans="1:19" s="9" customFormat="1" ht="16.5" customHeight="1" thickBot="1" x14ac:dyDescent="0.3">
      <c r="A29" s="1150"/>
      <c r="B29" s="2737" t="s">
        <v>763</v>
      </c>
      <c r="C29" s="2738">
        <v>10328.9035</v>
      </c>
      <c r="D29" s="2738">
        <v>363.01291648920721</v>
      </c>
      <c r="E29" s="2738">
        <v>53183.550462429499</v>
      </c>
      <c r="F29" s="2738">
        <v>0</v>
      </c>
      <c r="G29" s="2738">
        <v>0</v>
      </c>
      <c r="H29" s="2738">
        <v>1814.7484963955119</v>
      </c>
      <c r="I29" s="2738">
        <v>8443.7430039617593</v>
      </c>
      <c r="J29" s="2738">
        <v>2533.122901188528</v>
      </c>
      <c r="K29" s="2738">
        <f>SUM(C29:J29)</f>
        <v>76667.08128046451</v>
      </c>
      <c r="L29" s="2596"/>
    </row>
    <row r="30" spans="1:19" s="9" customFormat="1" ht="16.5" customHeight="1" thickBot="1" x14ac:dyDescent="0.3">
      <c r="A30" s="1150"/>
      <c r="B30" s="2737" t="s">
        <v>764</v>
      </c>
      <c r="C30" s="2738">
        <v>0</v>
      </c>
      <c r="D30" s="2738">
        <v>0</v>
      </c>
      <c r="E30" s="2738">
        <v>82666.66</v>
      </c>
      <c r="F30" s="2738">
        <v>0</v>
      </c>
      <c r="G30" s="2738">
        <v>0</v>
      </c>
      <c r="H30" s="2738">
        <v>0</v>
      </c>
      <c r="I30" s="2738">
        <v>0</v>
      </c>
      <c r="J30" s="2738">
        <v>0</v>
      </c>
      <c r="K30" s="2738">
        <f>SUM(C30:J30)</f>
        <v>82666.66</v>
      </c>
      <c r="L30" s="2596"/>
    </row>
    <row r="31" spans="1:19" s="9" customFormat="1" ht="16.5" customHeight="1" thickBot="1" x14ac:dyDescent="0.3">
      <c r="A31" s="1150"/>
      <c r="B31" s="2739" t="s">
        <v>765</v>
      </c>
      <c r="C31" s="2738">
        <v>11193.773999999999</v>
      </c>
      <c r="D31" s="2738">
        <v>389.77583742602167</v>
      </c>
      <c r="E31" s="2738">
        <v>61137.671045532603</v>
      </c>
      <c r="F31" s="2738">
        <v>0</v>
      </c>
      <c r="G31" s="2738">
        <v>0</v>
      </c>
      <c r="H31" s="2738">
        <v>4195.8158694433623</v>
      </c>
      <c r="I31" s="2738">
        <v>2371.0979049099333</v>
      </c>
      <c r="J31" s="2738">
        <v>711.6504409252359</v>
      </c>
      <c r="K31" s="2738">
        <f>SUM(C31:J31)</f>
        <v>79999.78509823716</v>
      </c>
      <c r="L31" s="2596"/>
    </row>
    <row r="32" spans="1:19" s="9" customFormat="1" ht="16.5" customHeight="1" thickBot="1" x14ac:dyDescent="0.3">
      <c r="A32" s="1150"/>
      <c r="B32" s="2739" t="s">
        <v>766</v>
      </c>
      <c r="C32" s="2738">
        <v>3561.3980000000001</v>
      </c>
      <c r="D32" s="2738">
        <v>139.28580994904527</v>
      </c>
      <c r="E32" s="2738">
        <v>42840.315531810098</v>
      </c>
      <c r="F32" s="2738">
        <v>0</v>
      </c>
      <c r="G32" s="2738">
        <v>0</v>
      </c>
      <c r="H32" s="2738">
        <v>321.4287921901045</v>
      </c>
      <c r="I32" s="2738">
        <v>2413.8066028891503</v>
      </c>
      <c r="J32" s="2738">
        <v>723.8844257447978</v>
      </c>
      <c r="K32" s="2738">
        <f>SUM(C32:J32)</f>
        <v>50000.1191625832</v>
      </c>
      <c r="L32" s="2596"/>
    </row>
    <row r="33" spans="1:13" s="9" customFormat="1" ht="16.5" customHeight="1" thickBot="1" x14ac:dyDescent="0.3">
      <c r="A33" s="1150"/>
      <c r="B33" s="2740" t="s">
        <v>747</v>
      </c>
      <c r="C33" s="2741">
        <f t="shared" ref="C33:K33" si="8">SUM(C29:C32)</f>
        <v>25084.075499999999</v>
      </c>
      <c r="D33" s="2741">
        <f t="shared" si="8"/>
        <v>892.07456386427418</v>
      </c>
      <c r="E33" s="2741">
        <f t="shared" si="8"/>
        <v>239828.1970397722</v>
      </c>
      <c r="F33" s="2741">
        <f t="shared" si="8"/>
        <v>0</v>
      </c>
      <c r="G33" s="2741">
        <f t="shared" si="8"/>
        <v>0</v>
      </c>
      <c r="H33" s="2741">
        <f t="shared" si="8"/>
        <v>6331.9931580289785</v>
      </c>
      <c r="I33" s="2741">
        <f t="shared" si="8"/>
        <v>13228.647511760842</v>
      </c>
      <c r="J33" s="2741">
        <f t="shared" si="8"/>
        <v>3968.6577678585613</v>
      </c>
      <c r="K33" s="2741">
        <f t="shared" si="8"/>
        <v>289333.64554128487</v>
      </c>
      <c r="L33" s="2596"/>
    </row>
    <row r="34" spans="1:13" s="1164" customFormat="1" ht="16.5" customHeight="1" thickBot="1" x14ac:dyDescent="0.3">
      <c r="A34" s="1150"/>
      <c r="B34" s="2947" t="s">
        <v>108</v>
      </c>
      <c r="C34" s="2948"/>
      <c r="D34" s="2948"/>
      <c r="E34" s="2948"/>
      <c r="F34" s="2948"/>
      <c r="G34" s="2948"/>
      <c r="H34" s="2948"/>
      <c r="I34" s="2948"/>
      <c r="J34" s="2948"/>
      <c r="K34" s="2948"/>
      <c r="L34" s="2646"/>
    </row>
    <row r="35" spans="1:13" s="9" customFormat="1" ht="16.5" customHeight="1" thickBot="1" x14ac:dyDescent="0.3">
      <c r="A35" s="1150"/>
      <c r="B35" s="2737" t="s">
        <v>605</v>
      </c>
      <c r="C35" s="2738">
        <v>0</v>
      </c>
      <c r="D35" s="2738">
        <v>0</v>
      </c>
      <c r="E35" s="2738">
        <v>0</v>
      </c>
      <c r="F35" s="2738">
        <v>0</v>
      </c>
      <c r="G35" s="2738">
        <v>0</v>
      </c>
      <c r="H35" s="2738">
        <v>0</v>
      </c>
      <c r="I35" s="2738">
        <f>186292-100000</f>
        <v>86292</v>
      </c>
      <c r="J35" s="2738">
        <v>0</v>
      </c>
      <c r="K35" s="2738">
        <f>SUM(C35:J35)</f>
        <v>86292</v>
      </c>
      <c r="L35" s="2596"/>
    </row>
    <row r="36" spans="1:13" s="9" customFormat="1" ht="16.5" customHeight="1" thickBot="1" x14ac:dyDescent="0.3">
      <c r="A36" s="1150"/>
      <c r="B36" s="2739" t="s">
        <v>606</v>
      </c>
      <c r="C36" s="2738">
        <v>0</v>
      </c>
      <c r="D36" s="2738">
        <v>0</v>
      </c>
      <c r="E36" s="2738">
        <v>0</v>
      </c>
      <c r="F36" s="2738">
        <v>0</v>
      </c>
      <c r="G36" s="2738">
        <v>0</v>
      </c>
      <c r="H36" s="2738">
        <v>0</v>
      </c>
      <c r="I36" s="2738">
        <v>20000</v>
      </c>
      <c r="J36" s="2738">
        <v>0</v>
      </c>
      <c r="K36" s="2738">
        <f>SUM(C36:J36)</f>
        <v>20000</v>
      </c>
      <c r="L36" s="2596"/>
    </row>
    <row r="37" spans="1:13" s="9" customFormat="1" ht="16.5" customHeight="1" thickBot="1" x14ac:dyDescent="0.3">
      <c r="A37" s="1150"/>
      <c r="B37" s="2739" t="s">
        <v>748</v>
      </c>
      <c r="C37" s="2738">
        <v>0</v>
      </c>
      <c r="D37" s="2738">
        <v>0</v>
      </c>
      <c r="E37" s="2738">
        <v>50000</v>
      </c>
      <c r="F37" s="2738">
        <v>0</v>
      </c>
      <c r="G37" s="2738">
        <v>0</v>
      </c>
      <c r="H37" s="2738">
        <v>0</v>
      </c>
      <c r="I37" s="2738">
        <f>J37*0.65</f>
        <v>0</v>
      </c>
      <c r="J37" s="2738">
        <v>0</v>
      </c>
      <c r="K37" s="2738">
        <f>SUM(C37:J37)</f>
        <v>50000</v>
      </c>
      <c r="L37" s="2596"/>
    </row>
    <row r="38" spans="1:13" s="1164" customFormat="1" ht="16.5" customHeight="1" thickBot="1" x14ac:dyDescent="0.3">
      <c r="A38" s="1150"/>
      <c r="B38" s="2740" t="s">
        <v>749</v>
      </c>
      <c r="C38" s="2741">
        <f t="shared" ref="C38:K38" si="9">SUM(C35:C37)</f>
        <v>0</v>
      </c>
      <c r="D38" s="2741">
        <f t="shared" si="9"/>
        <v>0</v>
      </c>
      <c r="E38" s="2741">
        <f t="shared" si="9"/>
        <v>50000</v>
      </c>
      <c r="F38" s="2741">
        <f t="shared" si="9"/>
        <v>0</v>
      </c>
      <c r="G38" s="2741">
        <f t="shared" si="9"/>
        <v>0</v>
      </c>
      <c r="H38" s="2741">
        <f t="shared" si="9"/>
        <v>0</v>
      </c>
      <c r="I38" s="2741">
        <f t="shared" si="9"/>
        <v>106292</v>
      </c>
      <c r="J38" s="2741">
        <f t="shared" si="9"/>
        <v>0</v>
      </c>
      <c r="K38" s="2741">
        <f t="shared" si="9"/>
        <v>156292</v>
      </c>
      <c r="L38" s="2646"/>
    </row>
    <row r="39" spans="1:13" s="9" customFormat="1" ht="16.5" customHeight="1" thickBot="1" x14ac:dyDescent="0.3">
      <c r="A39" s="1150"/>
      <c r="B39" s="2947" t="s">
        <v>401</v>
      </c>
      <c r="C39" s="2948"/>
      <c r="D39" s="2948"/>
      <c r="E39" s="2948"/>
      <c r="F39" s="2948"/>
      <c r="G39" s="2948"/>
      <c r="H39" s="2948"/>
      <c r="I39" s="2948"/>
      <c r="J39" s="2948"/>
      <c r="K39" s="2948"/>
      <c r="L39" s="2596"/>
    </row>
    <row r="40" spans="1:13" s="9" customFormat="1" ht="16.5" customHeight="1" thickBot="1" x14ac:dyDescent="0.3">
      <c r="A40" s="1150"/>
      <c r="B40" s="2739" t="s">
        <v>330</v>
      </c>
      <c r="C40" s="2738">
        <v>178627.6985</v>
      </c>
      <c r="D40" s="2738">
        <f>+'CNG Table C 2013'!D38</f>
        <v>0</v>
      </c>
      <c r="E40" s="2738">
        <f>20675-11292</f>
        <v>9383</v>
      </c>
      <c r="F40" s="2738">
        <v>0</v>
      </c>
      <c r="G40" s="2738">
        <f>+'CNG Table C 2013'!F38</f>
        <v>0</v>
      </c>
      <c r="H40" s="2738">
        <f>+'CNG Table C 2013'!G38</f>
        <v>0</v>
      </c>
      <c r="I40" s="2738"/>
      <c r="J40" s="2738">
        <v>0</v>
      </c>
      <c r="K40" s="2738">
        <f>SUM(C40:J40)</f>
        <v>188010.6985</v>
      </c>
      <c r="L40" s="2596"/>
    </row>
    <row r="41" spans="1:13" s="9" customFormat="1" ht="16.5" customHeight="1" thickBot="1" x14ac:dyDescent="0.3">
      <c r="A41" s="1150"/>
      <c r="B41" s="2739" t="s">
        <v>750</v>
      </c>
      <c r="C41" s="2738">
        <v>0</v>
      </c>
      <c r="D41" s="2738">
        <f>+'CNG Table C 2013'!D39</f>
        <v>0</v>
      </c>
      <c r="E41" s="2738">
        <v>0</v>
      </c>
      <c r="F41" s="2738">
        <v>0</v>
      </c>
      <c r="G41" s="2738">
        <f>+'CNG Table C 2013'!F39</f>
        <v>0</v>
      </c>
      <c r="H41" s="2738">
        <v>40100</v>
      </c>
      <c r="I41" s="2738"/>
      <c r="J41" s="2738">
        <v>0</v>
      </c>
      <c r="K41" s="2738">
        <f t="shared" ref="K41:K48" si="10">SUM(C41:J41)</f>
        <v>40100</v>
      </c>
      <c r="L41" s="2596"/>
    </row>
    <row r="42" spans="1:13" s="9" customFormat="1" ht="16.5" customHeight="1" thickBot="1" x14ac:dyDescent="0.3">
      <c r="A42" s="1150"/>
      <c r="B42" s="2739" t="s">
        <v>281</v>
      </c>
      <c r="C42" s="2738">
        <v>122147.7415</v>
      </c>
      <c r="D42" s="2738">
        <f>+'CNG Table C 2013'!D41</f>
        <v>0</v>
      </c>
      <c r="E42" s="2738">
        <v>0</v>
      </c>
      <c r="F42" s="2738">
        <v>0</v>
      </c>
      <c r="G42" s="2738">
        <f>+'CNG Table C 2013'!F41</f>
        <v>0</v>
      </c>
      <c r="H42" s="2738">
        <f>+'CNG Table C 2013'!G41</f>
        <v>0</v>
      </c>
      <c r="I42" s="2738"/>
      <c r="J42" s="2738">
        <v>0</v>
      </c>
      <c r="K42" s="2738">
        <f>SUM(C42:J42)</f>
        <v>122147.7415</v>
      </c>
      <c r="L42" s="2596"/>
    </row>
    <row r="43" spans="1:13" s="1159" customFormat="1" ht="16.5" customHeight="1" thickBot="1" x14ac:dyDescent="0.3">
      <c r="A43" s="1145"/>
      <c r="B43" s="2739" t="s">
        <v>751</v>
      </c>
      <c r="C43" s="2738">
        <v>0</v>
      </c>
      <c r="D43" s="2738">
        <f>+'CNG Table C 2013'!D42</f>
        <v>0</v>
      </c>
      <c r="E43" s="2738">
        <v>300000</v>
      </c>
      <c r="F43" s="2738">
        <v>0</v>
      </c>
      <c r="G43" s="2738">
        <f>+'CNG Table C 2013'!F42</f>
        <v>0</v>
      </c>
      <c r="H43" s="2738">
        <f>+'CNG Table C 2013'!G42</f>
        <v>0</v>
      </c>
      <c r="I43" s="2738"/>
      <c r="J43" s="2738">
        <v>0</v>
      </c>
      <c r="K43" s="2738">
        <f>SUM(C43:J43)</f>
        <v>300000</v>
      </c>
      <c r="L43" s="2596"/>
      <c r="M43" s="9"/>
    </row>
    <row r="44" spans="1:13" s="9" customFormat="1" ht="16.5" customHeight="1" thickBot="1" x14ac:dyDescent="0.3">
      <c r="A44" s="1145"/>
      <c r="B44" s="2739" t="s">
        <v>752</v>
      </c>
      <c r="C44" s="2738">
        <v>0</v>
      </c>
      <c r="D44" s="2738">
        <f>+'CNG Table C 2013'!D42</f>
        <v>0</v>
      </c>
      <c r="E44" s="2738">
        <v>29607</v>
      </c>
      <c r="F44" s="2738">
        <v>0</v>
      </c>
      <c r="G44" s="2738">
        <f>+'CNG Table C 2013'!F40</f>
        <v>0</v>
      </c>
      <c r="H44" s="2738">
        <f>+'CNG Table C 2013'!G42</f>
        <v>0</v>
      </c>
      <c r="I44" s="2738"/>
      <c r="J44" s="2738">
        <v>0</v>
      </c>
      <c r="K44" s="2738">
        <f>SUM(C44:J44)</f>
        <v>29607</v>
      </c>
      <c r="L44" s="2596"/>
    </row>
    <row r="45" spans="1:13" s="9" customFormat="1" ht="16.5" customHeight="1" thickBot="1" x14ac:dyDescent="0.3">
      <c r="A45" s="1150"/>
      <c r="B45" s="2739" t="s">
        <v>273</v>
      </c>
      <c r="C45" s="2738">
        <v>63500.745499999997</v>
      </c>
      <c r="D45" s="2738">
        <f>+'CNG Table C 2013'!D40</f>
        <v>0</v>
      </c>
      <c r="E45" s="2738">
        <f>120000+1464422-1497101+134000</f>
        <v>221321</v>
      </c>
      <c r="F45" s="2738">
        <v>0</v>
      </c>
      <c r="G45" s="2738">
        <f>+'CNG Table C 2013'!F40</f>
        <v>0</v>
      </c>
      <c r="H45" s="2738">
        <f>+'CNG Table C 2013'!G40</f>
        <v>0</v>
      </c>
      <c r="I45" s="2738"/>
      <c r="J45" s="2738">
        <v>0</v>
      </c>
      <c r="K45" s="2738">
        <f t="shared" si="10"/>
        <v>284821.74550000002</v>
      </c>
      <c r="L45" s="2596"/>
    </row>
    <row r="46" spans="1:13" s="9" customFormat="1" ht="16.5" customHeight="1" thickBot="1" x14ac:dyDescent="0.3">
      <c r="A46" s="1145"/>
      <c r="B46" s="2739" t="s">
        <v>753</v>
      </c>
      <c r="C46" s="2738">
        <v>0</v>
      </c>
      <c r="D46" s="2738">
        <f>+'CNG Table C 2013'!D43</f>
        <v>0</v>
      </c>
      <c r="E46" s="2738">
        <v>53333</v>
      </c>
      <c r="F46" s="2738">
        <v>0</v>
      </c>
      <c r="G46" s="2738">
        <f>+'CNG Table C 2013'!F43</f>
        <v>0</v>
      </c>
      <c r="H46" s="2738">
        <f>+'CNG Table C 2013'!G43</f>
        <v>0</v>
      </c>
      <c r="I46" s="2738"/>
      <c r="J46" s="2738">
        <v>0</v>
      </c>
      <c r="K46" s="2738">
        <f t="shared" si="10"/>
        <v>53333</v>
      </c>
      <c r="L46" s="2596"/>
    </row>
    <row r="47" spans="1:13" s="9" customFormat="1" ht="16.5" customHeight="1" thickBot="1" x14ac:dyDescent="0.3">
      <c r="A47" s="1145"/>
      <c r="B47" s="2739" t="s">
        <v>754</v>
      </c>
      <c r="C47" s="2738">
        <v>0</v>
      </c>
      <c r="D47" s="2738">
        <f>+'CNG Table C 2013'!D44</f>
        <v>0</v>
      </c>
      <c r="E47" s="2738">
        <v>10000</v>
      </c>
      <c r="F47" s="2738">
        <v>0</v>
      </c>
      <c r="G47" s="2738">
        <f>+'CNG Table C 2013'!F44</f>
        <v>0</v>
      </c>
      <c r="H47" s="2738">
        <f>+'CNG Table C 2013'!G44</f>
        <v>0</v>
      </c>
      <c r="I47" s="2738"/>
      <c r="J47" s="2738">
        <v>0</v>
      </c>
      <c r="K47" s="2738">
        <f>SUM(C47:J47)</f>
        <v>10000</v>
      </c>
      <c r="L47" s="2596"/>
    </row>
    <row r="48" spans="1:13" s="9" customFormat="1" ht="16.5" customHeight="1" thickBot="1" x14ac:dyDescent="0.3">
      <c r="A48" s="1145"/>
      <c r="B48" s="2739" t="s">
        <v>755</v>
      </c>
      <c r="C48" s="2738">
        <v>0</v>
      </c>
      <c r="D48" s="2738">
        <f>+'CNG Table C 2013'!D44</f>
        <v>0</v>
      </c>
      <c r="E48" s="2738">
        <f>+'CNG Table C 2013'!E44</f>
        <v>0</v>
      </c>
      <c r="F48" s="2738">
        <v>0</v>
      </c>
      <c r="G48" s="2738">
        <f>+'CNG Table C 2013'!F44</f>
        <v>0</v>
      </c>
      <c r="H48" s="2738">
        <f>+'CNG Table C 2013'!G44</f>
        <v>0</v>
      </c>
      <c r="I48" s="2755">
        <f ca="1">'CNG Table A2'!F25</f>
        <v>775647.47950104519</v>
      </c>
      <c r="J48" s="2738">
        <v>0</v>
      </c>
      <c r="K48" s="2738">
        <f t="shared" ca="1" si="10"/>
        <v>775647.47950104519</v>
      </c>
      <c r="L48" s="2596"/>
    </row>
    <row r="49" spans="1:12" s="9" customFormat="1" ht="16.5" customHeight="1" thickBot="1" x14ac:dyDescent="0.3">
      <c r="A49" s="1145"/>
      <c r="B49" s="2740" t="s">
        <v>756</v>
      </c>
      <c r="C49" s="2741">
        <f t="shared" ref="C49:K49" si="11">SUM(C40:C48)</f>
        <v>364276.18550000002</v>
      </c>
      <c r="D49" s="2741">
        <f t="shared" si="11"/>
        <v>0</v>
      </c>
      <c r="E49" s="2741">
        <f t="shared" si="11"/>
        <v>623644</v>
      </c>
      <c r="F49" s="2741">
        <f t="shared" si="11"/>
        <v>0</v>
      </c>
      <c r="G49" s="2741">
        <f t="shared" si="11"/>
        <v>0</v>
      </c>
      <c r="H49" s="2741">
        <f t="shared" si="11"/>
        <v>40100</v>
      </c>
      <c r="I49" s="2741">
        <f t="shared" ca="1" si="11"/>
        <v>775647.47950104519</v>
      </c>
      <c r="J49" s="2741">
        <f t="shared" si="11"/>
        <v>0</v>
      </c>
      <c r="K49" s="2741">
        <f t="shared" ca="1" si="11"/>
        <v>1803667.665001045</v>
      </c>
      <c r="L49" s="2596"/>
    </row>
    <row r="50" spans="1:12" ht="19.5" customHeight="1" thickBot="1" x14ac:dyDescent="0.35">
      <c r="A50" s="83"/>
      <c r="B50" s="2742"/>
      <c r="C50" s="2743"/>
      <c r="D50" s="2743"/>
      <c r="E50" s="2743"/>
      <c r="F50" s="2743"/>
      <c r="G50" s="2743"/>
      <c r="H50" s="2743"/>
      <c r="I50" s="2743"/>
      <c r="J50" s="2743"/>
      <c r="K50" s="2744"/>
    </row>
    <row r="51" spans="1:12" ht="21" thickBot="1" x14ac:dyDescent="0.35">
      <c r="A51" s="83"/>
      <c r="B51" s="2740" t="s">
        <v>58</v>
      </c>
      <c r="C51" s="2741">
        <f t="shared" ref="C51:K51" si="12">+C17+C23+C27+C33+C38+C49</f>
        <v>1647591.8171730894</v>
      </c>
      <c r="D51" s="2741">
        <f t="shared" si="12"/>
        <v>5517.0745638642738</v>
      </c>
      <c r="E51" s="2741">
        <f t="shared" si="12"/>
        <v>1715316.8648982183</v>
      </c>
      <c r="F51" s="2741">
        <f t="shared" si="12"/>
        <v>73650</v>
      </c>
      <c r="G51" s="2741">
        <f t="shared" si="12"/>
        <v>11173362.338465676</v>
      </c>
      <c r="H51" s="2741">
        <f t="shared" si="12"/>
        <v>759716.11165802891</v>
      </c>
      <c r="I51" s="2741">
        <f t="shared" ca="1" si="12"/>
        <v>903024.20701280609</v>
      </c>
      <c r="J51" s="2741">
        <f t="shared" si="12"/>
        <v>103358.65776785856</v>
      </c>
      <c r="K51" s="2741">
        <f t="shared" ca="1" si="12"/>
        <v>16381537.07153954</v>
      </c>
    </row>
    <row r="53" spans="1:12" x14ac:dyDescent="0.2">
      <c r="K53" s="2501">
        <f>'CNG Table A2'!F16</f>
        <v>16381537.069521947</v>
      </c>
    </row>
    <row r="54" spans="1:12" x14ac:dyDescent="0.2">
      <c r="C54" s="2482"/>
    </row>
    <row r="55" spans="1:12" x14ac:dyDescent="0.2">
      <c r="J55" s="1172">
        <f ca="1">+J51/K51</f>
        <v>6.3094602976804118E-3</v>
      </c>
      <c r="K55" s="587">
        <f ca="1">+K53-K51</f>
        <v>-2.0175930112600327E-3</v>
      </c>
    </row>
    <row r="58" spans="1:12" x14ac:dyDescent="0.2">
      <c r="F58" s="134"/>
    </row>
    <row r="59" spans="1:12" x14ac:dyDescent="0.2">
      <c r="F59" s="134"/>
    </row>
    <row r="60" spans="1:12" x14ac:dyDescent="0.2">
      <c r="F60" s="134"/>
    </row>
    <row r="61" spans="1:12" x14ac:dyDescent="0.2">
      <c r="F61" s="134"/>
    </row>
    <row r="62" spans="1:12" x14ac:dyDescent="0.2">
      <c r="F62" s="134"/>
      <c r="K62" s="1172"/>
    </row>
    <row r="63" spans="1:12" x14ac:dyDescent="0.2">
      <c r="F63" s="134"/>
      <c r="K63" s="1172"/>
    </row>
    <row r="64" spans="1:12" x14ac:dyDescent="0.2">
      <c r="K64" s="1172"/>
    </row>
  </sheetData>
  <mergeCells count="8">
    <mergeCell ref="B34:K34"/>
    <mergeCell ref="B39:K39"/>
    <mergeCell ref="B18:K18"/>
    <mergeCell ref="B24:K24"/>
    <mergeCell ref="B1:K1"/>
    <mergeCell ref="B2:K2"/>
    <mergeCell ref="B11:K11"/>
    <mergeCell ref="B28:K28"/>
  </mergeCells>
  <printOptions horizontalCentered="1" verticalCentered="1"/>
  <pageMargins left="0.61" right="0.31" top="0.2" bottom="0.43" header="0.2" footer="0.18"/>
  <pageSetup scale="47" orientation="landscape" r:id="rId1"/>
  <headerFooter alignWithMargins="0">
    <oddFooter>&amp;C&amp;1#&amp;"Calibri"&amp;12&amp;K008000Internal Use</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0">
    <tabColor indexed="47"/>
    <pageSetUpPr fitToPage="1"/>
  </sheetPr>
  <dimension ref="A1:S64"/>
  <sheetViews>
    <sheetView topLeftCell="A23" zoomScale="80" zoomScaleNormal="80" workbookViewId="0">
      <selection activeCell="C12" sqref="C12:J16"/>
    </sheetView>
  </sheetViews>
  <sheetFormatPr defaultRowHeight="12.75" x14ac:dyDescent="0.2"/>
  <cols>
    <col min="1" max="1" width="7.140625" style="49" customWidth="1"/>
    <col min="2" max="2" width="60.42578125" style="49" customWidth="1"/>
    <col min="3" max="3" width="20.42578125" style="64" customWidth="1"/>
    <col min="4" max="6" width="20.42578125" style="63" customWidth="1"/>
    <col min="7" max="11" width="20.42578125" style="49" customWidth="1"/>
    <col min="12" max="12" width="14.28515625" style="2469" bestFit="1" customWidth="1"/>
    <col min="13" max="13" width="2.7109375" style="49" customWidth="1"/>
    <col min="14" max="14" width="13" style="49" bestFit="1" customWidth="1"/>
    <col min="15" max="15" width="15.140625" style="49" bestFit="1" customWidth="1"/>
    <col min="16" max="17" width="9.140625" style="49"/>
    <col min="18" max="18" width="14.42578125" style="49" bestFit="1" customWidth="1"/>
    <col min="19" max="19" width="15.140625" style="49" bestFit="1" customWidth="1"/>
    <col min="20" max="16384" width="9.140625" style="49"/>
  </cols>
  <sheetData>
    <row r="1" spans="1:19" ht="26.25" x14ac:dyDescent="0.4">
      <c r="B1" s="2884" t="s">
        <v>82</v>
      </c>
      <c r="C1" s="2884"/>
      <c r="D1" s="2884"/>
      <c r="E1" s="2884"/>
      <c r="F1" s="2884"/>
      <c r="G1" s="2884"/>
      <c r="H1" s="2884"/>
      <c r="I1" s="2884"/>
      <c r="J1" s="2884"/>
      <c r="K1" s="2884"/>
    </row>
    <row r="2" spans="1:19" ht="26.25" x14ac:dyDescent="0.4">
      <c r="B2" s="2884" t="s">
        <v>740</v>
      </c>
      <c r="C2" s="2884"/>
      <c r="D2" s="2884"/>
      <c r="E2" s="2884"/>
      <c r="F2" s="2884"/>
      <c r="G2" s="2884"/>
      <c r="H2" s="2884"/>
      <c r="I2" s="2884"/>
      <c r="J2" s="2884"/>
      <c r="K2" s="2884"/>
    </row>
    <row r="3" spans="1:19" ht="26.25" hidden="1" x14ac:dyDescent="0.4">
      <c r="B3" s="1894"/>
      <c r="C3" s="1894"/>
      <c r="D3" s="1894"/>
      <c r="E3" s="1894"/>
      <c r="F3" s="1894"/>
      <c r="G3" s="1894"/>
      <c r="H3" s="1894"/>
      <c r="I3" s="1894"/>
      <c r="J3" s="1894"/>
      <c r="K3" s="1894"/>
    </row>
    <row r="4" spans="1:19" ht="26.25" hidden="1" x14ac:dyDescent="0.4">
      <c r="B4" s="1894"/>
      <c r="C4" s="1894"/>
      <c r="D4" s="1894"/>
      <c r="E4" s="1894"/>
      <c r="F4" s="1894"/>
      <c r="G4" s="1894"/>
      <c r="H4" s="1894"/>
      <c r="I4" s="1894"/>
      <c r="J4" s="1894"/>
      <c r="K4" s="1894"/>
    </row>
    <row r="5" spans="1:19" ht="26.25" hidden="1" x14ac:dyDescent="0.4">
      <c r="B5" s="1894"/>
      <c r="C5" s="1894"/>
      <c r="D5" s="1894"/>
      <c r="E5" s="1894"/>
      <c r="F5" s="1894"/>
      <c r="G5" s="1894"/>
      <c r="H5" s="1894"/>
      <c r="I5" s="1894"/>
      <c r="J5" s="1894"/>
      <c r="K5" s="1894"/>
    </row>
    <row r="6" spans="1:19" ht="26.25" hidden="1" x14ac:dyDescent="0.4">
      <c r="B6" s="1894"/>
      <c r="C6" s="1894"/>
      <c r="D6" s="1894"/>
      <c r="E6" s="1894"/>
      <c r="F6" s="1894"/>
      <c r="G6" s="1894"/>
      <c r="H6" s="1894"/>
      <c r="I6" s="1894"/>
      <c r="J6" s="1894"/>
      <c r="K6" s="1894"/>
    </row>
    <row r="7" spans="1:19" ht="26.25" hidden="1" x14ac:dyDescent="0.4">
      <c r="B7" s="1894"/>
      <c r="C7" s="1894"/>
      <c r="D7" s="1894"/>
      <c r="E7" s="1894"/>
      <c r="F7" s="1894"/>
      <c r="G7" s="1894"/>
      <c r="H7" s="1894"/>
      <c r="I7" s="1894"/>
      <c r="J7" s="1894"/>
      <c r="K7" s="1894"/>
    </row>
    <row r="8" spans="1:19" ht="6.75" customHeight="1" x14ac:dyDescent="0.25">
      <c r="B8" s="11"/>
      <c r="C8" s="10"/>
      <c r="D8" s="8"/>
      <c r="E8" s="8"/>
      <c r="F8" s="8"/>
      <c r="G8" s="9"/>
      <c r="H8" s="9"/>
      <c r="I8" s="9"/>
      <c r="J8" s="9"/>
      <c r="K8" s="9"/>
    </row>
    <row r="9" spans="1:19" ht="6.75" customHeight="1" thickBot="1" x14ac:dyDescent="0.3">
      <c r="B9" s="11"/>
      <c r="C9" s="10"/>
      <c r="D9" s="8"/>
      <c r="E9" s="8"/>
      <c r="F9" s="8"/>
      <c r="G9" s="9"/>
      <c r="H9" s="9"/>
      <c r="I9" s="9"/>
      <c r="J9" s="9"/>
      <c r="K9" s="9"/>
    </row>
    <row r="10" spans="1:19" ht="48" customHeight="1" thickBot="1" x14ac:dyDescent="0.35">
      <c r="A10" s="21"/>
      <c r="B10" s="2734" t="s">
        <v>757</v>
      </c>
      <c r="C10" s="2735" t="s">
        <v>53</v>
      </c>
      <c r="D10" s="2735" t="s">
        <v>13</v>
      </c>
      <c r="E10" s="2735" t="s">
        <v>4</v>
      </c>
      <c r="F10" s="2735" t="s">
        <v>721</v>
      </c>
      <c r="G10" s="2735" t="s">
        <v>2</v>
      </c>
      <c r="H10" s="2735" t="s">
        <v>14</v>
      </c>
      <c r="I10" s="2735" t="s">
        <v>684</v>
      </c>
      <c r="J10" s="2735" t="s">
        <v>15</v>
      </c>
      <c r="K10" s="2736" t="s">
        <v>16</v>
      </c>
      <c r="P10" s="49">
        <v>0.5</v>
      </c>
      <c r="Q10" s="49">
        <v>0.65</v>
      </c>
    </row>
    <row r="11" spans="1:19" ht="21" thickBot="1" x14ac:dyDescent="0.35">
      <c r="A11" s="21"/>
      <c r="B11" s="2949" t="s">
        <v>5</v>
      </c>
      <c r="C11" s="2950"/>
      <c r="D11" s="2950"/>
      <c r="E11" s="2950"/>
      <c r="F11" s="2950"/>
      <c r="G11" s="2950"/>
      <c r="H11" s="2950"/>
      <c r="I11" s="2950"/>
      <c r="J11" s="2950"/>
      <c r="K11" s="2950"/>
    </row>
    <row r="12" spans="1:19" ht="21" thickBot="1" x14ac:dyDescent="0.35">
      <c r="A12" s="83"/>
      <c r="B12" s="2737" t="s">
        <v>741</v>
      </c>
      <c r="C12" s="2839">
        <v>19381.616539235649</v>
      </c>
      <c r="D12" s="2738">
        <v>40</v>
      </c>
      <c r="E12" s="2738">
        <v>626.37199999999996</v>
      </c>
      <c r="F12" s="2738">
        <v>300</v>
      </c>
      <c r="G12" s="2738">
        <v>94614.387099636413</v>
      </c>
      <c r="H12" s="2738">
        <v>2042.2460000000001</v>
      </c>
      <c r="I12" s="2738">
        <v>175</v>
      </c>
      <c r="J12" s="2738">
        <v>325</v>
      </c>
      <c r="K12" s="2738">
        <f>SUM(C12:J12)</f>
        <v>117504.62163887206</v>
      </c>
      <c r="L12" s="2469">
        <f ca="1">$L$17*K12/$K$17</f>
        <v>-2.4609997451228581E-5</v>
      </c>
      <c r="M12" s="2469"/>
      <c r="N12" s="2469"/>
      <c r="O12" s="587">
        <f>+N12+G12</f>
        <v>94614.387099636413</v>
      </c>
      <c r="Q12" s="1172"/>
      <c r="R12" s="2469"/>
      <c r="S12" s="587">
        <f>+G12+R12</f>
        <v>94614.387099636413</v>
      </c>
    </row>
    <row r="13" spans="1:19" ht="21" thickBot="1" x14ac:dyDescent="0.35">
      <c r="A13" s="83"/>
      <c r="B13" s="2737" t="s">
        <v>742</v>
      </c>
      <c r="C13" s="2839">
        <v>279567.97478264716</v>
      </c>
      <c r="D13" s="2738">
        <v>680</v>
      </c>
      <c r="E13" s="2738">
        <v>217420.02</v>
      </c>
      <c r="F13" s="2738">
        <v>49850</v>
      </c>
      <c r="G13" s="2738">
        <v>2650323.1930499515</v>
      </c>
      <c r="H13" s="2738">
        <v>129618.09</v>
      </c>
      <c r="I13" s="2738">
        <v>1321.95</v>
      </c>
      <c r="J13" s="2738">
        <v>2455.5</v>
      </c>
      <c r="K13" s="2738">
        <f>SUM(C13:J13)</f>
        <v>3331236.7278325986</v>
      </c>
      <c r="L13" s="2469">
        <f ca="1">$L$17*K13/$K$17</f>
        <v>-6.9768938649370253E-4</v>
      </c>
      <c r="M13" s="2469"/>
      <c r="N13" s="2469">
        <v>85345.770636060595</v>
      </c>
      <c r="O13" s="587">
        <f t="shared" ref="O13:O23" si="0">+N13+G13</f>
        <v>2735668.9636860122</v>
      </c>
      <c r="Q13" s="1172">
        <f>K13/($K$13+$K$15+$K$16)</f>
        <v>0.39802193992612306</v>
      </c>
      <c r="R13" s="2469">
        <f ca="1">+$K$55*Q13</f>
        <v>-7.9604252758673467E-4</v>
      </c>
      <c r="S13" s="587">
        <f t="shared" ref="S13:S15" ca="1" si="1">+G13+R13</f>
        <v>2650323.1922539091</v>
      </c>
    </row>
    <row r="14" spans="1:19" ht="21" thickBot="1" x14ac:dyDescent="0.35">
      <c r="A14" s="83"/>
      <c r="B14" s="2737" t="s">
        <v>759</v>
      </c>
      <c r="C14" s="2839">
        <v>60306.546592082028</v>
      </c>
      <c r="D14" s="2738">
        <v>325</v>
      </c>
      <c r="E14" s="2738">
        <v>97937.092500000013</v>
      </c>
      <c r="F14" s="2738">
        <v>3900</v>
      </c>
      <c r="G14" s="2738">
        <v>871210.85322452197</v>
      </c>
      <c r="H14" s="2738">
        <v>26709.923500000001</v>
      </c>
      <c r="I14" s="2738">
        <v>682.5</v>
      </c>
      <c r="J14" s="2738">
        <v>1267.5</v>
      </c>
      <c r="K14" s="2738">
        <f>SUM(C14:J14)</f>
        <v>1062339.4158166039</v>
      </c>
      <c r="L14" s="2469">
        <f ca="1">$L$17*K14/$K$17</f>
        <v>-2.2249482574341101E-4</v>
      </c>
      <c r="M14" s="2469"/>
      <c r="N14" s="2469">
        <v>27216.318276625076</v>
      </c>
      <c r="O14" s="587">
        <f t="shared" si="0"/>
        <v>898427.1715011471</v>
      </c>
      <c r="Q14" s="1172"/>
      <c r="R14" s="2469"/>
      <c r="S14" s="587">
        <f t="shared" si="1"/>
        <v>871210.85322452197</v>
      </c>
    </row>
    <row r="15" spans="1:19" ht="21" thickBot="1" x14ac:dyDescent="0.35">
      <c r="A15" s="83"/>
      <c r="B15" s="2737" t="s">
        <v>283</v>
      </c>
      <c r="C15" s="2839">
        <v>279567.97478264716</v>
      </c>
      <c r="D15" s="2738">
        <v>980</v>
      </c>
      <c r="E15" s="2738">
        <v>47487.214</v>
      </c>
      <c r="F15" s="2738">
        <v>5850</v>
      </c>
      <c r="G15" s="2738">
        <v>4427505.818249342</v>
      </c>
      <c r="H15" s="2738">
        <v>98400.42</v>
      </c>
      <c r="I15" s="2738">
        <v>822.5</v>
      </c>
      <c r="J15" s="2738">
        <v>1527.5</v>
      </c>
      <c r="K15" s="2738">
        <f>SUM(C15:J15)</f>
        <v>4862141.4270319892</v>
      </c>
      <c r="L15" s="2469">
        <f ca="1">$L$17*K15/$K$17</f>
        <v>-1.0183198452782044E-3</v>
      </c>
      <c r="M15" s="2469"/>
      <c r="N15" s="2469">
        <v>121406.67814882747</v>
      </c>
      <c r="O15" s="587">
        <f t="shared" si="0"/>
        <v>4548912.4963981695</v>
      </c>
      <c r="Q15" s="1172">
        <f>K15/($K$13+$K$15+$K$16)</f>
        <v>0.58093708766280461</v>
      </c>
      <c r="R15" s="2469">
        <f t="shared" ref="R15:R16" ca="1" si="2">+$K$55*Q15</f>
        <v>-1.1618722016123306E-3</v>
      </c>
      <c r="S15" s="587">
        <f t="shared" ca="1" si="1"/>
        <v>4427505.8170874696</v>
      </c>
    </row>
    <row r="16" spans="1:19" ht="24.6" customHeight="1" thickBot="1" x14ac:dyDescent="0.35">
      <c r="A16" s="83"/>
      <c r="B16" s="2739" t="s">
        <v>531</v>
      </c>
      <c r="C16" s="2839">
        <v>26508.372128387706</v>
      </c>
      <c r="D16" s="2738">
        <v>100</v>
      </c>
      <c r="E16" s="2738">
        <v>149493.62892734946</v>
      </c>
      <c r="F16" s="2738">
        <v>0</v>
      </c>
      <c r="G16" s="2738">
        <v>0</v>
      </c>
      <c r="H16" s="2738">
        <v>0</v>
      </c>
      <c r="I16" s="2738">
        <v>0</v>
      </c>
      <c r="J16" s="2738">
        <v>0</v>
      </c>
      <c r="K16" s="2738">
        <f>SUM(C16:J16)</f>
        <v>176102.00105573717</v>
      </c>
      <c r="L16" s="2469">
        <f ca="1">$L$17*K16/$K$17</f>
        <v>-3.6882547568701275E-5</v>
      </c>
      <c r="M16" s="2469"/>
      <c r="N16" s="2469">
        <v>4237.4898739566288</v>
      </c>
      <c r="O16" s="587">
        <f>+N16+E16</f>
        <v>153731.11880130609</v>
      </c>
      <c r="Q16" s="1172">
        <f>K16/($K$13+$K$15+$K$16)</f>
        <v>2.1040972411072362E-2</v>
      </c>
      <c r="R16" s="2469">
        <f t="shared" ca="1" si="2"/>
        <v>-4.2081873336182607E-5</v>
      </c>
      <c r="S16" s="587">
        <f ca="1">+E16+R16</f>
        <v>149493.62888526759</v>
      </c>
    </row>
    <row r="17" spans="1:19" ht="21" thickBot="1" x14ac:dyDescent="0.35">
      <c r="A17" s="83"/>
      <c r="B17" s="2740" t="s">
        <v>743</v>
      </c>
      <c r="C17" s="2741">
        <f t="shared" ref="C17:K17" si="3">SUM(C12:C16)</f>
        <v>665332.4848249997</v>
      </c>
      <c r="D17" s="2741">
        <f t="shared" si="3"/>
        <v>2125</v>
      </c>
      <c r="E17" s="2741">
        <f t="shared" si="3"/>
        <v>512964.32742734946</v>
      </c>
      <c r="F17" s="2741">
        <f t="shared" si="3"/>
        <v>59900</v>
      </c>
      <c r="G17" s="2741">
        <f t="shared" si="3"/>
        <v>8043654.2516234517</v>
      </c>
      <c r="H17" s="2741">
        <f t="shared" si="3"/>
        <v>256770.67950000003</v>
      </c>
      <c r="I17" s="2741">
        <f t="shared" si="3"/>
        <v>3001.95</v>
      </c>
      <c r="J17" s="2741">
        <f t="shared" si="3"/>
        <v>5575.5</v>
      </c>
      <c r="K17" s="2741">
        <f t="shared" si="3"/>
        <v>9549324.1933758017</v>
      </c>
      <c r="L17" s="2469">
        <f ca="1">K55</f>
        <v>-1.9999966025352478E-3</v>
      </c>
      <c r="M17" s="2469"/>
      <c r="N17" s="2469">
        <v>-87462.709714565979</v>
      </c>
      <c r="O17" s="587">
        <f t="shared" si="0"/>
        <v>7956191.5419088854</v>
      </c>
      <c r="Q17" s="1172">
        <f t="shared" ref="Q17" si="4">+K17/$K$17</f>
        <v>1</v>
      </c>
      <c r="R17" s="2469"/>
    </row>
    <row r="18" spans="1:19" ht="21" thickBot="1" x14ac:dyDescent="0.35">
      <c r="A18" s="83"/>
      <c r="B18" s="2949" t="s">
        <v>6</v>
      </c>
      <c r="C18" s="2950"/>
      <c r="D18" s="2950"/>
      <c r="E18" s="2950"/>
      <c r="F18" s="2950"/>
      <c r="G18" s="2950"/>
      <c r="H18" s="2950"/>
      <c r="I18" s="2950"/>
      <c r="J18" s="2950"/>
      <c r="K18" s="2950"/>
      <c r="M18" s="2469"/>
      <c r="N18" s="2469"/>
      <c r="O18" s="587">
        <f t="shared" si="0"/>
        <v>0</v>
      </c>
      <c r="S18" s="49">
        <v>149493.62892734946</v>
      </c>
    </row>
    <row r="19" spans="1:19" ht="21" thickBot="1" x14ac:dyDescent="0.35">
      <c r="A19" s="83"/>
      <c r="B19" s="2737" t="s">
        <v>285</v>
      </c>
      <c r="C19" s="2738">
        <v>150457.7415</v>
      </c>
      <c r="D19" s="2738">
        <v>1000</v>
      </c>
      <c r="E19" s="2738">
        <v>47970.369999999995</v>
      </c>
      <c r="F19" s="2738">
        <v>3000</v>
      </c>
      <c r="G19" s="2738">
        <v>1589213.1945051632</v>
      </c>
      <c r="H19" s="2738">
        <v>216667.76</v>
      </c>
      <c r="I19" s="2738">
        <v>3416.63</v>
      </c>
      <c r="J19" s="2738">
        <v>20502</v>
      </c>
      <c r="K19" s="2738">
        <f>SUM(C19:J19)</f>
        <v>2032227.696005163</v>
      </c>
      <c r="L19" s="2469">
        <f ca="1">$L$23*K19/$K$23</f>
        <v>-2.9296812219914366E-4</v>
      </c>
      <c r="M19" s="2469"/>
      <c r="N19" s="2469">
        <v>-18834.899001335427</v>
      </c>
      <c r="O19" s="587">
        <f t="shared" si="0"/>
        <v>1570378.2955038277</v>
      </c>
      <c r="Q19" s="1172">
        <v>0.51067006698658213</v>
      </c>
      <c r="R19" s="2836">
        <f>+Q19*$G$23</f>
        <v>1589213.1945051635</v>
      </c>
    </row>
    <row r="20" spans="1:19" ht="21" thickBot="1" x14ac:dyDescent="0.35">
      <c r="A20" s="83"/>
      <c r="B20" s="2737" t="s">
        <v>275</v>
      </c>
      <c r="C20" s="2738">
        <v>150457.7415</v>
      </c>
      <c r="D20" s="2738">
        <v>700</v>
      </c>
      <c r="E20" s="2738">
        <v>26315.72</v>
      </c>
      <c r="F20" s="2738">
        <v>4000</v>
      </c>
      <c r="G20" s="2738">
        <v>841092.19192297547</v>
      </c>
      <c r="H20" s="2738">
        <v>155132.94</v>
      </c>
      <c r="I20" s="2738">
        <v>250</v>
      </c>
      <c r="J20" s="2738">
        <v>5000</v>
      </c>
      <c r="K20" s="2738">
        <f>SUM(C20:J20)</f>
        <v>1182948.5934229754</v>
      </c>
      <c r="L20" s="2469">
        <f ca="1">$L$23*K20/$K$23</f>
        <v>-1.7053513676371375E-4</v>
      </c>
      <c r="M20" s="2469"/>
      <c r="N20" s="2469">
        <v>-10804.844392512983</v>
      </c>
      <c r="O20" s="587">
        <f t="shared" si="0"/>
        <v>830287.34753046255</v>
      </c>
      <c r="Q20" s="1172">
        <v>0.27027248922693337</v>
      </c>
      <c r="R20" s="2836">
        <f t="shared" ref="R20:R23" si="5">+Q20*$G$23</f>
        <v>841092.19192297559</v>
      </c>
    </row>
    <row r="21" spans="1:19" ht="21" thickBot="1" x14ac:dyDescent="0.35">
      <c r="A21" s="83"/>
      <c r="B21" s="2737" t="s">
        <v>744</v>
      </c>
      <c r="C21" s="2738">
        <v>121902.2895</v>
      </c>
      <c r="D21" s="2738">
        <v>500</v>
      </c>
      <c r="E21" s="2738">
        <v>7112.4499999999971</v>
      </c>
      <c r="F21" s="2738">
        <v>1000</v>
      </c>
      <c r="G21" s="2738">
        <v>430587.39474193519</v>
      </c>
      <c r="H21" s="2738">
        <v>55386.979999999996</v>
      </c>
      <c r="I21" s="2738">
        <v>250</v>
      </c>
      <c r="J21" s="2738">
        <v>7500</v>
      </c>
      <c r="K21" s="2738">
        <f>SUM(C21:J21)</f>
        <v>624239.1142419352</v>
      </c>
      <c r="L21" s="2469">
        <f ca="1">$L$23*K21/$K$23</f>
        <v>-8.9990979584726524E-5</v>
      </c>
      <c r="M21" s="2469"/>
      <c r="N21" s="2469">
        <v>-6313.672956179842</v>
      </c>
      <c r="O21" s="587">
        <f t="shared" si="0"/>
        <v>424273.72178575536</v>
      </c>
      <c r="Q21" s="1172">
        <v>0.13836286690591501</v>
      </c>
      <c r="R21" s="2836">
        <f t="shared" si="5"/>
        <v>430587.39474193525</v>
      </c>
    </row>
    <row r="22" spans="1:19" ht="21" thickBot="1" x14ac:dyDescent="0.35">
      <c r="A22" s="83"/>
      <c r="B22" s="2739" t="s">
        <v>245</v>
      </c>
      <c r="C22" s="2738">
        <v>84314.257499999992</v>
      </c>
      <c r="D22" s="2738">
        <v>200</v>
      </c>
      <c r="E22" s="2738">
        <f>54000+5250.21</f>
        <v>59250.21</v>
      </c>
      <c r="F22" s="2738">
        <v>5000</v>
      </c>
      <c r="G22" s="2738">
        <v>251122.77886258418</v>
      </c>
      <c r="H22" s="2738">
        <v>24220.39</v>
      </c>
      <c r="I22" s="2738">
        <v>500</v>
      </c>
      <c r="J22" s="2738">
        <v>60000</v>
      </c>
      <c r="K22" s="2738">
        <f>SUM(C22:J22)</f>
        <v>484607.63636258419</v>
      </c>
      <c r="L22" s="2469">
        <f ca="1">$L$23*K22/$K$23</f>
        <v>-6.9861556117750619E-5</v>
      </c>
      <c r="M22" s="2469"/>
      <c r="N22" s="2469">
        <v>-3650.5141868597357</v>
      </c>
      <c r="O22" s="587">
        <f t="shared" si="0"/>
        <v>247472.26467572444</v>
      </c>
      <c r="Q22" s="1172">
        <v>8.0694576880569607E-2</v>
      </c>
      <c r="R22" s="2836">
        <f t="shared" si="5"/>
        <v>251122.77886258424</v>
      </c>
    </row>
    <row r="23" spans="1:19" ht="21" thickBot="1" x14ac:dyDescent="0.35">
      <c r="A23" s="83"/>
      <c r="B23" s="2740" t="s">
        <v>745</v>
      </c>
      <c r="C23" s="2741">
        <f>SUM(C19:C22)</f>
        <v>507132.03</v>
      </c>
      <c r="D23" s="2741">
        <f t="shared" ref="D23:K23" si="6">SUM(D19:D22)</f>
        <v>2400</v>
      </c>
      <c r="E23" s="2741">
        <f t="shared" si="6"/>
        <v>140648.75</v>
      </c>
      <c r="F23" s="2741">
        <f t="shared" si="6"/>
        <v>13000</v>
      </c>
      <c r="G23" s="2741">
        <f t="shared" si="6"/>
        <v>3112015.5600326583</v>
      </c>
      <c r="H23" s="2741">
        <f t="shared" si="6"/>
        <v>451408.07</v>
      </c>
      <c r="I23" s="2741">
        <f t="shared" si="6"/>
        <v>4416.63</v>
      </c>
      <c r="J23" s="2741">
        <f t="shared" si="6"/>
        <v>93002</v>
      </c>
      <c r="K23" s="2741">
        <f t="shared" si="6"/>
        <v>4324023.0400326578</v>
      </c>
      <c r="L23" s="2469">
        <f ca="1">$K$55*K23/($K$17+$K$23)</f>
        <v>-6.2335579466533454E-4</v>
      </c>
      <c r="M23" s="2469"/>
      <c r="N23" s="2469">
        <v>-39603.930536887987</v>
      </c>
      <c r="O23" s="587">
        <f t="shared" si="0"/>
        <v>3072411.6294957702</v>
      </c>
      <c r="Q23" s="1172">
        <v>1</v>
      </c>
      <c r="R23" s="2836">
        <f t="shared" si="5"/>
        <v>3112015.5600326583</v>
      </c>
    </row>
    <row r="24" spans="1:19" ht="21" thickBot="1" x14ac:dyDescent="0.35">
      <c r="A24" s="83"/>
      <c r="B24" s="2947" t="s">
        <v>737</v>
      </c>
      <c r="C24" s="2948"/>
      <c r="D24" s="2948"/>
      <c r="E24" s="2948"/>
      <c r="F24" s="2948"/>
      <c r="G24" s="2948"/>
      <c r="H24" s="2948"/>
      <c r="I24" s="2948"/>
      <c r="J24" s="2948"/>
      <c r="K24" s="2948"/>
      <c r="M24" s="2469"/>
      <c r="N24" s="2469"/>
    </row>
    <row r="25" spans="1:19" ht="21" thickBot="1" x14ac:dyDescent="0.35">
      <c r="A25" s="83"/>
      <c r="B25" s="2737" t="s">
        <v>739</v>
      </c>
      <c r="C25" s="2738">
        <v>42884</v>
      </c>
      <c r="D25" s="2738"/>
      <c r="E25" s="2738">
        <f>41720*1.05^2</f>
        <v>45996.3</v>
      </c>
      <c r="F25" s="2738"/>
      <c r="G25" s="2738">
        <f>61250*1.05^2</f>
        <v>67528.125</v>
      </c>
      <c r="H25" s="2738"/>
      <c r="I25" s="2738"/>
      <c r="J25" s="2738"/>
      <c r="K25" s="2738">
        <f>SUM(C25:J25)</f>
        <v>156408.42499999999</v>
      </c>
      <c r="L25" s="1172">
        <f>+K25/'CNG Table C 2023'!K25-1</f>
        <v>3.5800235095445387E-2</v>
      </c>
      <c r="M25" s="2469"/>
      <c r="N25" s="2469"/>
      <c r="O25" s="2469"/>
    </row>
    <row r="26" spans="1:19" ht="21" thickBot="1" x14ac:dyDescent="0.35">
      <c r="A26" s="83"/>
      <c r="B26" s="2739" t="s">
        <v>738</v>
      </c>
      <c r="C26" s="2738">
        <v>42884</v>
      </c>
      <c r="D26" s="2738"/>
      <c r="E26" s="2738">
        <f>1.03*105875.76</f>
        <v>109052.0328</v>
      </c>
      <c r="F26" s="2738"/>
      <c r="G26" s="2738">
        <f>1.03*38625</f>
        <v>39783.75</v>
      </c>
      <c r="H26" s="2738"/>
      <c r="I26" s="2738"/>
      <c r="J26" s="2738"/>
      <c r="K26" s="2738">
        <f>SUM(C26:J26)</f>
        <v>191719.78279999999</v>
      </c>
      <c r="L26" s="1172">
        <f>+K26/'CNG Table C 2023'!K26-1</f>
        <v>2.3134340273990084E-2</v>
      </c>
      <c r="M26" s="2469"/>
      <c r="N26" s="2469"/>
      <c r="O26" s="2469"/>
    </row>
    <row r="27" spans="1:19" ht="21" thickBot="1" x14ac:dyDescent="0.35">
      <c r="A27" s="83"/>
      <c r="B27" s="2740" t="s">
        <v>758</v>
      </c>
      <c r="C27" s="2741">
        <f t="shared" ref="C27:K27" si="7">SUM(C25:C26)</f>
        <v>85768</v>
      </c>
      <c r="D27" s="2741">
        <f t="shared" si="7"/>
        <v>0</v>
      </c>
      <c r="E27" s="2741">
        <f t="shared" si="7"/>
        <v>155048.3328</v>
      </c>
      <c r="F27" s="2741">
        <f t="shared" si="7"/>
        <v>0</v>
      </c>
      <c r="G27" s="2741">
        <f t="shared" si="7"/>
        <v>107311.875</v>
      </c>
      <c r="H27" s="2741">
        <f t="shared" si="7"/>
        <v>0</v>
      </c>
      <c r="I27" s="2741">
        <f t="shared" si="7"/>
        <v>0</v>
      </c>
      <c r="J27" s="2741">
        <f t="shared" si="7"/>
        <v>0</v>
      </c>
      <c r="K27" s="2741">
        <f t="shared" si="7"/>
        <v>348128.20779999997</v>
      </c>
      <c r="M27" s="2469"/>
      <c r="N27" s="2469"/>
      <c r="O27" s="2469"/>
    </row>
    <row r="28" spans="1:19" s="9" customFormat="1" ht="16.5" customHeight="1" thickBot="1" x14ac:dyDescent="0.35">
      <c r="A28" s="83"/>
      <c r="B28" s="2947" t="s">
        <v>746</v>
      </c>
      <c r="C28" s="2948"/>
      <c r="D28" s="2948"/>
      <c r="E28" s="2948"/>
      <c r="F28" s="2948"/>
      <c r="G28" s="2948"/>
      <c r="H28" s="2948"/>
      <c r="I28" s="2948"/>
      <c r="J28" s="2948"/>
      <c r="K28" s="2948"/>
      <c r="L28" s="2596"/>
    </row>
    <row r="29" spans="1:19" s="9" customFormat="1" ht="16.5" customHeight="1" thickBot="1" x14ac:dyDescent="0.35">
      <c r="A29" s="83"/>
      <c r="B29" s="2737" t="s">
        <v>763</v>
      </c>
      <c r="C29" s="2738">
        <v>10328.9035</v>
      </c>
      <c r="D29" s="2738">
        <v>363.01291648920721</v>
      </c>
      <c r="E29" s="2738">
        <v>53183.550462429499</v>
      </c>
      <c r="F29" s="2738">
        <v>0</v>
      </c>
      <c r="G29" s="2738">
        <v>0</v>
      </c>
      <c r="H29" s="2738">
        <v>1814.7484963955119</v>
      </c>
      <c r="I29" s="2738">
        <v>8443.7430039617593</v>
      </c>
      <c r="J29" s="2738">
        <v>2533.122901188528</v>
      </c>
      <c r="K29" s="2738">
        <f>SUM(C29:J29)</f>
        <v>76667.08128046451</v>
      </c>
      <c r="L29" s="2596"/>
    </row>
    <row r="30" spans="1:19" s="9" customFormat="1" ht="16.5" customHeight="1" thickBot="1" x14ac:dyDescent="0.35">
      <c r="A30" s="83"/>
      <c r="B30" s="2737" t="s">
        <v>764</v>
      </c>
      <c r="C30" s="2738">
        <v>0</v>
      </c>
      <c r="D30" s="2738">
        <v>0</v>
      </c>
      <c r="E30" s="2738">
        <v>82666.66</v>
      </c>
      <c r="F30" s="2738">
        <v>0</v>
      </c>
      <c r="G30" s="2738">
        <v>0</v>
      </c>
      <c r="H30" s="2738">
        <v>0</v>
      </c>
      <c r="I30" s="2738">
        <v>0</v>
      </c>
      <c r="J30" s="2738">
        <v>0</v>
      </c>
      <c r="K30" s="2738">
        <f>SUM(C30:J30)</f>
        <v>82666.66</v>
      </c>
      <c r="L30" s="2596"/>
    </row>
    <row r="31" spans="1:19" s="9" customFormat="1" ht="16.5" customHeight="1" thickBot="1" x14ac:dyDescent="0.35">
      <c r="A31" s="83"/>
      <c r="B31" s="2739" t="s">
        <v>765</v>
      </c>
      <c r="C31" s="2738">
        <v>11193.773999999999</v>
      </c>
      <c r="D31" s="2738">
        <v>389.77583742602167</v>
      </c>
      <c r="E31" s="2738">
        <v>61137.671045532603</v>
      </c>
      <c r="F31" s="2738">
        <v>0</v>
      </c>
      <c r="G31" s="2738">
        <v>0</v>
      </c>
      <c r="H31" s="2738">
        <v>4195.8158694433623</v>
      </c>
      <c r="I31" s="2738">
        <v>2371.0979049099333</v>
      </c>
      <c r="J31" s="2738">
        <v>711.6504409252359</v>
      </c>
      <c r="K31" s="2738">
        <f>SUM(C31:J31)</f>
        <v>79999.78509823716</v>
      </c>
      <c r="L31" s="2596"/>
    </row>
    <row r="32" spans="1:19" s="9" customFormat="1" ht="16.5" customHeight="1" thickBot="1" x14ac:dyDescent="0.35">
      <c r="A32" s="83"/>
      <c r="B32" s="2739" t="s">
        <v>766</v>
      </c>
      <c r="C32" s="2738">
        <v>3561.3980000000001</v>
      </c>
      <c r="D32" s="2738">
        <v>139.28580994904527</v>
      </c>
      <c r="E32" s="2738">
        <v>42840.315531810098</v>
      </c>
      <c r="F32" s="2738">
        <v>0</v>
      </c>
      <c r="G32" s="2738">
        <v>0</v>
      </c>
      <c r="H32" s="2738">
        <v>321.4287921901045</v>
      </c>
      <c r="I32" s="2738">
        <v>2413.8066028891503</v>
      </c>
      <c r="J32" s="2738">
        <v>723.8844257447978</v>
      </c>
      <c r="K32" s="2738">
        <f>SUM(C32:J32)</f>
        <v>50000.1191625832</v>
      </c>
      <c r="L32" s="2596"/>
    </row>
    <row r="33" spans="1:13" s="9" customFormat="1" ht="16.5" customHeight="1" thickBot="1" x14ac:dyDescent="0.35">
      <c r="A33" s="83"/>
      <c r="B33" s="2740" t="s">
        <v>747</v>
      </c>
      <c r="C33" s="2741">
        <f t="shared" ref="C33:K33" si="8">SUM(C29:C32)</f>
        <v>25084.075499999999</v>
      </c>
      <c r="D33" s="2741">
        <f t="shared" si="8"/>
        <v>892.07456386427418</v>
      </c>
      <c r="E33" s="2741">
        <f t="shared" si="8"/>
        <v>239828.1970397722</v>
      </c>
      <c r="F33" s="2741">
        <f t="shared" si="8"/>
        <v>0</v>
      </c>
      <c r="G33" s="2741">
        <f t="shared" si="8"/>
        <v>0</v>
      </c>
      <c r="H33" s="2741">
        <f t="shared" si="8"/>
        <v>6331.9931580289785</v>
      </c>
      <c r="I33" s="2741">
        <f t="shared" si="8"/>
        <v>13228.647511760842</v>
      </c>
      <c r="J33" s="2741">
        <f t="shared" si="8"/>
        <v>3968.6577678585613</v>
      </c>
      <c r="K33" s="2741">
        <f t="shared" si="8"/>
        <v>289333.64554128487</v>
      </c>
      <c r="L33" s="2596"/>
    </row>
    <row r="34" spans="1:13" s="1164" customFormat="1" ht="16.5" customHeight="1" thickBot="1" x14ac:dyDescent="0.35">
      <c r="A34" s="83"/>
      <c r="B34" s="2947" t="s">
        <v>108</v>
      </c>
      <c r="C34" s="2948"/>
      <c r="D34" s="2948"/>
      <c r="E34" s="2948"/>
      <c r="F34" s="2948"/>
      <c r="G34" s="2948"/>
      <c r="H34" s="2948"/>
      <c r="I34" s="2948"/>
      <c r="J34" s="2948"/>
      <c r="K34" s="2948"/>
      <c r="L34" s="2646"/>
    </row>
    <row r="35" spans="1:13" s="9" customFormat="1" ht="16.5" customHeight="1" thickBot="1" x14ac:dyDescent="0.35">
      <c r="A35" s="83"/>
      <c r="B35" s="2737" t="s">
        <v>605</v>
      </c>
      <c r="C35" s="2738">
        <v>0</v>
      </c>
      <c r="D35" s="2738">
        <v>0</v>
      </c>
      <c r="E35" s="2738">
        <v>0</v>
      </c>
      <c r="F35" s="2738">
        <v>0</v>
      </c>
      <c r="G35" s="2738">
        <v>0</v>
      </c>
      <c r="H35" s="2738">
        <v>0</v>
      </c>
      <c r="I35" s="2738">
        <f>186292-100000</f>
        <v>86292</v>
      </c>
      <c r="J35" s="2738">
        <v>0</v>
      </c>
      <c r="K35" s="2738">
        <f>SUM(C35:J35)</f>
        <v>86292</v>
      </c>
      <c r="L35" s="2596"/>
    </row>
    <row r="36" spans="1:13" s="9" customFormat="1" ht="16.5" customHeight="1" thickBot="1" x14ac:dyDescent="0.35">
      <c r="A36" s="83"/>
      <c r="B36" s="2739" t="s">
        <v>606</v>
      </c>
      <c r="C36" s="2738">
        <v>0</v>
      </c>
      <c r="D36" s="2738">
        <v>0</v>
      </c>
      <c r="E36" s="2738">
        <v>0</v>
      </c>
      <c r="F36" s="2738">
        <v>0</v>
      </c>
      <c r="G36" s="2738">
        <v>0</v>
      </c>
      <c r="H36" s="2738">
        <v>0</v>
      </c>
      <c r="I36" s="2738">
        <v>20000</v>
      </c>
      <c r="J36" s="2738">
        <v>0</v>
      </c>
      <c r="K36" s="2738">
        <f>SUM(C36:J36)</f>
        <v>20000</v>
      </c>
      <c r="L36" s="2596"/>
    </row>
    <row r="37" spans="1:13" s="9" customFormat="1" ht="16.5" customHeight="1" thickBot="1" x14ac:dyDescent="0.35">
      <c r="A37" s="83"/>
      <c r="B37" s="2739" t="s">
        <v>748</v>
      </c>
      <c r="C37" s="2738">
        <v>0</v>
      </c>
      <c r="D37" s="2738">
        <v>0</v>
      </c>
      <c r="E37" s="2738">
        <v>50000</v>
      </c>
      <c r="F37" s="2738">
        <v>0</v>
      </c>
      <c r="G37" s="2738">
        <v>0</v>
      </c>
      <c r="H37" s="2738">
        <v>0</v>
      </c>
      <c r="I37" s="2738">
        <f>J37*0.65</f>
        <v>0</v>
      </c>
      <c r="J37" s="2738">
        <v>0</v>
      </c>
      <c r="K37" s="2738">
        <f>SUM(C37:J37)</f>
        <v>50000</v>
      </c>
      <c r="L37" s="2596"/>
    </row>
    <row r="38" spans="1:13" s="1164" customFormat="1" ht="16.5" customHeight="1" thickBot="1" x14ac:dyDescent="0.35">
      <c r="A38" s="83"/>
      <c r="B38" s="2740" t="s">
        <v>749</v>
      </c>
      <c r="C38" s="2741">
        <f t="shared" ref="C38:K38" si="9">SUM(C35:C37)</f>
        <v>0</v>
      </c>
      <c r="D38" s="2741">
        <f t="shared" si="9"/>
        <v>0</v>
      </c>
      <c r="E38" s="2741">
        <f t="shared" si="9"/>
        <v>50000</v>
      </c>
      <c r="F38" s="2741">
        <f t="shared" si="9"/>
        <v>0</v>
      </c>
      <c r="G38" s="2741">
        <f t="shared" si="9"/>
        <v>0</v>
      </c>
      <c r="H38" s="2741">
        <f t="shared" si="9"/>
        <v>0</v>
      </c>
      <c r="I38" s="2741">
        <f t="shared" si="9"/>
        <v>106292</v>
      </c>
      <c r="J38" s="2741">
        <f t="shared" si="9"/>
        <v>0</v>
      </c>
      <c r="K38" s="2741">
        <f t="shared" si="9"/>
        <v>156292</v>
      </c>
      <c r="L38" s="2646"/>
    </row>
    <row r="39" spans="1:13" s="9" customFormat="1" ht="16.5" customHeight="1" thickBot="1" x14ac:dyDescent="0.35">
      <c r="A39" s="83"/>
      <c r="B39" s="2947" t="s">
        <v>401</v>
      </c>
      <c r="C39" s="2948"/>
      <c r="D39" s="2948"/>
      <c r="E39" s="2948"/>
      <c r="F39" s="2948"/>
      <c r="G39" s="2948"/>
      <c r="H39" s="2948"/>
      <c r="I39" s="2948"/>
      <c r="J39" s="2948"/>
      <c r="K39" s="2948"/>
      <c r="L39" s="2596"/>
    </row>
    <row r="40" spans="1:13" s="9" customFormat="1" ht="16.5" customHeight="1" thickBot="1" x14ac:dyDescent="0.35">
      <c r="A40" s="83"/>
      <c r="B40" s="2739" t="s">
        <v>330</v>
      </c>
      <c r="C40" s="2738">
        <v>178627.6985</v>
      </c>
      <c r="D40" s="2738">
        <f>+'CNG Table C 2013'!D38</f>
        <v>0</v>
      </c>
      <c r="E40" s="2738">
        <f>20675-11292</f>
        <v>9383</v>
      </c>
      <c r="F40" s="2738">
        <v>0</v>
      </c>
      <c r="G40" s="2738">
        <f>+'CNG Table C 2013'!F38</f>
        <v>0</v>
      </c>
      <c r="H40" s="2738">
        <f>+'CNG Table C 2013'!G38</f>
        <v>0</v>
      </c>
      <c r="I40" s="2738">
        <v>0</v>
      </c>
      <c r="J40" s="2738">
        <v>0</v>
      </c>
      <c r="K40" s="2738">
        <f>SUM(C40:J40)</f>
        <v>188010.6985</v>
      </c>
      <c r="L40" s="2596"/>
    </row>
    <row r="41" spans="1:13" s="9" customFormat="1" ht="16.5" customHeight="1" thickBot="1" x14ac:dyDescent="0.35">
      <c r="A41" s="83"/>
      <c r="B41" s="2739" t="s">
        <v>750</v>
      </c>
      <c r="C41" s="2738">
        <v>0</v>
      </c>
      <c r="D41" s="2738">
        <f>+'CNG Table C 2013'!D39</f>
        <v>0</v>
      </c>
      <c r="E41" s="2738">
        <v>0</v>
      </c>
      <c r="F41" s="2738">
        <v>0</v>
      </c>
      <c r="G41" s="2738">
        <f>+'CNG Table C 2013'!F39</f>
        <v>0</v>
      </c>
      <c r="H41" s="2738">
        <v>40100</v>
      </c>
      <c r="I41" s="2738">
        <v>0</v>
      </c>
      <c r="J41" s="2738">
        <v>0</v>
      </c>
      <c r="K41" s="2738">
        <f t="shared" ref="K41:K48" si="10">SUM(C41:J41)</f>
        <v>40100</v>
      </c>
      <c r="L41" s="2596"/>
    </row>
    <row r="42" spans="1:13" s="9" customFormat="1" ht="16.5" customHeight="1" thickBot="1" x14ac:dyDescent="0.35">
      <c r="A42" s="83"/>
      <c r="B42" s="2739" t="s">
        <v>281</v>
      </c>
      <c r="C42" s="2738">
        <v>122147.7415</v>
      </c>
      <c r="D42" s="2738">
        <f>+'CNG Table C 2013'!D41</f>
        <v>0</v>
      </c>
      <c r="E42" s="2738">
        <v>0</v>
      </c>
      <c r="F42" s="2738">
        <v>0</v>
      </c>
      <c r="G42" s="2738">
        <f>+'CNG Table C 2013'!F41</f>
        <v>0</v>
      </c>
      <c r="H42" s="2738">
        <f>+'CNG Table C 2013'!G41</f>
        <v>0</v>
      </c>
      <c r="I42" s="2738">
        <v>0</v>
      </c>
      <c r="J42" s="2738">
        <v>0</v>
      </c>
      <c r="K42" s="2738">
        <f>SUM(C42:J42)</f>
        <v>122147.7415</v>
      </c>
      <c r="L42" s="2596"/>
    </row>
    <row r="43" spans="1:13" s="1159" customFormat="1" ht="16.5" customHeight="1" thickBot="1" x14ac:dyDescent="0.35">
      <c r="A43" s="83"/>
      <c r="B43" s="2739" t="s">
        <v>751</v>
      </c>
      <c r="C43" s="2738">
        <v>0</v>
      </c>
      <c r="D43" s="2738">
        <f>+'CNG Table C 2013'!D42</f>
        <v>0</v>
      </c>
      <c r="E43" s="2738">
        <v>300000</v>
      </c>
      <c r="F43" s="2738">
        <v>0</v>
      </c>
      <c r="G43" s="2738">
        <f>+'CNG Table C 2013'!F42</f>
        <v>0</v>
      </c>
      <c r="H43" s="2738">
        <f>+'CNG Table C 2013'!G42</f>
        <v>0</v>
      </c>
      <c r="I43" s="2738">
        <v>0</v>
      </c>
      <c r="J43" s="2738">
        <v>0</v>
      </c>
      <c r="K43" s="2738">
        <f>SUM(C43:J43)</f>
        <v>300000</v>
      </c>
      <c r="L43" s="2596"/>
      <c r="M43" s="9"/>
    </row>
    <row r="44" spans="1:13" s="9" customFormat="1" ht="16.5" customHeight="1" thickBot="1" x14ac:dyDescent="0.35">
      <c r="A44" s="83"/>
      <c r="B44" s="2739" t="s">
        <v>752</v>
      </c>
      <c r="C44" s="2738">
        <v>0</v>
      </c>
      <c r="D44" s="2738">
        <f>+'CNG Table C 2013'!D42</f>
        <v>0</v>
      </c>
      <c r="E44" s="2738">
        <v>29607</v>
      </c>
      <c r="F44" s="2738">
        <v>0</v>
      </c>
      <c r="G44" s="2738">
        <f>+'CNG Table C 2013'!F40</f>
        <v>0</v>
      </c>
      <c r="H44" s="2738">
        <f>+'CNG Table C 2013'!G42</f>
        <v>0</v>
      </c>
      <c r="I44" s="2738">
        <v>0</v>
      </c>
      <c r="J44" s="2738">
        <v>0</v>
      </c>
      <c r="K44" s="2738">
        <f>SUM(C44:J44)</f>
        <v>29607</v>
      </c>
      <c r="L44" s="2596"/>
    </row>
    <row r="45" spans="1:13" s="9" customFormat="1" ht="16.5" customHeight="1" thickBot="1" x14ac:dyDescent="0.35">
      <c r="A45" s="83"/>
      <c r="B45" s="2739" t="s">
        <v>273</v>
      </c>
      <c r="C45" s="2738">
        <v>63500.745499999997</v>
      </c>
      <c r="D45" s="2738">
        <f>+'CNG Table C 2013'!D40</f>
        <v>0</v>
      </c>
      <c r="E45" s="2738">
        <f>120000+1464422-1497101+110000</f>
        <v>197321</v>
      </c>
      <c r="F45" s="2738">
        <v>0</v>
      </c>
      <c r="G45" s="2738">
        <f>+'CNG Table C 2013'!F40</f>
        <v>0</v>
      </c>
      <c r="H45" s="2738">
        <f>+'CNG Table C 2013'!G40</f>
        <v>0</v>
      </c>
      <c r="I45" s="2738">
        <v>0</v>
      </c>
      <c r="J45" s="2738">
        <v>0</v>
      </c>
      <c r="K45" s="2738">
        <f t="shared" si="10"/>
        <v>260821.74549999999</v>
      </c>
      <c r="L45" s="2596"/>
    </row>
    <row r="46" spans="1:13" s="9" customFormat="1" ht="16.5" customHeight="1" thickBot="1" x14ac:dyDescent="0.35">
      <c r="A46" s="83"/>
      <c r="B46" s="2739" t="s">
        <v>753</v>
      </c>
      <c r="C46" s="2738">
        <v>0</v>
      </c>
      <c r="D46" s="2738">
        <f>+'CNG Table C 2013'!D43</f>
        <v>0</v>
      </c>
      <c r="E46" s="2738">
        <v>53333</v>
      </c>
      <c r="F46" s="2738">
        <v>0</v>
      </c>
      <c r="G46" s="2738">
        <f>+'CNG Table C 2013'!F43</f>
        <v>0</v>
      </c>
      <c r="H46" s="2738">
        <f>+'CNG Table C 2013'!G43</f>
        <v>0</v>
      </c>
      <c r="I46" s="2738">
        <v>0</v>
      </c>
      <c r="J46" s="2738">
        <v>0</v>
      </c>
      <c r="K46" s="2738">
        <f t="shared" si="10"/>
        <v>53333</v>
      </c>
      <c r="L46" s="2596"/>
    </row>
    <row r="47" spans="1:13" s="9" customFormat="1" ht="16.5" customHeight="1" thickBot="1" x14ac:dyDescent="0.35">
      <c r="A47" s="83"/>
      <c r="B47" s="2739" t="s">
        <v>754</v>
      </c>
      <c r="C47" s="2738">
        <v>0</v>
      </c>
      <c r="D47" s="2738">
        <f>+'CNG Table C 2013'!D44</f>
        <v>0</v>
      </c>
      <c r="E47" s="2738">
        <v>10000</v>
      </c>
      <c r="F47" s="2738">
        <v>0</v>
      </c>
      <c r="G47" s="2738">
        <f>+'CNG Table C 2013'!F44</f>
        <v>0</v>
      </c>
      <c r="H47" s="2738">
        <f>+'CNG Table C 2013'!G44</f>
        <v>0</v>
      </c>
      <c r="I47" s="2738">
        <v>0</v>
      </c>
      <c r="J47" s="2738">
        <v>0</v>
      </c>
      <c r="K47" s="2738">
        <f>SUM(C47:J47)</f>
        <v>10000</v>
      </c>
      <c r="L47" s="2596"/>
    </row>
    <row r="48" spans="1:13" s="9" customFormat="1" ht="16.5" customHeight="1" thickBot="1" x14ac:dyDescent="0.35">
      <c r="A48" s="83"/>
      <c r="B48" s="2739" t="s">
        <v>755</v>
      </c>
      <c r="C48" s="2738">
        <v>0</v>
      </c>
      <c r="D48" s="2738">
        <f>+'CNG Table C 2013'!D44</f>
        <v>0</v>
      </c>
      <c r="E48" s="2738">
        <f>+'CNG Table C 2013'!E44</f>
        <v>0</v>
      </c>
      <c r="F48" s="2738">
        <v>0</v>
      </c>
      <c r="G48" s="2738">
        <f>+'CNG Table C 2013'!F44</f>
        <v>0</v>
      </c>
      <c r="H48" s="2738">
        <f>+'CNG Table C 2013'!G44</f>
        <v>0</v>
      </c>
      <c r="I48" s="2840">
        <f ca="1">'CNG Table A2'!G25</f>
        <v>778909.06351248734</v>
      </c>
      <c r="J48" s="2738">
        <v>0</v>
      </c>
      <c r="K48" s="2738">
        <f t="shared" ca="1" si="10"/>
        <v>778909.06351248734</v>
      </c>
      <c r="L48" s="2596"/>
    </row>
    <row r="49" spans="1:14" s="9" customFormat="1" ht="16.5" customHeight="1" thickBot="1" x14ac:dyDescent="0.3">
      <c r="A49" s="1145"/>
      <c r="B49" s="2740" t="s">
        <v>756</v>
      </c>
      <c r="C49" s="2741">
        <f t="shared" ref="C49:K49" si="11">SUM(C40:C48)</f>
        <v>364276.18550000002</v>
      </c>
      <c r="D49" s="2741">
        <f t="shared" si="11"/>
        <v>0</v>
      </c>
      <c r="E49" s="2741">
        <f t="shared" si="11"/>
        <v>599644</v>
      </c>
      <c r="F49" s="2741">
        <f t="shared" si="11"/>
        <v>0</v>
      </c>
      <c r="G49" s="2741">
        <f t="shared" si="11"/>
        <v>0</v>
      </c>
      <c r="H49" s="2741">
        <f t="shared" si="11"/>
        <v>40100</v>
      </c>
      <c r="I49" s="2741">
        <f t="shared" ca="1" si="11"/>
        <v>778909.06351248734</v>
      </c>
      <c r="J49" s="2741">
        <f t="shared" si="11"/>
        <v>0</v>
      </c>
      <c r="K49" s="2741">
        <f t="shared" ca="1" si="11"/>
        <v>1782929.2490124872</v>
      </c>
      <c r="L49" s="2596"/>
    </row>
    <row r="50" spans="1:14" ht="19.5" customHeight="1" thickBot="1" x14ac:dyDescent="0.35">
      <c r="A50" s="83"/>
      <c r="B50" s="2742"/>
      <c r="C50" s="2743"/>
      <c r="D50" s="2743"/>
      <c r="E50" s="2743"/>
      <c r="F50" s="2743"/>
      <c r="G50" s="2743"/>
      <c r="H50" s="2743"/>
      <c r="I50" s="2743"/>
      <c r="J50" s="2743"/>
      <c r="K50" s="2744"/>
    </row>
    <row r="51" spans="1:14" ht="21" thickBot="1" x14ac:dyDescent="0.35">
      <c r="A51" s="83"/>
      <c r="B51" s="2740" t="s">
        <v>58</v>
      </c>
      <c r="C51" s="2741">
        <f t="shared" ref="C51:K51" si="12">+C17+C23+C27+C33+C38+C49</f>
        <v>1647592.7758249999</v>
      </c>
      <c r="D51" s="2741">
        <f t="shared" si="12"/>
        <v>5417.0745638642738</v>
      </c>
      <c r="E51" s="2741">
        <f t="shared" si="12"/>
        <v>1698133.6072671218</v>
      </c>
      <c r="F51" s="2741">
        <f t="shared" si="12"/>
        <v>72900</v>
      </c>
      <c r="G51" s="2741">
        <f t="shared" si="12"/>
        <v>11262981.68665611</v>
      </c>
      <c r="H51" s="2741">
        <f t="shared" si="12"/>
        <v>754610.74265802896</v>
      </c>
      <c r="I51" s="2741">
        <f t="shared" ca="1" si="12"/>
        <v>905848.29102424812</v>
      </c>
      <c r="J51" s="2741">
        <f t="shared" si="12"/>
        <v>102546.15776785856</v>
      </c>
      <c r="K51" s="2741">
        <f t="shared" ca="1" si="12"/>
        <v>16450030.335762231</v>
      </c>
    </row>
    <row r="53" spans="1:14" x14ac:dyDescent="0.2">
      <c r="K53" s="2501">
        <f>'CNG Table A2'!G16</f>
        <v>16450030.333762234</v>
      </c>
    </row>
    <row r="54" spans="1:14" x14ac:dyDescent="0.2">
      <c r="C54" s="2482"/>
    </row>
    <row r="55" spans="1:14" x14ac:dyDescent="0.2">
      <c r="J55" s="1172">
        <f ca="1">+J51/K51</f>
        <v>6.2337974869823834E-3</v>
      </c>
      <c r="K55" s="587">
        <f ca="1">+K53-K51</f>
        <v>-1.9999966025352478E-3</v>
      </c>
    </row>
    <row r="58" spans="1:14" x14ac:dyDescent="0.2">
      <c r="F58" s="134"/>
    </row>
    <row r="59" spans="1:14" s="2469" customFormat="1" x14ac:dyDescent="0.2">
      <c r="A59" s="49"/>
      <c r="B59" s="49"/>
      <c r="C59" s="64"/>
      <c r="D59" s="63"/>
      <c r="E59" s="63"/>
      <c r="F59" s="134"/>
      <c r="G59" s="49"/>
      <c r="H59" s="49"/>
      <c r="I59" s="49"/>
      <c r="J59" s="49"/>
      <c r="K59" s="49"/>
      <c r="M59" s="49"/>
      <c r="N59" s="49"/>
    </row>
    <row r="60" spans="1:14" s="2469" customFormat="1" x14ac:dyDescent="0.2">
      <c r="A60" s="49"/>
      <c r="B60" s="49"/>
      <c r="C60" s="64"/>
      <c r="D60" s="63"/>
      <c r="E60" s="63"/>
      <c r="F60" s="134"/>
      <c r="G60" s="49"/>
      <c r="H60" s="49"/>
      <c r="I60" s="49"/>
      <c r="J60" s="49"/>
      <c r="K60" s="49"/>
      <c r="M60" s="49"/>
      <c r="N60" s="49"/>
    </row>
    <row r="61" spans="1:14" s="2469" customFormat="1" x14ac:dyDescent="0.2">
      <c r="A61" s="49"/>
      <c r="B61" s="49"/>
      <c r="C61" s="64"/>
      <c r="D61" s="63"/>
      <c r="E61" s="63"/>
      <c r="F61" s="134"/>
      <c r="G61" s="49"/>
      <c r="H61" s="49"/>
      <c r="I61" s="49"/>
      <c r="J61" s="49"/>
      <c r="K61" s="49"/>
      <c r="M61" s="49"/>
      <c r="N61" s="49"/>
    </row>
    <row r="62" spans="1:14" s="2469" customFormat="1" x14ac:dyDescent="0.2">
      <c r="A62" s="49"/>
      <c r="B62" s="49"/>
      <c r="C62" s="64"/>
      <c r="D62" s="63"/>
      <c r="E62" s="63"/>
      <c r="F62" s="134"/>
      <c r="G62" s="49"/>
      <c r="H62" s="49"/>
      <c r="I62" s="49"/>
      <c r="J62" s="49"/>
      <c r="K62" s="1172"/>
      <c r="M62" s="49"/>
      <c r="N62" s="49"/>
    </row>
    <row r="63" spans="1:14" s="2469" customFormat="1" x14ac:dyDescent="0.2">
      <c r="A63" s="49"/>
      <c r="B63" s="49"/>
      <c r="C63" s="64"/>
      <c r="D63" s="63"/>
      <c r="E63" s="63"/>
      <c r="F63" s="134"/>
      <c r="G63" s="49"/>
      <c r="H63" s="49"/>
      <c r="I63" s="49"/>
      <c r="J63" s="49"/>
      <c r="K63" s="1172"/>
      <c r="M63" s="49"/>
      <c r="N63" s="49"/>
    </row>
    <row r="64" spans="1:14" s="2469" customFormat="1" x14ac:dyDescent="0.2">
      <c r="A64" s="49"/>
      <c r="B64" s="49"/>
      <c r="C64" s="64"/>
      <c r="D64" s="63"/>
      <c r="E64" s="63"/>
      <c r="F64" s="63"/>
      <c r="G64" s="49"/>
      <c r="H64" s="49"/>
      <c r="I64" s="49"/>
      <c r="J64" s="49"/>
      <c r="K64" s="1172"/>
      <c r="M64" s="49"/>
      <c r="N64" s="49"/>
    </row>
  </sheetData>
  <mergeCells count="8">
    <mergeCell ref="B34:K34"/>
    <mergeCell ref="B39:K39"/>
    <mergeCell ref="B18:K18"/>
    <mergeCell ref="B24:K24"/>
    <mergeCell ref="B1:K1"/>
    <mergeCell ref="B2:K2"/>
    <mergeCell ref="B11:K11"/>
    <mergeCell ref="B28:K28"/>
  </mergeCells>
  <printOptions horizontalCentered="1" verticalCentered="1"/>
  <pageMargins left="0.61" right="0.31" top="0.2" bottom="0.43" header="0.2" footer="0.18"/>
  <pageSetup scale="47" orientation="landscape" r:id="rId1"/>
  <headerFooter alignWithMargins="0">
    <oddFooter>&amp;C&amp;1#&amp;"Calibri"&amp;12&amp;K008000Internal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181</vt:i4>
      </vt:variant>
      <vt:variant>
        <vt:lpstr>Named Ranges</vt:lpstr>
      </vt:variant>
      <vt:variant>
        <vt:i4>395</vt:i4>
      </vt:variant>
    </vt:vector>
  </HeadingPairs>
  <TitlesOfParts>
    <vt:vector size="576" baseType="lpstr">
      <vt:lpstr>2012-2013 Combined Table A1 </vt:lpstr>
      <vt:lpstr>2013-2015 Combined Table A1</vt:lpstr>
      <vt:lpstr>Combined Table A2</vt:lpstr>
      <vt:lpstr>2013 Table A1 Pies</vt:lpstr>
      <vt:lpstr>2012 Combined Table A1 -Inc.Fun</vt:lpstr>
      <vt:lpstr>2014 Table A1 Pies </vt:lpstr>
      <vt:lpstr>2015 Table A1 Pies </vt:lpstr>
      <vt:lpstr>Summary DN10-10-03 Order 26i </vt:lpstr>
      <vt:lpstr>DN 10-10-03 Order 26i YGS </vt:lpstr>
      <vt:lpstr>DN 10-10-03 Order 26i CNG</vt:lpstr>
      <vt:lpstr>DN 10-10-03 Order 26i SCG</vt:lpstr>
      <vt:lpstr>YGS Table A </vt:lpstr>
      <vt:lpstr>YGS 2013 Table A Pie Charts </vt:lpstr>
      <vt:lpstr>YGS 2014 Table A Pie Charts  </vt:lpstr>
      <vt:lpstr>YGS 2015 Table A Pie Charts </vt:lpstr>
      <vt:lpstr>Revision History</vt:lpstr>
      <vt:lpstr>CNG Table A</vt:lpstr>
      <vt:lpstr>CNG 2013 Table A Pie Charts</vt:lpstr>
      <vt:lpstr>CNG 2014 Table A Pie Charts</vt:lpstr>
      <vt:lpstr>CNG 2016 Table A Pie Charts </vt:lpstr>
      <vt:lpstr>CNG 2017 Table A Pie Charts</vt:lpstr>
      <vt:lpstr>CNG 2022 Table A Pie Chart</vt:lpstr>
      <vt:lpstr>CNG 2023 Table A Pie Chart</vt:lpstr>
      <vt:lpstr>CNG 2024 Table A Pie Chart</vt:lpstr>
      <vt:lpstr>CNG Table A2</vt:lpstr>
      <vt:lpstr>Budget Allocation Table</vt:lpstr>
      <vt:lpstr>SCG Table A</vt:lpstr>
      <vt:lpstr>SCG 2013 Table A Pie Charts</vt:lpstr>
      <vt:lpstr>SCG 2014 Table A Pie Charts </vt:lpstr>
      <vt:lpstr>2013 Summary Table B </vt:lpstr>
      <vt:lpstr>Summary Table B  Incr. Sav</vt:lpstr>
      <vt:lpstr>SCG 2016 Table A Pie Charts</vt:lpstr>
      <vt:lpstr>2014 Summary Table B </vt:lpstr>
      <vt:lpstr>SCG 2017 Table A Pie Charts</vt:lpstr>
      <vt:lpstr>SCG 2022 Table A Pie Chart</vt:lpstr>
      <vt:lpstr>SCG 2023 Table A Pie Chart</vt:lpstr>
      <vt:lpstr>SCG 2024 Table A Pie Chart</vt:lpstr>
      <vt:lpstr>SCG Table A2</vt:lpstr>
      <vt:lpstr>Budget Allocation Table  </vt:lpstr>
      <vt:lpstr>2016 Summary Table B</vt:lpstr>
      <vt:lpstr>YGS 2013 Table C Pie Chart </vt:lpstr>
      <vt:lpstr>YGS Table C 2012 Increased Fund</vt:lpstr>
      <vt:lpstr>YGS 2012 Tab C Pie Chart Inc Fu</vt:lpstr>
      <vt:lpstr>YGS Table C 2013</vt:lpstr>
      <vt:lpstr>YGS 2013 Tab C Pie Chart </vt:lpstr>
      <vt:lpstr>YGS Table C 2014</vt:lpstr>
      <vt:lpstr>YGS 2014 Tab C Pie Chart </vt:lpstr>
      <vt:lpstr>YGS Table C 2015</vt:lpstr>
      <vt:lpstr>YGS 2015 Tab C Pie Chart </vt:lpstr>
      <vt:lpstr>CNG Table C 2013</vt:lpstr>
      <vt:lpstr>CNG 2013 Table C Pie Chart</vt:lpstr>
      <vt:lpstr>CNG Table C 2012 INCREASED FUND</vt:lpstr>
      <vt:lpstr>CNG 2012 Table C Pie Chart Incr</vt:lpstr>
      <vt:lpstr>CNG Table C 2014</vt:lpstr>
      <vt:lpstr>CNG 2014 Table C Pie Chart</vt:lpstr>
      <vt:lpstr>10.1.15 2016 Summary Table B</vt:lpstr>
      <vt:lpstr>2017 Summary Table B</vt:lpstr>
      <vt:lpstr>10.1.15 2017 Summary Table B</vt:lpstr>
      <vt:lpstr>Mar 16 2017 Summary Table B</vt:lpstr>
      <vt:lpstr>2018 Summary Table B</vt:lpstr>
      <vt:lpstr>2019 Summary Table B</vt:lpstr>
      <vt:lpstr>10.1.15 2018 Summary Table B</vt:lpstr>
      <vt:lpstr>Mar 16 2018 Summary Table B</vt:lpstr>
      <vt:lpstr>CNG Table C 2016</vt:lpstr>
      <vt:lpstr>10.1.15 CNG Table C 2016</vt:lpstr>
      <vt:lpstr>CNG 2016 Table C Pie Chart</vt:lpstr>
      <vt:lpstr>SCG Table C 2013</vt:lpstr>
      <vt:lpstr>SCG 2013 Table C Pie Chart</vt:lpstr>
      <vt:lpstr>SCG Table C 2012 Incr. Sav</vt:lpstr>
      <vt:lpstr>SCG Table C Pie Chart Incr. Sav</vt:lpstr>
      <vt:lpstr>SCG Table C 2014</vt:lpstr>
      <vt:lpstr>SCG 2014 Table C Pie Chart</vt:lpstr>
      <vt:lpstr>CNG Table C 2017</vt:lpstr>
      <vt:lpstr>10.1.15 CNG Table C 2017</vt:lpstr>
      <vt:lpstr>Mar 16 CNG Table C 2017</vt:lpstr>
      <vt:lpstr>CNG 2017 Table C Pie Chart</vt:lpstr>
      <vt:lpstr>2022 Summary Table B</vt:lpstr>
      <vt:lpstr>2023 Summary Table B</vt:lpstr>
      <vt:lpstr>2024 Summary Table B</vt:lpstr>
      <vt:lpstr>CNG Table C 2018</vt:lpstr>
      <vt:lpstr>CNG Table C 2019</vt:lpstr>
      <vt:lpstr>10.1.15 CNG Table C 2018</vt:lpstr>
      <vt:lpstr>Mar 16 CNG Table C 2018</vt:lpstr>
      <vt:lpstr>SCG Table C 2016</vt:lpstr>
      <vt:lpstr>10.1.15 SCG Table C 2016</vt:lpstr>
      <vt:lpstr>SCG 2016 Table C Pie Chart</vt:lpstr>
      <vt:lpstr>YGS Table D</vt:lpstr>
      <vt:lpstr>YGS Table D1 </vt:lpstr>
      <vt:lpstr>YGS Table D1</vt:lpstr>
      <vt:lpstr>YGS Table D3</vt:lpstr>
      <vt:lpstr>SCG Table C 2017</vt:lpstr>
      <vt:lpstr>10.1.15 SCG Table C 2017</vt:lpstr>
      <vt:lpstr>Mar 16 SCG Table C 2017</vt:lpstr>
      <vt:lpstr>SCG 2017 Table C Pie Chart</vt:lpstr>
      <vt:lpstr>10.1.15 SCG Table C 2018</vt:lpstr>
      <vt:lpstr>Mar 16 SCG Table C 2018</vt:lpstr>
      <vt:lpstr>CNG Table C 2022</vt:lpstr>
      <vt:lpstr>CNG Table C 2023</vt:lpstr>
      <vt:lpstr>CNG Table C 2024</vt:lpstr>
      <vt:lpstr>SCG Table C 2018</vt:lpstr>
      <vt:lpstr>SCG Table C 2019</vt:lpstr>
      <vt:lpstr>CNG Table C 2025</vt:lpstr>
      <vt:lpstr>CNG 2022 Table C Pie Chart</vt:lpstr>
      <vt:lpstr>CNG 2023 Table C Pie Chart</vt:lpstr>
      <vt:lpstr>CNG 2024 Table C Pie Chart</vt:lpstr>
      <vt:lpstr>SCG Table C 2022</vt:lpstr>
      <vt:lpstr>SCG Table C 2023</vt:lpstr>
      <vt:lpstr>SCG Table C 2024</vt:lpstr>
      <vt:lpstr>SCG Table C 2025</vt:lpstr>
      <vt:lpstr>SCG 2022 Table C Pie Chart</vt:lpstr>
      <vt:lpstr>YGS 2013 Exhibit 4</vt:lpstr>
      <vt:lpstr>YGS 2014 Exhibit 4</vt:lpstr>
      <vt:lpstr>YGS 2015 Exhibit 4</vt:lpstr>
      <vt:lpstr>CNG 2013 Exhibit 4</vt:lpstr>
      <vt:lpstr>CNG 2014 Exhibit 4</vt:lpstr>
      <vt:lpstr>SCG 2013 Exhibit 4</vt:lpstr>
      <vt:lpstr>CNG 2016 Exhibit 4</vt:lpstr>
      <vt:lpstr>SCG 2014 Exhibit 4</vt:lpstr>
      <vt:lpstr>YGS Income Eligible </vt:lpstr>
      <vt:lpstr>YGS HES </vt:lpstr>
      <vt:lpstr>YGS New Construction</vt:lpstr>
      <vt:lpstr>YGS Water Heating </vt:lpstr>
      <vt:lpstr>YGS ECB  </vt:lpstr>
      <vt:lpstr>YGS ENOPP </vt:lpstr>
      <vt:lpstr>YGS O&amp;M </vt:lpstr>
      <vt:lpstr>YGS SBEA    </vt:lpstr>
      <vt:lpstr>Smart Living </vt:lpstr>
      <vt:lpstr>EE Communities </vt:lpstr>
      <vt:lpstr>CNG 2017 Exhibit 4</vt:lpstr>
      <vt:lpstr>SCG 2023 Table C Pie Chart</vt:lpstr>
      <vt:lpstr>SCG 2024 Table C Pie Chart</vt:lpstr>
      <vt:lpstr>SCG 2025 Table C Pie Chart</vt:lpstr>
      <vt:lpstr>CNG Table D</vt:lpstr>
      <vt:lpstr>CNG Table D1</vt:lpstr>
      <vt:lpstr>CNG Table D2</vt:lpstr>
      <vt:lpstr>CNG Table D3</vt:lpstr>
      <vt:lpstr>SCG Table D </vt:lpstr>
      <vt:lpstr>SCG Table D1 </vt:lpstr>
      <vt:lpstr>SCG Table D2</vt:lpstr>
      <vt:lpstr>SCG Table D3</vt:lpstr>
      <vt:lpstr>CNG 2022 Exhibit 4</vt:lpstr>
      <vt:lpstr>CNG 2023 Exhibit 4</vt:lpstr>
      <vt:lpstr>CNG 2024 Exhibit 4</vt:lpstr>
      <vt:lpstr>SCG 2022 Exhibit 4</vt:lpstr>
      <vt:lpstr>SCG 2023 Exhibit 4</vt:lpstr>
      <vt:lpstr>SCG 2024 Exhibit 4</vt:lpstr>
      <vt:lpstr>SCG 2016 Exhibit 4</vt:lpstr>
      <vt:lpstr>SCG 2017 Exhibit 4</vt:lpstr>
      <vt:lpstr>CNG Income Eligible</vt:lpstr>
      <vt:lpstr>SCG Income Eligible</vt:lpstr>
      <vt:lpstr>YGS Water Heating</vt:lpstr>
      <vt:lpstr>CNG Water Heating</vt:lpstr>
      <vt:lpstr>SCG Water Heating</vt:lpstr>
      <vt:lpstr>CNG HES</vt:lpstr>
      <vt:lpstr>SCG HES</vt:lpstr>
      <vt:lpstr>CNG New Construction</vt:lpstr>
      <vt:lpstr>SCG New Construction</vt:lpstr>
      <vt:lpstr>SCG Residential Behavior</vt:lpstr>
      <vt:lpstr>CNG ECB</vt:lpstr>
      <vt:lpstr>SCG ECB</vt:lpstr>
      <vt:lpstr>YGS ENOPP</vt:lpstr>
      <vt:lpstr>CNG ENOPP</vt:lpstr>
      <vt:lpstr>SCG ENOPP</vt:lpstr>
      <vt:lpstr>YGS O&amp;M</vt:lpstr>
      <vt:lpstr>CNG O&amp;M</vt:lpstr>
      <vt:lpstr>SCG O&amp;M</vt:lpstr>
      <vt:lpstr>CNG SBEA</vt:lpstr>
      <vt:lpstr>SCG SBEA</vt:lpstr>
      <vt:lpstr>CNG ECC</vt:lpstr>
      <vt:lpstr>SCG ECC</vt:lpstr>
      <vt:lpstr>CNG K-12</vt:lpstr>
      <vt:lpstr>SCG K-12</vt:lpstr>
      <vt:lpstr>CNG CEC</vt:lpstr>
      <vt:lpstr>SCG CEC</vt:lpstr>
      <vt:lpstr>YGS Income Eligible  (2)</vt:lpstr>
      <vt:lpstr>YGS HES (2)</vt:lpstr>
      <vt:lpstr>YGS Water Heating   </vt:lpstr>
      <vt:lpstr>YGS ECB   </vt:lpstr>
      <vt:lpstr>YGS ENOPP  </vt:lpstr>
      <vt:lpstr>YGS O&amp;M   </vt:lpstr>
      <vt:lpstr>YGS SBEA </vt:lpstr>
      <vt:lpstr>'10.1.15 2016 Summary Table B'!cckwh</vt:lpstr>
      <vt:lpstr>'10.1.15 2017 Summary Table B'!cckwhII</vt:lpstr>
      <vt:lpstr>'Mar 16 2017 Summary Table B'!cckwhII</vt:lpstr>
      <vt:lpstr>'10.1.15 2018 Summary Table B'!cckwhIII</vt:lpstr>
      <vt:lpstr>'Mar 16 2018 Summary Table B'!cckwhIII</vt:lpstr>
      <vt:lpstr>cckwhIII</vt:lpstr>
      <vt:lpstr>'10.1.15 2016 Summary Table B'!crkwh</vt:lpstr>
      <vt:lpstr>'10.1.15 2017 Summary Table B'!crkwhII</vt:lpstr>
      <vt:lpstr>'Mar 16 2017 Summary Table B'!crkwhII</vt:lpstr>
      <vt:lpstr>'10.1.15 2018 Summary Table B'!crkwhIII</vt:lpstr>
      <vt:lpstr>'Mar 16 2018 Summary Table B'!crkwhIII</vt:lpstr>
      <vt:lpstr>crkwhIII</vt:lpstr>
      <vt:lpstr>'10.1.15 2016 Summary Table B'!Print_Area</vt:lpstr>
      <vt:lpstr>'10.1.15 2017 Summary Table B'!Print_Area</vt:lpstr>
      <vt:lpstr>'10.1.15 2018 Summary Table B'!Print_Area</vt:lpstr>
      <vt:lpstr>'10.1.15 CNG Table C 2016'!Print_Area</vt:lpstr>
      <vt:lpstr>'10.1.15 CNG Table C 2017'!Print_Area</vt:lpstr>
      <vt:lpstr>'10.1.15 CNG Table C 2018'!Print_Area</vt:lpstr>
      <vt:lpstr>'10.1.15 SCG Table C 2016'!Print_Area</vt:lpstr>
      <vt:lpstr>'10.1.15 SCG Table C 2017'!Print_Area</vt:lpstr>
      <vt:lpstr>'10.1.15 SCG Table C 2018'!Print_Area</vt:lpstr>
      <vt:lpstr>'2012 Combined Table A1 -Inc.Fun'!Print_Area</vt:lpstr>
      <vt:lpstr>'2012-2013 Combined Table A1 '!Print_Area</vt:lpstr>
      <vt:lpstr>'2013 Summary Table B '!Print_Area</vt:lpstr>
      <vt:lpstr>'2013 Table A1 Pies'!Print_Area</vt:lpstr>
      <vt:lpstr>'2013-2015 Combined Table A1'!Print_Area</vt:lpstr>
      <vt:lpstr>'2014 Summary Table B '!Print_Area</vt:lpstr>
      <vt:lpstr>'2016 Summary Table B'!Print_Area</vt:lpstr>
      <vt:lpstr>'2017 Summary Table B'!Print_Area</vt:lpstr>
      <vt:lpstr>'2018 Summary Table B'!Print_Area</vt:lpstr>
      <vt:lpstr>'CNG 2012 Table C Pie Chart Incr'!Print_Area</vt:lpstr>
      <vt:lpstr>'CNG 2013 Exhibit 4'!Print_Area</vt:lpstr>
      <vt:lpstr>'CNG 2013 Table A Pie Charts'!Print_Area</vt:lpstr>
      <vt:lpstr>'CNG 2013 Table C Pie Chart'!Print_Area</vt:lpstr>
      <vt:lpstr>'CNG 2014 Exhibit 4'!Print_Area</vt:lpstr>
      <vt:lpstr>'CNG 2014 Table C Pie Chart'!Print_Area</vt:lpstr>
      <vt:lpstr>'CNG 2016 Exhibit 4'!Print_Area</vt:lpstr>
      <vt:lpstr>'CNG 2016 Table A Pie Charts '!Print_Area</vt:lpstr>
      <vt:lpstr>'CNG 2016 Table C Pie Chart'!Print_Area</vt:lpstr>
      <vt:lpstr>'CNG 2017 Exhibit 4'!Print_Area</vt:lpstr>
      <vt:lpstr>'CNG 2017 Table A Pie Charts'!Print_Area</vt:lpstr>
      <vt:lpstr>'CNG 2017 Table C Pie Chart'!Print_Area</vt:lpstr>
      <vt:lpstr>'CNG 2022 Exhibit 4'!Print_Area</vt:lpstr>
      <vt:lpstr>'CNG 2023 Exhibit 4'!Print_Area</vt:lpstr>
      <vt:lpstr>'CNG 2024 Exhibit 4'!Print_Area</vt:lpstr>
      <vt:lpstr>'CNG CEC'!Print_Area</vt:lpstr>
      <vt:lpstr>'CNG ECB'!Print_Area</vt:lpstr>
      <vt:lpstr>'CNG ECC'!Print_Area</vt:lpstr>
      <vt:lpstr>'CNG ENOPP'!Print_Area</vt:lpstr>
      <vt:lpstr>'CNG HES'!Print_Area</vt:lpstr>
      <vt:lpstr>'CNG Income Eligible'!Print_Area</vt:lpstr>
      <vt:lpstr>'CNG K-12'!Print_Area</vt:lpstr>
      <vt:lpstr>'CNG New Construction'!Print_Area</vt:lpstr>
      <vt:lpstr>'CNG O&amp;M'!Print_Area</vt:lpstr>
      <vt:lpstr>'CNG SBEA'!Print_Area</vt:lpstr>
      <vt:lpstr>'CNG Table C 2012 INCREASED FUND'!Print_Area</vt:lpstr>
      <vt:lpstr>'CNG Table C 2013'!Print_Area</vt:lpstr>
      <vt:lpstr>'CNG Table C 2014'!Print_Area</vt:lpstr>
      <vt:lpstr>'CNG Table C 2016'!Print_Area</vt:lpstr>
      <vt:lpstr>'CNG Table C 2017'!Print_Area</vt:lpstr>
      <vt:lpstr>'CNG Table C 2018'!Print_Area</vt:lpstr>
      <vt:lpstr>'CNG Water Heating'!Print_Area</vt:lpstr>
      <vt:lpstr>'Combined Table A2'!Print_Area</vt:lpstr>
      <vt:lpstr>'DN 10-10-03 Order 26i CNG'!Print_Area</vt:lpstr>
      <vt:lpstr>'DN 10-10-03 Order 26i SCG'!Print_Area</vt:lpstr>
      <vt:lpstr>'DN 10-10-03 Order 26i YGS '!Print_Area</vt:lpstr>
      <vt:lpstr>'Mar 16 2017 Summary Table B'!Print_Area</vt:lpstr>
      <vt:lpstr>'Mar 16 2018 Summary Table B'!Print_Area</vt:lpstr>
      <vt:lpstr>'Mar 16 CNG Table C 2017'!Print_Area</vt:lpstr>
      <vt:lpstr>'Mar 16 CNG Table C 2018'!Print_Area</vt:lpstr>
      <vt:lpstr>'Mar 16 SCG Table C 2017'!Print_Area</vt:lpstr>
      <vt:lpstr>'Mar 16 SCG Table C 2018'!Print_Area</vt:lpstr>
      <vt:lpstr>'SCG 2013 Exhibit 4'!Print_Area</vt:lpstr>
      <vt:lpstr>'SCG 2013 Table A Pie Charts'!Print_Area</vt:lpstr>
      <vt:lpstr>'SCG 2013 Table C Pie Chart'!Print_Area</vt:lpstr>
      <vt:lpstr>'SCG 2014 Exhibit 4'!Print_Area</vt:lpstr>
      <vt:lpstr>'SCG 2014 Table A Pie Charts '!Print_Area</vt:lpstr>
      <vt:lpstr>'SCG 2014 Table C Pie Chart'!Print_Area</vt:lpstr>
      <vt:lpstr>'SCG 2016 Exhibit 4'!Print_Area</vt:lpstr>
      <vt:lpstr>'SCG 2016 Table A Pie Charts'!Print_Area</vt:lpstr>
      <vt:lpstr>'SCG 2016 Table C Pie Chart'!Print_Area</vt:lpstr>
      <vt:lpstr>'SCG 2017 Exhibit 4'!Print_Area</vt:lpstr>
      <vt:lpstr>'SCG 2017 Table A Pie Charts'!Print_Area</vt:lpstr>
      <vt:lpstr>'SCG 2017 Table C Pie Chart'!Print_Area</vt:lpstr>
      <vt:lpstr>'SCG 2022 Exhibit 4'!Print_Area</vt:lpstr>
      <vt:lpstr>'SCG 2023 Exhibit 4'!Print_Area</vt:lpstr>
      <vt:lpstr>'SCG 2024 Exhibit 4'!Print_Area</vt:lpstr>
      <vt:lpstr>'SCG CEC'!Print_Area</vt:lpstr>
      <vt:lpstr>'SCG ECB'!Print_Area</vt:lpstr>
      <vt:lpstr>'SCG ECC'!Print_Area</vt:lpstr>
      <vt:lpstr>'SCG ENOPP'!Print_Area</vt:lpstr>
      <vt:lpstr>'SCG HES'!Print_Area</vt:lpstr>
      <vt:lpstr>'SCG Income Eligible'!Print_Area</vt:lpstr>
      <vt:lpstr>'SCG K-12'!Print_Area</vt:lpstr>
      <vt:lpstr>'SCG New Construction'!Print_Area</vt:lpstr>
      <vt:lpstr>'SCG O&amp;M'!Print_Area</vt:lpstr>
      <vt:lpstr>'SCG Residential Behavior'!Print_Area</vt:lpstr>
      <vt:lpstr>'SCG SBEA'!Print_Area</vt:lpstr>
      <vt:lpstr>'SCG Table C 2012 Incr. Sav'!Print_Area</vt:lpstr>
      <vt:lpstr>'SCG Table C 2013'!Print_Area</vt:lpstr>
      <vt:lpstr>'SCG Table C 2014'!Print_Area</vt:lpstr>
      <vt:lpstr>'SCG Table C 2016'!Print_Area</vt:lpstr>
      <vt:lpstr>'SCG Table C 2017'!Print_Area</vt:lpstr>
      <vt:lpstr>'SCG Table C 2018'!Print_Area</vt:lpstr>
      <vt:lpstr>'SCG Water Heating'!Print_Area</vt:lpstr>
      <vt:lpstr>'Summary DN10-10-03 Order 26i '!Print_Area</vt:lpstr>
      <vt:lpstr>'Summary Table B  Incr. Sav'!Print_Area</vt:lpstr>
      <vt:lpstr>'YGS 2012 Tab C Pie Chart Inc Fu'!Print_Area</vt:lpstr>
      <vt:lpstr>'YGS 2013 Exhibit 4'!Print_Area</vt:lpstr>
      <vt:lpstr>'YGS 2013 Tab C Pie Chart '!Print_Area</vt:lpstr>
      <vt:lpstr>'YGS 2013 Table A Pie Charts '!Print_Area</vt:lpstr>
      <vt:lpstr>'YGS 2013 Table C Pie Chart '!Print_Area</vt:lpstr>
      <vt:lpstr>'YGS 2014 Exhibit 4'!Print_Area</vt:lpstr>
      <vt:lpstr>'YGS ECB  '!Print_Area</vt:lpstr>
      <vt:lpstr>'YGS ECB   '!Print_Area</vt:lpstr>
      <vt:lpstr>'YGS ENOPP'!Print_Area</vt:lpstr>
      <vt:lpstr>'YGS ENOPP '!Print_Area</vt:lpstr>
      <vt:lpstr>'YGS ENOPP  '!Print_Area</vt:lpstr>
      <vt:lpstr>'YGS HES '!Print_Area</vt:lpstr>
      <vt:lpstr>'YGS HES (2)'!Print_Area</vt:lpstr>
      <vt:lpstr>'YGS Income Eligible '!Print_Area</vt:lpstr>
      <vt:lpstr>'YGS Income Eligible  (2)'!Print_Area</vt:lpstr>
      <vt:lpstr>'YGS New Construction'!Print_Area</vt:lpstr>
      <vt:lpstr>'YGS O&amp;M'!Print_Area</vt:lpstr>
      <vt:lpstr>'YGS O&amp;M '!Print_Area</vt:lpstr>
      <vt:lpstr>'YGS O&amp;M   '!Print_Area</vt:lpstr>
      <vt:lpstr>'YGS SBEA '!Print_Area</vt:lpstr>
      <vt:lpstr>'YGS SBEA    '!Print_Area</vt:lpstr>
      <vt:lpstr>'YGS Table A '!Print_Area</vt:lpstr>
      <vt:lpstr>'YGS Table C 2012 Increased Fund'!Print_Area</vt:lpstr>
      <vt:lpstr>'YGS Table C 2013'!Print_Area</vt:lpstr>
      <vt:lpstr>'YGS Table C 2014'!Print_Area</vt:lpstr>
      <vt:lpstr>'YGS Table C 2015'!Print_Area</vt:lpstr>
      <vt:lpstr>'YGS Table D'!Print_Area</vt:lpstr>
      <vt:lpstr>'YGS Table D1'!Print_Area</vt:lpstr>
      <vt:lpstr>'YGS Table D1 '!Print_Area</vt:lpstr>
      <vt:lpstr>'YGS Table D3'!Print_Area</vt:lpstr>
      <vt:lpstr>'YGS Water Heating'!Print_Area</vt:lpstr>
      <vt:lpstr>'YGS Water Heating '!Print_Area</vt:lpstr>
      <vt:lpstr>'YGS Water Heating   '!Print_Area</vt:lpstr>
      <vt:lpstr>'10.1.15 2016 Summary Table B'!Print_Titles</vt:lpstr>
      <vt:lpstr>'10.1.15 2017 Summary Table B'!Print_Titles</vt:lpstr>
      <vt:lpstr>'10.1.15 2018 Summary Table B'!Print_Titles</vt:lpstr>
      <vt:lpstr>'2014 Summary Table B '!Print_Titles</vt:lpstr>
      <vt:lpstr>'2016 Summary Table B'!Print_Titles</vt:lpstr>
      <vt:lpstr>'2017 Summary Table B'!Print_Titles</vt:lpstr>
      <vt:lpstr>'2018 Summary Table B'!Print_Titles</vt:lpstr>
      <vt:lpstr>'CNG 2013 Exhibit 4'!Print_Titles</vt:lpstr>
      <vt:lpstr>'CNG 2014 Exhibit 4'!Print_Titles</vt:lpstr>
      <vt:lpstr>'CNG 2016 Exhibit 4'!Print_Titles</vt:lpstr>
      <vt:lpstr>'CNG 2017 Exhibit 4'!Print_Titles</vt:lpstr>
      <vt:lpstr>'CNG 2022 Exhibit 4'!Print_Titles</vt:lpstr>
      <vt:lpstr>'CNG 2023 Exhibit 4'!Print_Titles</vt:lpstr>
      <vt:lpstr>'CNG 2024 Exhibit 4'!Print_Titles</vt:lpstr>
      <vt:lpstr>'CNG CEC'!Print_Titles</vt:lpstr>
      <vt:lpstr>'CNG ECB'!Print_Titles</vt:lpstr>
      <vt:lpstr>'CNG ECC'!Print_Titles</vt:lpstr>
      <vt:lpstr>'CNG ENOPP'!Print_Titles</vt:lpstr>
      <vt:lpstr>'CNG HES'!Print_Titles</vt:lpstr>
      <vt:lpstr>'CNG Income Eligible'!Print_Titles</vt:lpstr>
      <vt:lpstr>'CNG K-12'!Print_Titles</vt:lpstr>
      <vt:lpstr>'CNG New Construction'!Print_Titles</vt:lpstr>
      <vt:lpstr>'CNG O&amp;M'!Print_Titles</vt:lpstr>
      <vt:lpstr>'CNG SBEA'!Print_Titles</vt:lpstr>
      <vt:lpstr>'CNG Water Heating'!Print_Titles</vt:lpstr>
      <vt:lpstr>'DN 10-10-03 Order 26i CNG'!Print_Titles</vt:lpstr>
      <vt:lpstr>'DN 10-10-03 Order 26i SCG'!Print_Titles</vt:lpstr>
      <vt:lpstr>'DN 10-10-03 Order 26i YGS '!Print_Titles</vt:lpstr>
      <vt:lpstr>'Mar 16 2017 Summary Table B'!Print_Titles</vt:lpstr>
      <vt:lpstr>'Mar 16 2018 Summary Table B'!Print_Titles</vt:lpstr>
      <vt:lpstr>'SCG 2013 Exhibit 4'!Print_Titles</vt:lpstr>
      <vt:lpstr>'SCG 2014 Exhibit 4'!Print_Titles</vt:lpstr>
      <vt:lpstr>'SCG 2016 Exhibit 4'!Print_Titles</vt:lpstr>
      <vt:lpstr>'SCG 2017 Exhibit 4'!Print_Titles</vt:lpstr>
      <vt:lpstr>'SCG 2022 Exhibit 4'!Print_Titles</vt:lpstr>
      <vt:lpstr>'SCG 2023 Exhibit 4'!Print_Titles</vt:lpstr>
      <vt:lpstr>'SCG 2024 Exhibit 4'!Print_Titles</vt:lpstr>
      <vt:lpstr>'SCG CEC'!Print_Titles</vt:lpstr>
      <vt:lpstr>'SCG ECB'!Print_Titles</vt:lpstr>
      <vt:lpstr>'SCG ECC'!Print_Titles</vt:lpstr>
      <vt:lpstr>'SCG ENOPP'!Print_Titles</vt:lpstr>
      <vt:lpstr>'SCG HES'!Print_Titles</vt:lpstr>
      <vt:lpstr>'SCG Income Eligible'!Print_Titles</vt:lpstr>
      <vt:lpstr>'SCG K-12'!Print_Titles</vt:lpstr>
      <vt:lpstr>'SCG New Construction'!Print_Titles</vt:lpstr>
      <vt:lpstr>'SCG O&amp;M'!Print_Titles</vt:lpstr>
      <vt:lpstr>'SCG Residential Behavior'!Print_Titles</vt:lpstr>
      <vt:lpstr>'SCG SBEA'!Print_Titles</vt:lpstr>
      <vt:lpstr>'SCG Water Heating'!Print_Titles</vt:lpstr>
      <vt:lpstr>'Summary DN10-10-03 Order 26i '!Print_Titles</vt:lpstr>
      <vt:lpstr>'YGS 2013 Exhibit 4'!Print_Titles</vt:lpstr>
      <vt:lpstr>'10.1.15 2016 Summary Table B'!sckwh</vt:lpstr>
      <vt:lpstr>'10.1.15 2017 Summary Table B'!sckwhII</vt:lpstr>
      <vt:lpstr>'Mar 16 2017 Summary Table B'!sckwhII</vt:lpstr>
      <vt:lpstr>'10.1.15 2018 Summary Table B'!sckwhIII</vt:lpstr>
      <vt:lpstr>'Mar 16 2018 Summary Table B'!sckwhIII</vt:lpstr>
      <vt:lpstr>sckwhIII</vt:lpstr>
      <vt:lpstr>'10.1.15 2016 Summary Table B'!srkwh</vt:lpstr>
      <vt:lpstr>'10.1.15 2017 Summary Table B'!srkwhII</vt:lpstr>
      <vt:lpstr>'Mar 16 2017 Summary Table B'!srkwhII</vt:lpstr>
      <vt:lpstr>'10.1.15 2018 Summary Table B'!srkwhIII</vt:lpstr>
      <vt:lpstr>'Mar 16 2018 Summary Table B'!srkwhIII</vt:lpstr>
      <vt:lpstr>srkwhIII</vt:lpstr>
      <vt:lpstr>'2012 Combined Table A1 -Inc.Fun'!tableA1type_of_service</vt:lpstr>
      <vt:lpstr>'2012-2013 Combined Table A1 '!tableA1type_of_service</vt:lpstr>
      <vt:lpstr>'2013-2015 Combined Table A1'!tableA1type_of_service</vt:lpstr>
      <vt:lpstr>'YGS Table A '!tableA1type_of_service</vt:lpstr>
      <vt:lpstr>'YGS Table D1'!tableA1type_of_service</vt:lpstr>
      <vt:lpstr>'YGS Table D1 '!tableA1type_of_service</vt:lpstr>
      <vt:lpstr>'YGS Table D3'!tableA1type_of_service</vt:lpstr>
      <vt:lpstr>'2012 Combined Table A1 -Inc.Fun'!tableA1UI2005</vt:lpstr>
      <vt:lpstr>'2012-2013 Combined Table A1 '!tableA1UI2005</vt:lpstr>
      <vt:lpstr>'YGS Table D1'!tableA1UI2005</vt:lpstr>
      <vt:lpstr>'YGS Table D1 '!tableA1UI2005</vt:lpstr>
      <vt:lpstr>'YGS Table D3'!tableA1UI2005</vt:lpstr>
      <vt:lpstr>'10.1.15 CNG Table C 2016'!tableCadmin_expences</vt:lpstr>
      <vt:lpstr>'10.1.15 CNG Table C 2017'!tableCadmin_expences</vt:lpstr>
      <vt:lpstr>'10.1.15 CNG Table C 2018'!tableCadmin_expences</vt:lpstr>
      <vt:lpstr>'10.1.15 SCG Table C 2016'!tableCadmin_expences</vt:lpstr>
      <vt:lpstr>'10.1.15 SCG Table C 2017'!tableCadmin_expences</vt:lpstr>
      <vt:lpstr>'10.1.15 SCG Table C 2018'!tableCadmin_expences</vt:lpstr>
      <vt:lpstr>'CNG Table C 2012 INCREASED FUND'!tableCadmin_expences</vt:lpstr>
      <vt:lpstr>'CNG Table C 2013'!tableCadmin_expences</vt:lpstr>
      <vt:lpstr>'CNG Table C 2014'!tableCadmin_expences</vt:lpstr>
      <vt:lpstr>'CNG Table C 2016'!tableCadmin_expences</vt:lpstr>
      <vt:lpstr>'CNG Table C 2017'!tableCadmin_expences</vt:lpstr>
      <vt:lpstr>'CNG Table C 2018'!tableCadmin_expences</vt:lpstr>
      <vt:lpstr>'Mar 16 CNG Table C 2017'!tableCadmin_expences</vt:lpstr>
      <vt:lpstr>'Mar 16 CNG Table C 2018'!tableCadmin_expences</vt:lpstr>
      <vt:lpstr>'Mar 16 SCG Table C 2017'!tableCadmin_expences</vt:lpstr>
      <vt:lpstr>'Mar 16 SCG Table C 2018'!tableCadmin_expences</vt:lpstr>
      <vt:lpstr>'SCG Table C 2013'!tableCadmin_expences</vt:lpstr>
      <vt:lpstr>'SCG Table C 2014'!tableCadmin_expences</vt:lpstr>
      <vt:lpstr>'SCG Table C 2016'!tableCadmin_expences</vt:lpstr>
      <vt:lpstr>'SCG Table C 2017'!tableCadmin_expences</vt:lpstr>
      <vt:lpstr>'YGS Table C 2012 Increased Fund'!tableCadmin_expences</vt:lpstr>
      <vt:lpstr>'YGS Table C 2013'!tableCadmin_expences</vt:lpstr>
      <vt:lpstr>'10.1.15 CNG Table C 2016'!tableCCLP_labor</vt:lpstr>
      <vt:lpstr>'10.1.15 CNG Table C 2017'!tableCCLP_labor</vt:lpstr>
      <vt:lpstr>'10.1.15 CNG Table C 2018'!tableCCLP_labor</vt:lpstr>
      <vt:lpstr>'10.1.15 SCG Table C 2016'!tableCCLP_labor</vt:lpstr>
      <vt:lpstr>'10.1.15 SCG Table C 2017'!tableCCLP_labor</vt:lpstr>
      <vt:lpstr>'10.1.15 SCG Table C 2018'!tableCCLP_labor</vt:lpstr>
      <vt:lpstr>'CNG Table C 2012 INCREASED FUND'!tableCCLP_labor</vt:lpstr>
      <vt:lpstr>'CNG Table C 2013'!tableCCLP_labor</vt:lpstr>
      <vt:lpstr>'CNG Table C 2014'!tableCCLP_labor</vt:lpstr>
      <vt:lpstr>'CNG Table C 2016'!tableCCLP_labor</vt:lpstr>
      <vt:lpstr>'CNG Table C 2017'!tableCCLP_labor</vt:lpstr>
      <vt:lpstr>'CNG Table C 2018'!tableCCLP_labor</vt:lpstr>
      <vt:lpstr>'Mar 16 CNG Table C 2017'!tableCCLP_labor</vt:lpstr>
      <vt:lpstr>'Mar 16 CNG Table C 2018'!tableCCLP_labor</vt:lpstr>
      <vt:lpstr>'Mar 16 SCG Table C 2017'!tableCCLP_labor</vt:lpstr>
      <vt:lpstr>'Mar 16 SCG Table C 2018'!tableCCLP_labor</vt:lpstr>
      <vt:lpstr>'SCG Table C 2013'!tableCCLP_labor</vt:lpstr>
      <vt:lpstr>'SCG Table C 2014'!tableCCLP_labor</vt:lpstr>
      <vt:lpstr>'SCG Table C 2016'!tableCCLP_labor</vt:lpstr>
      <vt:lpstr>'SCG Table C 2017'!tableCCLP_labor</vt:lpstr>
      <vt:lpstr>'SCG Table C 2018'!tableCCLP_labor</vt:lpstr>
      <vt:lpstr>'YGS Table C 2012 Increased Fund'!tableCCLP_labor</vt:lpstr>
      <vt:lpstr>'YGS Table C 2013'!tableCCLP_labor</vt:lpstr>
      <vt:lpstr>'10.1.15 CNG Table C 2016'!tableCincentives</vt:lpstr>
      <vt:lpstr>'10.1.15 CNG Table C 2017'!tableCincentives</vt:lpstr>
      <vt:lpstr>'10.1.15 CNG Table C 2018'!tableCincentives</vt:lpstr>
      <vt:lpstr>'10.1.15 SCG Table C 2016'!tableCincentives</vt:lpstr>
      <vt:lpstr>'10.1.15 SCG Table C 2017'!tableCincentives</vt:lpstr>
      <vt:lpstr>'10.1.15 SCG Table C 2018'!tableCincentives</vt:lpstr>
      <vt:lpstr>'CNG Table C 2012 INCREASED FUND'!tableCincentives</vt:lpstr>
      <vt:lpstr>'CNG Table C 2013'!tableCincentives</vt:lpstr>
      <vt:lpstr>'CNG Table C 2014'!tableCincentives</vt:lpstr>
      <vt:lpstr>'CNG Table C 2016'!tableCincentives</vt:lpstr>
      <vt:lpstr>'CNG Table C 2017'!tableCincentives</vt:lpstr>
      <vt:lpstr>'CNG Table C 2018'!tableCincentives</vt:lpstr>
      <vt:lpstr>'Mar 16 CNG Table C 2017'!tableCincentives</vt:lpstr>
      <vt:lpstr>'Mar 16 CNG Table C 2018'!tableCincentives</vt:lpstr>
      <vt:lpstr>'Mar 16 SCG Table C 2017'!tableCincentives</vt:lpstr>
      <vt:lpstr>'Mar 16 SCG Table C 2018'!tableCincentives</vt:lpstr>
      <vt:lpstr>'SCG Table C 2013'!tableCincentives</vt:lpstr>
      <vt:lpstr>'SCG Table C 2014'!tableCincentives</vt:lpstr>
      <vt:lpstr>'SCG Table C 2016'!tableCincentives</vt:lpstr>
      <vt:lpstr>'SCG Table C 2017'!tableCincentives</vt:lpstr>
      <vt:lpstr>'SCG Table C 2018'!tableCincentives</vt:lpstr>
      <vt:lpstr>'YGS Table C 2012 Increased Fund'!tableCincentives</vt:lpstr>
      <vt:lpstr>'YGS Table C 2013'!tableCincentives</vt:lpstr>
      <vt:lpstr>'10.1.15 CNG Table C 2016'!tableCmarketing</vt:lpstr>
      <vt:lpstr>'10.1.15 CNG Table C 2017'!tableCmarketing</vt:lpstr>
      <vt:lpstr>'10.1.15 CNG Table C 2018'!tableCmarketing</vt:lpstr>
      <vt:lpstr>'10.1.15 SCG Table C 2016'!tableCmarketing</vt:lpstr>
      <vt:lpstr>'10.1.15 SCG Table C 2017'!tableCmarketing</vt:lpstr>
      <vt:lpstr>'10.1.15 SCG Table C 2018'!tableCmarketing</vt:lpstr>
      <vt:lpstr>'CNG Table C 2012 INCREASED FUND'!tableCmarketing</vt:lpstr>
      <vt:lpstr>'CNG Table C 2013'!tableCmarketing</vt:lpstr>
      <vt:lpstr>'CNG Table C 2014'!tableCmarketing</vt:lpstr>
      <vt:lpstr>'CNG Table C 2016'!tableCmarketing</vt:lpstr>
      <vt:lpstr>'CNG Table C 2017'!tableCmarketing</vt:lpstr>
      <vt:lpstr>'CNG Table C 2018'!tableCmarketing</vt:lpstr>
      <vt:lpstr>'Mar 16 CNG Table C 2017'!tableCmarketing</vt:lpstr>
      <vt:lpstr>'Mar 16 CNG Table C 2018'!tableCmarketing</vt:lpstr>
      <vt:lpstr>'Mar 16 SCG Table C 2017'!tableCmarketing</vt:lpstr>
      <vt:lpstr>'Mar 16 SCG Table C 2018'!tableCmarketing</vt:lpstr>
      <vt:lpstr>'SCG Table C 2013'!tableCmarketing</vt:lpstr>
      <vt:lpstr>'SCG Table C 2014'!tableCmarketing</vt:lpstr>
      <vt:lpstr>'SCG Table C 2016'!tableCmarketing</vt:lpstr>
      <vt:lpstr>'SCG Table C 2017'!tableCmarketing</vt:lpstr>
      <vt:lpstr>'SCG Table C 2018'!tableCmarketing</vt:lpstr>
      <vt:lpstr>'YGS Table C 2012 Increased Fund'!tableCmarketing</vt:lpstr>
      <vt:lpstr>'YGS Table C 2013'!tableCmarketing</vt:lpstr>
      <vt:lpstr>'10.1.15 CNG Table C 2016'!tableCmaterial_supplies</vt:lpstr>
      <vt:lpstr>'10.1.15 CNG Table C 2017'!tableCmaterial_supplies</vt:lpstr>
      <vt:lpstr>'10.1.15 CNG Table C 2018'!tableCmaterial_supplies</vt:lpstr>
      <vt:lpstr>'10.1.15 SCG Table C 2016'!tableCmaterial_supplies</vt:lpstr>
      <vt:lpstr>'10.1.15 SCG Table C 2017'!tableCmaterial_supplies</vt:lpstr>
      <vt:lpstr>'10.1.15 SCG Table C 2018'!tableCmaterial_supplies</vt:lpstr>
      <vt:lpstr>'CNG Table C 2012 INCREASED FUND'!tableCmaterial_supplies</vt:lpstr>
      <vt:lpstr>'CNG Table C 2013'!tableCmaterial_supplies</vt:lpstr>
      <vt:lpstr>'CNG Table C 2014'!tableCmaterial_supplies</vt:lpstr>
      <vt:lpstr>'CNG Table C 2016'!tableCmaterial_supplies</vt:lpstr>
      <vt:lpstr>'CNG Table C 2017'!tableCmaterial_supplies</vt:lpstr>
      <vt:lpstr>'CNG Table C 2018'!tableCmaterial_supplies</vt:lpstr>
      <vt:lpstr>'Mar 16 CNG Table C 2017'!tableCmaterial_supplies</vt:lpstr>
      <vt:lpstr>'Mar 16 CNG Table C 2018'!tableCmaterial_supplies</vt:lpstr>
      <vt:lpstr>'Mar 16 SCG Table C 2017'!tableCmaterial_supplies</vt:lpstr>
      <vt:lpstr>'Mar 16 SCG Table C 2018'!tableCmaterial_supplies</vt:lpstr>
      <vt:lpstr>'SCG Table C 2013'!tableCmaterial_supplies</vt:lpstr>
      <vt:lpstr>'SCG Table C 2014'!tableCmaterial_supplies</vt:lpstr>
      <vt:lpstr>'SCG Table C 2016'!tableCmaterial_supplies</vt:lpstr>
      <vt:lpstr>'SCG Table C 2017'!tableCmaterial_supplies</vt:lpstr>
      <vt:lpstr>'SCG Table C 2018'!tableCmaterial_supplies</vt:lpstr>
      <vt:lpstr>'YGS Table C 2012 Increased Fund'!tableCmaterial_supplies</vt:lpstr>
      <vt:lpstr>'YGS Table C 2013'!tableCmaterial_supplies</vt:lpstr>
      <vt:lpstr>'10.1.15 SCG Table C 2016'!tableCother</vt:lpstr>
      <vt:lpstr>'10.1.15 SCG Table C 2017'!tableCother</vt:lpstr>
      <vt:lpstr>'10.1.15 SCG Table C 2018'!tableCother</vt:lpstr>
      <vt:lpstr>'Mar 16 SCG Table C 2017'!tableCother</vt:lpstr>
      <vt:lpstr>'Mar 16 SCG Table C 2018'!tableCother</vt:lpstr>
      <vt:lpstr>'SCG Table C 2013'!tableCother</vt:lpstr>
      <vt:lpstr>'SCG Table C 2014'!tableCother</vt:lpstr>
      <vt:lpstr>'SCG Table C 2016'!tableCother</vt:lpstr>
      <vt:lpstr>'SCG Table C 2017'!tableCother</vt:lpstr>
      <vt:lpstr>'SCG Table C 2018'!tableCother</vt:lpstr>
      <vt:lpstr>'10.1.15 SCG Table C 2016'!tableCother_labor</vt:lpstr>
      <vt:lpstr>'10.1.15 SCG Table C 2017'!tableCother_labor</vt:lpstr>
      <vt:lpstr>'10.1.15 SCG Table C 2018'!tableCother_labor</vt:lpstr>
      <vt:lpstr>'Mar 16 SCG Table C 2017'!tableCother_labor</vt:lpstr>
      <vt:lpstr>'Mar 16 SCG Table C 2018'!tableCother_labor</vt:lpstr>
      <vt:lpstr>'SCG Table C 2013'!tableCother_labor</vt:lpstr>
      <vt:lpstr>'SCG Table C 2014'!tableCother_labor</vt:lpstr>
      <vt:lpstr>'SCG Table C 2016'!tableCother_labor</vt:lpstr>
      <vt:lpstr>'SCG Table C 2017'!tableCother_labor</vt:lpstr>
      <vt:lpstr>'SCG Table C 2018'!tableCother_labor</vt:lpstr>
      <vt:lpstr>'10.1.15 CNG Table C 2016'!tableCoutside_services</vt:lpstr>
      <vt:lpstr>'10.1.15 CNG Table C 2017'!tableCoutside_services</vt:lpstr>
      <vt:lpstr>'10.1.15 CNG Table C 2018'!tableCoutside_services</vt:lpstr>
      <vt:lpstr>'10.1.15 SCG Table C 2016'!tableCoutside_services</vt:lpstr>
      <vt:lpstr>'10.1.15 SCG Table C 2017'!tableCoutside_services</vt:lpstr>
      <vt:lpstr>'10.1.15 SCG Table C 2018'!tableCoutside_services</vt:lpstr>
      <vt:lpstr>'CNG Table C 2012 INCREASED FUND'!tableCoutside_services</vt:lpstr>
      <vt:lpstr>'CNG Table C 2013'!tableCoutside_services</vt:lpstr>
      <vt:lpstr>'CNG Table C 2014'!tableCoutside_services</vt:lpstr>
      <vt:lpstr>'CNG Table C 2016'!tableCoutside_services</vt:lpstr>
      <vt:lpstr>'CNG Table C 2017'!tableCoutside_services</vt:lpstr>
      <vt:lpstr>'CNG Table C 2018'!tableCoutside_services</vt:lpstr>
      <vt:lpstr>'Mar 16 CNG Table C 2017'!tableCoutside_services</vt:lpstr>
      <vt:lpstr>'Mar 16 CNG Table C 2018'!tableCoutside_services</vt:lpstr>
      <vt:lpstr>'Mar 16 SCG Table C 2017'!tableCoutside_services</vt:lpstr>
      <vt:lpstr>'Mar 16 SCG Table C 2018'!tableCoutside_services</vt:lpstr>
      <vt:lpstr>'SCG Table C 2013'!tableCoutside_services</vt:lpstr>
      <vt:lpstr>'SCG Table C 2014'!tableCoutside_services</vt:lpstr>
      <vt:lpstr>'SCG Table C 2016'!tableCoutside_services</vt:lpstr>
      <vt:lpstr>'SCG Table C 2017'!tableCoutside_services</vt:lpstr>
      <vt:lpstr>'SCG Table C 2018'!tableCoutside_services</vt:lpstr>
      <vt:lpstr>'YGS Table C 2012 Increased Fund'!tableCoutside_services</vt:lpstr>
      <vt:lpstr>'YGS Table C 2013'!tableCoutside_services</vt:lpstr>
      <vt:lpstr>'10.1.15 CNG Table C 2016'!tableCtype_of_service</vt:lpstr>
      <vt:lpstr>'10.1.15 CNG Table C 2017'!tableCtype_of_service</vt:lpstr>
      <vt:lpstr>'10.1.15 CNG Table C 2018'!tableCtype_of_service</vt:lpstr>
      <vt:lpstr>'10.1.15 SCG Table C 2016'!tableCtype_of_service</vt:lpstr>
      <vt:lpstr>'10.1.15 SCG Table C 2017'!tableCtype_of_service</vt:lpstr>
      <vt:lpstr>'10.1.15 SCG Table C 2018'!tableCtype_of_service</vt:lpstr>
      <vt:lpstr>'CNG Table C 2012 INCREASED FUND'!tableCtype_of_service</vt:lpstr>
      <vt:lpstr>'CNG Table C 2013'!tableCtype_of_service</vt:lpstr>
      <vt:lpstr>'CNG Table C 2014'!tableCtype_of_service</vt:lpstr>
      <vt:lpstr>'CNG Table C 2016'!tableCtype_of_service</vt:lpstr>
      <vt:lpstr>'CNG Table C 2017'!tableCtype_of_service</vt:lpstr>
      <vt:lpstr>'CNG Table C 2018'!tableCtype_of_service</vt:lpstr>
      <vt:lpstr>'Mar 16 CNG Table C 2017'!tableCtype_of_service</vt:lpstr>
      <vt:lpstr>'Mar 16 CNG Table C 2018'!tableCtype_of_service</vt:lpstr>
      <vt:lpstr>'Mar 16 SCG Table C 2017'!tableCtype_of_service</vt:lpstr>
      <vt:lpstr>'Mar 16 SCG Table C 2018'!tableCtype_of_service</vt:lpstr>
      <vt:lpstr>'SCG Table C 2013'!tableCtype_of_service</vt:lpstr>
      <vt:lpstr>'SCG Table C 2014'!tableCtype_of_service</vt:lpstr>
      <vt:lpstr>'SCG Table C 2016'!tableCtype_of_service</vt:lpstr>
      <vt:lpstr>'SCG Table C 2017'!tableCtype_of_service</vt:lpstr>
      <vt:lpstr>'SCG Table C 2018'!tableCtype_of_service</vt:lpstr>
      <vt:lpstr>'YGS Table C 2012 Increased Fund'!tableCtype_of_service</vt:lpstr>
      <vt:lpstr>'YGS Table C 2013'!tableCtype_of_service</vt:lpstr>
    </vt:vector>
  </TitlesOfParts>
  <Manager>Ron Araujo</Manager>
  <Company>Yankee Gas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2007 Natural Gas Conservation Plan Data</dc:title>
  <dc:subject>YGS, SCN and SCG 2007 data</dc:subject>
  <dc:creator>Don Becker</dc:creator>
  <cp:lastModifiedBy>Brian Sullivan</cp:lastModifiedBy>
  <cp:lastPrinted>2017-09-26T17:42:18Z</cp:lastPrinted>
  <dcterms:created xsi:type="dcterms:W3CDTF">2000-08-15T12:33:24Z</dcterms:created>
  <dcterms:modified xsi:type="dcterms:W3CDTF">2022-10-03T13:06:33Z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{96232136-53A4-4267-A76A-90631EE0AFFE}</vt:lpwstr>
  </property>
  <property fmtid="{D5CDD505-2E9C-101B-9397-08002B2CF9AE}" pid="3" name="_AdHocReviewCycleID">
    <vt:i4>-1694028578</vt:i4>
  </property>
  <property fmtid="{D5CDD505-2E9C-101B-9397-08002B2CF9AE}" pid="4" name="_NewReviewCycle">
    <vt:lpwstr/>
  </property>
  <property fmtid="{D5CDD505-2E9C-101B-9397-08002B2CF9AE}" pid="5" name="_EmailSubject">
    <vt:lpwstr>3 yr plan files</vt:lpwstr>
  </property>
  <property fmtid="{D5CDD505-2E9C-101B-9397-08002B2CF9AE}" pid="6" name="_AuthorEmail">
    <vt:lpwstr>Brian.Sullivan@uinet.com</vt:lpwstr>
  </property>
  <property fmtid="{D5CDD505-2E9C-101B-9397-08002B2CF9AE}" pid="7" name="_AuthorEmailDisplayName">
    <vt:lpwstr>Brian Sullivan</vt:lpwstr>
  </property>
  <property fmtid="{D5CDD505-2E9C-101B-9397-08002B2CF9AE}" pid="8" name="_ReviewingToolsShownOnce">
    <vt:lpwstr/>
  </property>
  <property fmtid="{D5CDD505-2E9C-101B-9397-08002B2CF9AE}" pid="9" name="MSIP_Label_019c027e-33b7-45fc-a572-8ffa5d09ec36_Enabled">
    <vt:lpwstr>true</vt:lpwstr>
  </property>
  <property fmtid="{D5CDD505-2E9C-101B-9397-08002B2CF9AE}" pid="10" name="MSIP_Label_019c027e-33b7-45fc-a572-8ffa5d09ec36_SetDate">
    <vt:lpwstr>2022-10-03T13:06:31Z</vt:lpwstr>
  </property>
  <property fmtid="{D5CDD505-2E9C-101B-9397-08002B2CF9AE}" pid="11" name="MSIP_Label_019c027e-33b7-45fc-a572-8ffa5d09ec36_Method">
    <vt:lpwstr>Standard</vt:lpwstr>
  </property>
  <property fmtid="{D5CDD505-2E9C-101B-9397-08002B2CF9AE}" pid="12" name="MSIP_Label_019c027e-33b7-45fc-a572-8ffa5d09ec36_Name">
    <vt:lpwstr>Internal Use</vt:lpwstr>
  </property>
  <property fmtid="{D5CDD505-2E9C-101B-9397-08002B2CF9AE}" pid="13" name="MSIP_Label_019c027e-33b7-45fc-a572-8ffa5d09ec36_SiteId">
    <vt:lpwstr>031a09bc-a2bf-44df-888e-4e09355b7a24</vt:lpwstr>
  </property>
  <property fmtid="{D5CDD505-2E9C-101B-9397-08002B2CF9AE}" pid="14" name="MSIP_Label_019c027e-33b7-45fc-a572-8ffa5d09ec36_ActionId">
    <vt:lpwstr>30194901-300f-41fb-8ae1-8a8fab33510c</vt:lpwstr>
  </property>
  <property fmtid="{D5CDD505-2E9C-101B-9397-08002B2CF9AE}" pid="15" name="MSIP_Label_019c027e-33b7-45fc-a572-8ffa5d09ec36_ContentBits">
    <vt:lpwstr>2</vt:lpwstr>
  </property>
</Properties>
</file>